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  <sheet state="visible" name="Data" sheetId="2" r:id="rId5"/>
    <sheet state="visible" name="Steps" sheetId="3" r:id="rId6"/>
  </sheets>
  <definedNames/>
  <calcPr/>
</workbook>
</file>

<file path=xl/sharedStrings.xml><?xml version="1.0" encoding="utf-8"?>
<sst xmlns="http://schemas.openxmlformats.org/spreadsheetml/2006/main" count="166" uniqueCount="104">
  <si>
    <t>Domain</t>
  </si>
  <si>
    <t>https://ucld.us/</t>
  </si>
  <si>
    <t>API Key</t>
  </si>
  <si>
    <t>6cce2f59-841c-4a65-aac0-5022efb4e554</t>
  </si>
  <si>
    <t>Account</t>
  </si>
  <si>
    <t>Asset Class</t>
  </si>
  <si>
    <t>Workflow</t>
  </si>
  <si>
    <t>Asset</t>
  </si>
  <si>
    <t>Workflow Report</t>
  </si>
  <si>
    <t>Start</t>
  </si>
  <si>
    <t>End</t>
  </si>
  <si>
    <t>Sort</t>
  </si>
  <si>
    <t>Report of Inspection, Testing, and Maintenance of Fire Pump</t>
  </si>
  <si>
    <t>Pump ID:</t>
  </si>
  <si>
    <t>Building Name:</t>
  </si>
  <si>
    <t>Building Owner:</t>
  </si>
  <si>
    <t>Job Site:</t>
  </si>
  <si>
    <t>Date of Test:</t>
  </si>
  <si>
    <t>Type of Test:</t>
  </si>
  <si>
    <t>Testing Firm:</t>
  </si>
  <si>
    <t>Testing Firm Contact:</t>
  </si>
  <si>
    <t>License #:</t>
  </si>
  <si>
    <t>Customer Information</t>
  </si>
  <si>
    <t>Company Name:</t>
  </si>
  <si>
    <t>Phone Number:</t>
  </si>
  <si>
    <t>Fax Number:</t>
  </si>
  <si>
    <t>Email:</t>
  </si>
  <si>
    <t>Address:</t>
  </si>
  <si>
    <t>Fire Pump</t>
  </si>
  <si>
    <t>Pump Type:</t>
  </si>
  <si>
    <t>Manufacturer:</t>
  </si>
  <si>
    <t>Model:</t>
  </si>
  <si>
    <t>Serial Number:</t>
  </si>
  <si>
    <t>Listed:</t>
  </si>
  <si>
    <t>Rated Capacity (GPM):</t>
  </si>
  <si>
    <t>Total Dynamic Head (ft):</t>
  </si>
  <si>
    <t>Head a Churn 0% (PSI):</t>
  </si>
  <si>
    <t>Head at Rated 100% (PSI):</t>
  </si>
  <si>
    <t>Head at Overload 150% (PSI):</t>
  </si>
  <si>
    <t>Pump Rotation:</t>
  </si>
  <si>
    <t>Suction From:</t>
  </si>
  <si>
    <t>Impeller Diameter (in):</t>
  </si>
  <si>
    <t>Right Angle Gear</t>
  </si>
  <si>
    <t>Gear Ratio:</t>
  </si>
  <si>
    <t>Fire Pump Driver</t>
  </si>
  <si>
    <t>Type:</t>
  </si>
  <si>
    <t>Rated HP:</t>
  </si>
  <si>
    <t>Rated Speed:</t>
  </si>
  <si>
    <t>Frame Size:</t>
  </si>
  <si>
    <t>Motor Enclosure Type:</t>
  </si>
  <si>
    <t>Electric Driver</t>
  </si>
  <si>
    <t>Rated Voltage:</t>
  </si>
  <si>
    <t>Rated Full Load Amps:</t>
  </si>
  <si>
    <t>Phase:</t>
  </si>
  <si>
    <t>Cycles (Hz):</t>
  </si>
  <si>
    <t>Service Factor:</t>
  </si>
  <si>
    <t>Fire Pump Controller</t>
  </si>
  <si>
    <t>On PSI:</t>
  </si>
  <si>
    <t>Off PSI:</t>
  </si>
  <si>
    <t>Type of Start:</t>
  </si>
  <si>
    <t>Run Timer Setting (min):</t>
  </si>
  <si>
    <t>Jockey Pump</t>
  </si>
  <si>
    <t>Rated Speed (RPM):</t>
  </si>
  <si>
    <t>Rated Flow (RPM):</t>
  </si>
  <si>
    <t>Rated Pressure (PSI):</t>
  </si>
  <si>
    <t>Rated Amps:</t>
  </si>
  <si>
    <t>Jockey Pump Controller</t>
  </si>
  <si>
    <t>Other Information</t>
  </si>
  <si>
    <t>Notes:</t>
  </si>
  <si>
    <t>Test Results</t>
  </si>
  <si>
    <t>Step Count:</t>
  </si>
  <si>
    <t>Fire Department Attendee:</t>
  </si>
  <si>
    <t>Building Representative Attendee:</t>
  </si>
  <si>
    <t>Testing Firm Attendee:</t>
  </si>
  <si>
    <t>Pump Manufactuer Attendee:</t>
  </si>
  <si>
    <t>Flow Device Used:</t>
  </si>
  <si>
    <t>Pressures</t>
  </si>
  <si>
    <t>Streams</t>
  </si>
  <si>
    <t>Total Flow</t>
  </si>
  <si>
    <t>Corrected</t>
  </si>
  <si>
    <t>Step</t>
  </si>
  <si>
    <t>RPM</t>
  </si>
  <si>
    <t>Disch.</t>
  </si>
  <si>
    <t>Suct.</t>
  </si>
  <si>
    <t>Net</t>
  </si>
  <si>
    <t>Flow</t>
  </si>
  <si>
    <t>Flow GPM</t>
  </si>
  <si>
    <t>% Rated Capacity</t>
  </si>
  <si>
    <t>Volts</t>
  </si>
  <si>
    <t>Amps</t>
  </si>
  <si>
    <t>Flow %</t>
  </si>
  <si>
    <t>Press.</t>
  </si>
  <si>
    <t>Flow Device</t>
  </si>
  <si>
    <t>PSI</t>
  </si>
  <si>
    <t>GPM</t>
  </si>
  <si>
    <t>Pump Design</t>
  </si>
  <si>
    <t>Net Head</t>
  </si>
  <si>
    <t>Discharge</t>
  </si>
  <si>
    <t>amps</t>
  </si>
  <si>
    <t>FLOW (% Rated Capacity)</t>
  </si>
  <si>
    <t>Flow (GPM)</t>
  </si>
  <si>
    <t xml:space="preserve"> </t>
  </si>
  <si>
    <t>5% Degradation Point</t>
  </si>
  <si>
    <t>Step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</si>
</sst>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"/>
    <numFmt numFmtId="165" formatCode="m/d/yyyy h:mm:ss"/>
    <numFmt numFmtId="166" formatCode="m/d/yyyy"/>
    <numFmt numFmtId="167" formatCode="m/d/yyyy h:mm:ss am/pm"/>
    <numFmt numFmtId="168" formatCode="yyyy-mm-dd"/>
    <numFmt numFmtId="169" formatCode="0.0"/>
  </numFmts>
  <fonts count="18">
    <font>
      <sz val="10.0"/>
      <color rgb="FF000000"/>
      <name val="Arial"/>
    </font>
    <font>
      <color theme="1"/>
      <name val="Arial"/>
    </font>
    <font>
      <u/>
      <color rgb="FF0000FF"/>
    </font>
    <font>
      <b/>
      <color rgb="FF000000"/>
      <name val="Arial"/>
    </font>
    <font>
      <sz val="12.0"/>
      <color rgb="FF000000"/>
      <name val="Arial"/>
    </font>
    <font>
      <color rgb="FF000000"/>
      <name val="Roboto"/>
    </font>
    <font>
      <sz val="11.0"/>
      <color theme="1"/>
      <name val="Arial"/>
    </font>
    <font>
      <u/>
      <color rgb="FF0000FF"/>
    </font>
    <font>
      <b/>
      <sz val="18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sz val="11.0"/>
      <color rgb="FF000000"/>
      <name val="Inconsolata"/>
    </font>
    <font>
      <b/>
      <color theme="1"/>
      <name val="Arial"/>
    </font>
    <font/>
    <font>
      <b/>
      <sz val="9.0"/>
      <color theme="1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</fills>
  <borders count="32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ck">
        <color rgb="FF000000"/>
      </right>
    </border>
    <border>
      <left style="thick">
        <color rgb="FF000000"/>
      </left>
    </border>
    <border>
      <top style="thick">
        <color rgb="FF000000"/>
      </top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1" fillId="0" fontId="3" numFmtId="0" xfId="0" applyAlignment="1" applyBorder="1" applyFont="1">
      <alignment readingOrder="0" shrinkToFit="0" vertical="bottom" wrapText="0"/>
    </xf>
    <xf borderId="0" fillId="2" fontId="1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1" numFmtId="164" xfId="0" applyFont="1" applyNumberFormat="1"/>
    <xf borderId="0" fillId="2" fontId="5" numFmtId="0" xfId="0" applyAlignment="1" applyFont="1">
      <alignment readingOrder="0"/>
    </xf>
    <xf borderId="0" fillId="0" fontId="6" numFmtId="165" xfId="0" applyAlignment="1" applyFont="1" applyNumberFormat="1">
      <alignment horizontal="left" readingOrder="0" shrinkToFit="0" vertical="bottom" wrapText="0"/>
    </xf>
    <xf borderId="0" fillId="2" fontId="1" numFmtId="21" xfId="0" applyAlignment="1" applyFont="1" applyNumberFormat="1">
      <alignment readingOrder="0"/>
    </xf>
    <xf borderId="0" fillId="0" fontId="6" numFmtId="166" xfId="0" applyAlignment="1" applyFont="1" applyNumberFormat="1">
      <alignment horizontal="left" readingOrder="0" shrinkToFit="0" vertical="bottom" wrapText="0"/>
    </xf>
    <xf borderId="0" fillId="0" fontId="7" numFmtId="0" xfId="0" applyFont="1"/>
    <xf borderId="0" fillId="0" fontId="1" numFmtId="167" xfId="0" applyFont="1" applyNumberFormat="1"/>
    <xf borderId="0" fillId="0" fontId="1" numFmtId="168" xfId="0" applyFont="1" applyNumberFormat="1"/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right" readingOrder="0"/>
    </xf>
    <xf borderId="0" fillId="0" fontId="10" numFmtId="0" xfId="0" applyAlignment="1" applyFont="1">
      <alignment horizontal="left"/>
    </xf>
    <xf borderId="0" fillId="0" fontId="9" numFmtId="0" xfId="0" applyFont="1"/>
    <xf borderId="0" fillId="0" fontId="9" numFmtId="0" xfId="0" applyAlignment="1" applyFont="1">
      <alignment horizontal="right"/>
    </xf>
    <xf borderId="0" fillId="0" fontId="10" numFmtId="164" xfId="0" applyAlignment="1" applyFont="1" applyNumberFormat="1">
      <alignment horizontal="left"/>
    </xf>
    <xf borderId="0" fillId="2" fontId="11" numFmtId="0" xfId="0" applyFont="1"/>
    <xf borderId="0" fillId="0" fontId="10" numFmtId="0" xfId="0" applyFont="1"/>
    <xf borderId="0" fillId="0" fontId="12" numFmtId="0" xfId="0" applyAlignment="1" applyFont="1">
      <alignment horizontal="right" readingOrder="0"/>
    </xf>
    <xf borderId="2" fillId="3" fontId="9" numFmtId="0" xfId="0" applyAlignment="1" applyBorder="1" applyFill="1" applyFont="1">
      <alignment horizontal="center" readingOrder="0"/>
    </xf>
    <xf borderId="3" fillId="0" fontId="13" numFmtId="0" xfId="0" applyBorder="1" applyFont="1"/>
    <xf borderId="4" fillId="0" fontId="13" numFmtId="0" xfId="0" applyBorder="1" applyFont="1"/>
    <xf borderId="2" fillId="0" fontId="10" numFmtId="0" xfId="0" applyAlignment="1" applyBorder="1" applyFont="1">
      <alignment readingOrder="0"/>
    </xf>
    <xf borderId="5" fillId="2" fontId="4" numFmtId="0" xfId="0" applyAlignment="1" applyBorder="1" applyFont="1">
      <alignment horizontal="left"/>
    </xf>
    <xf borderId="5" fillId="0" fontId="13" numFmtId="0" xfId="0" applyBorder="1" applyFont="1"/>
    <xf borderId="6" fillId="0" fontId="13" numFmtId="0" xfId="0" applyBorder="1" applyFont="1"/>
    <xf borderId="5" fillId="0" fontId="4" numFmtId="0" xfId="0" applyAlignment="1" applyBorder="1" applyFont="1">
      <alignment horizontal="left"/>
    </xf>
    <xf borderId="0" fillId="2" fontId="11" numFmtId="0" xfId="0" applyAlignment="1" applyFont="1">
      <alignment readingOrder="0"/>
    </xf>
    <xf borderId="7" fillId="0" fontId="14" numFmtId="0" xfId="0" applyBorder="1" applyFont="1"/>
    <xf borderId="2" fillId="0" fontId="14" numFmtId="0" xfId="0" applyAlignment="1" applyBorder="1" applyFont="1">
      <alignment horizontal="center" readingOrder="0"/>
    </xf>
    <xf borderId="2" fillId="0" fontId="14" numFmtId="0" xfId="0" applyAlignment="1" applyBorder="1" applyFont="1">
      <alignment horizontal="center"/>
    </xf>
    <xf borderId="8" fillId="0" fontId="15" numFmtId="0" xfId="0" applyAlignment="1" applyBorder="1" applyFont="1">
      <alignment horizontal="center" readingOrder="0" shrinkToFit="0" wrapText="1"/>
    </xf>
    <xf borderId="9" fillId="3" fontId="1" numFmtId="0" xfId="0" applyAlignment="1" applyBorder="1" applyFont="1">
      <alignment horizontal="center" readingOrder="0" vertical="center"/>
    </xf>
    <xf borderId="10" fillId="0" fontId="1" numFmtId="169" xfId="0" applyAlignment="1" applyBorder="1" applyFont="1" applyNumberFormat="1">
      <alignment horizontal="center" vertical="center"/>
    </xf>
    <xf borderId="11" fillId="0" fontId="1" numFmtId="169" xfId="0" applyAlignment="1" applyBorder="1" applyFont="1" applyNumberFormat="1">
      <alignment horizontal="center" vertical="center"/>
    </xf>
    <xf borderId="11" fillId="3" fontId="1" numFmtId="169" xfId="0" applyAlignment="1" applyBorder="1" applyFont="1" applyNumberFormat="1">
      <alignment horizontal="center" readingOrder="0" vertical="center"/>
    </xf>
    <xf borderId="12" fillId="0" fontId="14" numFmtId="0" xfId="0" applyAlignment="1" applyBorder="1" applyFont="1">
      <alignment horizontal="right" readingOrder="0" shrinkToFit="0" wrapText="1"/>
    </xf>
    <xf borderId="7" fillId="0" fontId="16" numFmtId="0" xfId="0" applyAlignment="1" applyBorder="1" applyFont="1">
      <alignment horizontal="center" shrinkToFit="0" vertical="center" wrapText="1"/>
    </xf>
    <xf borderId="7" fillId="0" fontId="17" numFmtId="0" xfId="0" applyAlignment="1" applyBorder="1" applyFont="1">
      <alignment horizontal="center" shrinkToFit="0" vertical="center" wrapText="1"/>
    </xf>
    <xf borderId="11" fillId="3" fontId="1" numFmtId="169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horizontal="center" vertical="center"/>
    </xf>
    <xf borderId="13" fillId="0" fontId="13" numFmtId="0" xfId="0" applyBorder="1" applyFont="1"/>
    <xf borderId="14" fillId="0" fontId="13" numFmtId="0" xfId="0" applyBorder="1" applyFont="1"/>
    <xf borderId="15" fillId="0" fontId="13" numFmtId="0" xfId="0" applyBorder="1" applyFont="1"/>
    <xf borderId="7" fillId="0" fontId="14" numFmtId="0" xfId="0" applyAlignment="1" applyBorder="1" applyFont="1">
      <alignment horizontal="right" readingOrder="0" shrinkToFit="0" wrapText="1"/>
    </xf>
    <xf borderId="7" fillId="0" fontId="1" numFmtId="169" xfId="0" applyAlignment="1" applyBorder="1" applyFont="1" applyNumberFormat="1">
      <alignment horizontal="center" vertical="center"/>
    </xf>
    <xf borderId="7" fillId="2" fontId="11" numFmtId="169" xfId="0" applyAlignment="1" applyBorder="1" applyFont="1" applyNumberFormat="1">
      <alignment horizontal="center" vertical="center"/>
    </xf>
    <xf borderId="16" fillId="0" fontId="13" numFmtId="0" xfId="0" applyBorder="1" applyFont="1"/>
    <xf borderId="17" fillId="0" fontId="13" numFmtId="0" xfId="0" applyBorder="1" applyFont="1"/>
    <xf borderId="18" fillId="0" fontId="13" numFmtId="0" xfId="0" applyBorder="1" applyFont="1"/>
    <xf borderId="8" fillId="3" fontId="14" numFmtId="0" xfId="0" applyAlignment="1" applyBorder="1" applyFont="1">
      <alignment horizontal="right" readingOrder="0" shrinkToFit="0" wrapText="1"/>
    </xf>
    <xf borderId="8" fillId="3" fontId="1" numFmtId="169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horizontal="center" vertical="center"/>
    </xf>
    <xf borderId="19" fillId="3" fontId="1" numFmtId="0" xfId="0" applyAlignment="1" applyBorder="1" applyFont="1">
      <alignment horizontal="center" readingOrder="0" vertical="center"/>
    </xf>
    <xf borderId="20" fillId="0" fontId="1" numFmtId="169" xfId="0" applyAlignment="1" applyBorder="1" applyFont="1" applyNumberFormat="1">
      <alignment horizontal="center" vertical="center"/>
    </xf>
    <xf borderId="7" fillId="0" fontId="16" numFmtId="169" xfId="0" applyAlignment="1" applyBorder="1" applyFont="1" applyNumberFormat="1">
      <alignment horizontal="center" shrinkToFit="0" vertical="center" wrapText="1"/>
    </xf>
    <xf borderId="12" fillId="0" fontId="1" numFmtId="0" xfId="0" applyAlignment="1" applyBorder="1" applyFont="1">
      <alignment horizontal="center" vertical="center"/>
    </xf>
    <xf borderId="21" fillId="3" fontId="1" numFmtId="169" xfId="0" applyAlignment="1" applyBorder="1" applyFont="1" applyNumberFormat="1">
      <alignment horizontal="center" vertical="center"/>
    </xf>
    <xf borderId="22" fillId="0" fontId="13" numFmtId="0" xfId="0" applyBorder="1" applyFont="1"/>
    <xf borderId="23" fillId="0" fontId="13" numFmtId="0" xfId="0" applyBorder="1" applyFont="1"/>
    <xf borderId="24" fillId="0" fontId="13" numFmtId="0" xfId="0" applyBorder="1" applyFont="1"/>
    <xf borderId="25" fillId="0" fontId="13" numFmtId="0" xfId="0" applyBorder="1" applyFont="1"/>
    <xf borderId="26" fillId="0" fontId="13" numFmtId="0" xfId="0" applyBorder="1" applyFont="1"/>
    <xf borderId="27" fillId="3" fontId="14" numFmtId="0" xfId="0" applyAlignment="1" applyBorder="1" applyFont="1">
      <alignment horizontal="right" readingOrder="0" shrinkToFit="0" wrapText="1"/>
    </xf>
    <xf borderId="27" fillId="3" fontId="1" numFmtId="169" xfId="0" applyAlignment="1" applyBorder="1" applyFont="1" applyNumberFormat="1">
      <alignment horizontal="center" vertical="center"/>
    </xf>
    <xf borderId="27" fillId="0" fontId="1" numFmtId="0" xfId="0" applyAlignment="1" applyBorder="1" applyFont="1">
      <alignment horizontal="center" vertical="center"/>
    </xf>
    <xf borderId="28" fillId="0" fontId="13" numFmtId="0" xfId="0" applyBorder="1" applyFont="1"/>
    <xf borderId="20" fillId="3" fontId="1" numFmtId="0" xfId="0" applyAlignment="1" applyBorder="1" applyFont="1">
      <alignment horizontal="center" readingOrder="0" vertical="center"/>
    </xf>
    <xf borderId="4" fillId="0" fontId="16" numFmtId="169" xfId="0" applyAlignment="1" applyBorder="1" applyFont="1" applyNumberFormat="1">
      <alignment horizontal="center" shrinkToFit="0" vertical="center" wrapText="1"/>
    </xf>
    <xf borderId="29" fillId="0" fontId="1" numFmtId="0" xfId="0" applyBorder="1" applyFont="1"/>
    <xf borderId="30" fillId="0" fontId="1" numFmtId="0" xfId="0" applyBorder="1" applyFont="1"/>
    <xf borderId="31" fillId="0" fontId="1" numFmtId="0" xfId="0" applyBorder="1" applyFont="1"/>
    <xf borderId="7" fillId="4" fontId="1" numFmtId="0" xfId="0" applyAlignment="1" applyBorder="1" applyFill="1" applyFont="1">
      <alignment horizontal="center" readingOrder="0" shrinkToFit="0" wrapText="1"/>
    </xf>
    <xf borderId="2" fillId="4" fontId="1" numFmtId="0" xfId="0" applyAlignment="1" applyBorder="1" applyFont="1">
      <alignment horizontal="center" readingOrder="0" shrinkToFit="0" wrapText="1"/>
    </xf>
    <xf borderId="7" fillId="5" fontId="1" numFmtId="0" xfId="0" applyAlignment="1" applyBorder="1" applyFill="1" applyFont="1">
      <alignment horizontal="center"/>
    </xf>
    <xf borderId="7" fillId="5" fontId="1" numFmtId="169" xfId="0" applyAlignment="1" applyBorder="1" applyFont="1" applyNumberFormat="1">
      <alignment horizontal="center"/>
    </xf>
    <xf borderId="2" fillId="5" fontId="1" numFmtId="169" xfId="0" applyAlignment="1" applyBorder="1" applyFont="1" applyNumberFormat="1">
      <alignment horizontal="center"/>
    </xf>
    <xf borderId="2" fillId="5" fontId="1" numFmtId="0" xfId="0" applyAlignment="1" applyBorder="1" applyFont="1">
      <alignment horizontal="center"/>
    </xf>
    <xf borderId="2" fillId="6" fontId="1" numFmtId="0" xfId="0" applyAlignment="1" applyBorder="1" applyFill="1" applyFont="1">
      <alignment horizontal="center" readingOrder="0"/>
    </xf>
    <xf borderId="7" fillId="7" fontId="1" numFmtId="0" xfId="0" applyAlignment="1" applyBorder="1" applyFill="1" applyFont="1">
      <alignment horizontal="center" readingOrder="0"/>
    </xf>
    <xf borderId="7" fillId="7" fontId="1" numFmtId="0" xfId="0" applyAlignment="1" applyBorder="1" applyFont="1">
      <alignment horizontal="center"/>
    </xf>
    <xf borderId="2" fillId="7" fontId="1" numFmtId="0" xfId="0" applyAlignment="1" applyBorder="1" applyFont="1">
      <alignment horizontal="center"/>
    </xf>
    <xf borderId="2" fillId="7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686179421781818"/>
          <c:y val="0.1933744221879815"/>
          <c:w val="0.772962948454224"/>
          <c:h val="0.6311271022364857"/>
        </c:manualLayout>
      </c:layout>
      <c:lineChart>
        <c:ser>
          <c:idx val="0"/>
          <c:order val="0"/>
          <c:tx>
            <c:strRef>
              <c:f>Report!$E$202</c:f>
            </c:strRef>
          </c:tx>
          <c:spPr>
            <a:ln cmpd="sng" w="9525">
              <a:solidFill>
                <a:srgbClr val="990000"/>
              </a:solidFill>
            </a:ln>
          </c:spPr>
          <c:marker>
            <c:symbol val="circle"/>
            <c:size val="10"/>
            <c:spPr>
              <a:solidFill>
                <a:srgbClr val="990000"/>
              </a:solidFill>
              <a:ln cmpd="sng">
                <a:solidFill>
                  <a:srgbClr val="990000"/>
                </a:solidFill>
              </a:ln>
            </c:spPr>
          </c:marker>
          <c:cat>
            <c:strRef>
              <c:f>Report!$K$203:$K$215</c:f>
            </c:strRef>
          </c:cat>
          <c:val>
            <c:numRef>
              <c:f>Report!$E$203:$E$212</c:f>
            </c:numRef>
          </c:val>
          <c:smooth val="1"/>
        </c:ser>
        <c:ser>
          <c:idx val="1"/>
          <c:order val="1"/>
          <c:tx>
            <c:strRef>
              <c:f>Report!$F$202</c:f>
            </c:strRef>
          </c:tx>
          <c:spPr>
            <a:ln cmpd="sng" w="9525">
              <a:solidFill>
                <a:srgbClr val="38761D"/>
              </a:solidFill>
            </a:ln>
          </c:spPr>
          <c:marker>
            <c:symbol val="circle"/>
            <c:size val="10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cat>
            <c:strRef>
              <c:f>Report!$K$203:$K$215</c:f>
            </c:strRef>
          </c:cat>
          <c:val>
            <c:numRef>
              <c:f>Report!$F$203:$F$212</c:f>
            </c:numRef>
          </c:val>
          <c:smooth val="1"/>
        </c:ser>
        <c:ser>
          <c:idx val="2"/>
          <c:order val="2"/>
          <c:tx>
            <c:strRef>
              <c:f>Report!$G$202</c:f>
            </c:strRef>
          </c:tx>
          <c:spPr>
            <a:ln cmpd="sng" w="9525">
              <a:solidFill>
                <a:srgbClr val="F1C232"/>
              </a:solidFill>
            </a:ln>
          </c:spPr>
          <c:marker>
            <c:symbol val="circle"/>
            <c:size val="10"/>
            <c:spPr>
              <a:solidFill>
                <a:srgbClr val="F1C232"/>
              </a:solidFill>
              <a:ln cmpd="sng">
                <a:solidFill>
                  <a:srgbClr val="F1C232"/>
                </a:solidFill>
              </a:ln>
            </c:spPr>
          </c:marker>
          <c:cat>
            <c:strRef>
              <c:f>Report!$K$203:$K$215</c:f>
            </c:strRef>
          </c:cat>
          <c:val>
            <c:numRef>
              <c:f>Report!$G$203:$G$212</c:f>
            </c:numRef>
          </c:val>
          <c:smooth val="1"/>
        </c:ser>
        <c:ser>
          <c:idx val="3"/>
          <c:order val="3"/>
          <c:tx>
            <c:strRef>
              <c:f>Report!$H$202</c:f>
            </c:strRef>
          </c:tx>
          <c:spPr>
            <a:ln cmpd="sng" w="9525">
              <a:solidFill>
                <a:srgbClr val="57C9CF"/>
              </a:solidFill>
            </a:ln>
          </c:spPr>
          <c:marker>
            <c:symbol val="circle"/>
            <c:size val="10"/>
            <c:spPr>
              <a:solidFill>
                <a:srgbClr val="57C9CF"/>
              </a:solidFill>
              <a:ln cmpd="sng">
                <a:solidFill>
                  <a:srgbClr val="57C9CF"/>
                </a:solidFill>
              </a:ln>
            </c:spPr>
          </c:marker>
          <c:cat>
            <c:strRef>
              <c:f>Report!$K$203:$K$215</c:f>
            </c:strRef>
          </c:cat>
          <c:val>
            <c:numRef>
              <c:f>Report!$H$203:$H$212</c:f>
            </c:numRef>
          </c:val>
          <c:smooth val="1"/>
        </c:ser>
        <c:ser>
          <c:idx val="4"/>
          <c:order val="4"/>
          <c:tx>
            <c:strRef>
              <c:f>Report!$I$202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circle"/>
            <c:size val="1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Report!$K$203:$K$215</c:f>
            </c:strRef>
          </c:cat>
          <c:val>
            <c:numRef>
              <c:f>Report!$I$203:$I$212</c:f>
            </c:numRef>
          </c:val>
          <c:smooth val="1"/>
        </c:ser>
        <c:ser>
          <c:idx val="6"/>
          <c:order val="6"/>
          <c:tx>
            <c:strRef>
              <c:f>Report!$D$202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Report!$K$203:$K$215</c:f>
            </c:strRef>
          </c:cat>
          <c:val>
            <c:numRef>
              <c:f>Report!$D$203:$D$215</c:f>
            </c:numRef>
          </c:val>
          <c:smooth val="1"/>
        </c:ser>
        <c:axId val="1733495897"/>
        <c:axId val="675475145"/>
      </c:lineChart>
      <c:catAx>
        <c:axId val="1733495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FLOW (% Rated Capacity)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5475145"/>
      </c:catAx>
      <c:valAx>
        <c:axId val="675475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PRESSURE (P.S.I.)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495897"/>
      </c:valAx>
      <c:lineChart>
        <c:varyColors val="0"/>
        <c:ser>
          <c:idx val="5"/>
          <c:order val="5"/>
          <c:tx>
            <c:strRef>
              <c:f>Report!$J$202</c:f>
            </c:strRef>
          </c:tx>
          <c:marker>
            <c:symbol val="circle"/>
            <c:size val="1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Report!$K$203:$K$215</c:f>
            </c:strRef>
          </c:cat>
          <c:val>
            <c:numRef>
              <c:f>Report!$J$203:$J$212</c:f>
            </c:numRef>
          </c:val>
          <c:smooth val="1"/>
        </c:ser>
        <c:axId val="1615370326"/>
        <c:axId val="848052291"/>
      </c:lineChart>
      <c:catAx>
        <c:axId val="1615370326"/>
        <c:scaling>
          <c:orientation val="minMax"/>
        </c:scaling>
        <c:delete val="1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052291"/>
      </c:catAx>
      <c:valAx>
        <c:axId val="84805229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AMPERES</a:t>
                </a:r>
              </a:p>
            </c:rich>
          </c:tx>
          <c:layout>
            <c:manualLayout>
              <c:xMode val="edge"/>
              <c:yMode val="edge"/>
              <c:x val="0.9349665897772017"/>
              <c:y val="0.13800394237303742"/>
            </c:manualLayout>
          </c:layout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370326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466725</xdr:colOff>
      <xdr:row>168</xdr:row>
      <xdr:rowOff>180975</xdr:rowOff>
    </xdr:from>
    <xdr:ext cx="8296275" cy="5876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361950</xdr:colOff>
      <xdr:row>169</xdr:row>
      <xdr:rowOff>114300</xdr:rowOff>
    </xdr:from>
    <xdr:ext cx="190500" cy="676275"/>
    <xdr:sp>
      <xdr:nvSpPr>
        <xdr:cNvPr id="3" name="Shape 3"/>
        <xdr:cNvSpPr/>
      </xdr:nvSpPr>
      <xdr:spPr>
        <a:xfrm>
          <a:off x="2586500" y="885125"/>
          <a:ext cx="373800" cy="2370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76200</xdr:colOff>
      <xdr:row>174</xdr:row>
      <xdr:rowOff>28575</xdr:rowOff>
    </xdr:from>
    <xdr:ext cx="514350" cy="190500"/>
    <xdr:sp>
      <xdr:nvSpPr>
        <xdr:cNvPr id="4" name="Shape 4"/>
        <xdr:cNvSpPr/>
      </xdr:nvSpPr>
      <xdr:spPr>
        <a:xfrm>
          <a:off x="1249000" y="1249000"/>
          <a:ext cx="3550200" cy="3246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17</xdr:col>
      <xdr:colOff>304800</xdr:colOff>
      <xdr:row>173</xdr:row>
      <xdr:rowOff>180975</xdr:rowOff>
    </xdr:from>
    <xdr:ext cx="571500" cy="190500"/>
    <xdr:sp>
      <xdr:nvSpPr>
        <xdr:cNvPr id="5" name="Shape 5"/>
        <xdr:cNvSpPr/>
      </xdr:nvSpPr>
      <xdr:spPr>
        <a:xfrm>
          <a:off x="1740725" y="1957075"/>
          <a:ext cx="2311200" cy="1377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ucld.us/_proto/index.html" TargetMode="External"/><Relationship Id="rId2" Type="http://schemas.openxmlformats.org/officeDocument/2006/relationships/hyperlink" Target="https://s3.amazonaws.com/UcAssetDataProduction/8ffa21a4-feeb-4341-b99f-0ff6134736c7.jpg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about:blank" TargetMode="External"/><Relationship Id="rId194" Type="http://schemas.openxmlformats.org/officeDocument/2006/relationships/hyperlink" Target="about:blank" TargetMode="External"/><Relationship Id="rId193" Type="http://schemas.openxmlformats.org/officeDocument/2006/relationships/hyperlink" Target="about:blank" TargetMode="External"/><Relationship Id="rId192" Type="http://schemas.openxmlformats.org/officeDocument/2006/relationships/hyperlink" Target="about:blank" TargetMode="External"/><Relationship Id="rId191" Type="http://schemas.openxmlformats.org/officeDocument/2006/relationships/hyperlink" Target="about:blank" TargetMode="External"/><Relationship Id="rId187" Type="http://schemas.openxmlformats.org/officeDocument/2006/relationships/hyperlink" Target="about:blank" TargetMode="External"/><Relationship Id="rId186" Type="http://schemas.openxmlformats.org/officeDocument/2006/relationships/hyperlink" Target="about:blank" TargetMode="External"/><Relationship Id="rId185" Type="http://schemas.openxmlformats.org/officeDocument/2006/relationships/hyperlink" Target="about:blank" TargetMode="External"/><Relationship Id="rId184" Type="http://schemas.openxmlformats.org/officeDocument/2006/relationships/hyperlink" Target="about:blank" TargetMode="External"/><Relationship Id="rId189" Type="http://schemas.openxmlformats.org/officeDocument/2006/relationships/hyperlink" Target="about:blank" TargetMode="External"/><Relationship Id="rId188" Type="http://schemas.openxmlformats.org/officeDocument/2006/relationships/hyperlink" Target="about:blank" TargetMode="External"/><Relationship Id="rId183" Type="http://schemas.openxmlformats.org/officeDocument/2006/relationships/hyperlink" Target="about:blank" TargetMode="External"/><Relationship Id="rId182" Type="http://schemas.openxmlformats.org/officeDocument/2006/relationships/hyperlink" Target="about:blank" TargetMode="External"/><Relationship Id="rId181" Type="http://schemas.openxmlformats.org/officeDocument/2006/relationships/hyperlink" Target="about:blank" TargetMode="External"/><Relationship Id="rId180" Type="http://schemas.openxmlformats.org/officeDocument/2006/relationships/hyperlink" Target="about:blank" TargetMode="External"/><Relationship Id="rId176" Type="http://schemas.openxmlformats.org/officeDocument/2006/relationships/hyperlink" Target="about:blank" TargetMode="External"/><Relationship Id="rId297" Type="http://schemas.openxmlformats.org/officeDocument/2006/relationships/hyperlink" Target="about:blank" TargetMode="External"/><Relationship Id="rId175" Type="http://schemas.openxmlformats.org/officeDocument/2006/relationships/hyperlink" Target="about:blank" TargetMode="External"/><Relationship Id="rId296" Type="http://schemas.openxmlformats.org/officeDocument/2006/relationships/hyperlink" Target="about:blank" TargetMode="External"/><Relationship Id="rId174" Type="http://schemas.openxmlformats.org/officeDocument/2006/relationships/hyperlink" Target="about:blank" TargetMode="External"/><Relationship Id="rId295" Type="http://schemas.openxmlformats.org/officeDocument/2006/relationships/hyperlink" Target="about:blank" TargetMode="External"/><Relationship Id="rId173" Type="http://schemas.openxmlformats.org/officeDocument/2006/relationships/hyperlink" Target="about:blank" TargetMode="External"/><Relationship Id="rId294" Type="http://schemas.openxmlformats.org/officeDocument/2006/relationships/hyperlink" Target="about:blank" TargetMode="External"/><Relationship Id="rId179" Type="http://schemas.openxmlformats.org/officeDocument/2006/relationships/hyperlink" Target="about:blank" TargetMode="External"/><Relationship Id="rId178" Type="http://schemas.openxmlformats.org/officeDocument/2006/relationships/hyperlink" Target="about:blank" TargetMode="External"/><Relationship Id="rId299" Type="http://schemas.openxmlformats.org/officeDocument/2006/relationships/hyperlink" Target="about:blank" TargetMode="External"/><Relationship Id="rId177" Type="http://schemas.openxmlformats.org/officeDocument/2006/relationships/hyperlink" Target="about:blank" TargetMode="External"/><Relationship Id="rId298" Type="http://schemas.openxmlformats.org/officeDocument/2006/relationships/hyperlink" Target="about:blank" TargetMode="External"/><Relationship Id="rId198" Type="http://schemas.openxmlformats.org/officeDocument/2006/relationships/hyperlink" Target="about:blank" TargetMode="External"/><Relationship Id="rId197" Type="http://schemas.openxmlformats.org/officeDocument/2006/relationships/hyperlink" Target="about:blank" TargetMode="External"/><Relationship Id="rId196" Type="http://schemas.openxmlformats.org/officeDocument/2006/relationships/hyperlink" Target="about:blank" TargetMode="External"/><Relationship Id="rId195" Type="http://schemas.openxmlformats.org/officeDocument/2006/relationships/hyperlink" Target="about:blank" TargetMode="External"/><Relationship Id="rId199" Type="http://schemas.openxmlformats.org/officeDocument/2006/relationships/hyperlink" Target="about:blank" TargetMode="External"/><Relationship Id="rId150" Type="http://schemas.openxmlformats.org/officeDocument/2006/relationships/hyperlink" Target="about:blank" TargetMode="External"/><Relationship Id="rId271" Type="http://schemas.openxmlformats.org/officeDocument/2006/relationships/hyperlink" Target="about:blank" TargetMode="External"/><Relationship Id="rId392" Type="http://schemas.openxmlformats.org/officeDocument/2006/relationships/hyperlink" Target="about:blank" TargetMode="External"/><Relationship Id="rId270" Type="http://schemas.openxmlformats.org/officeDocument/2006/relationships/hyperlink" Target="about:blank" TargetMode="External"/><Relationship Id="rId391" Type="http://schemas.openxmlformats.org/officeDocument/2006/relationships/hyperlink" Target="about:blank" TargetMode="External"/><Relationship Id="rId390" Type="http://schemas.openxmlformats.org/officeDocument/2006/relationships/hyperlink" Target="about:blank" TargetMode="External"/><Relationship Id="rId1" Type="http://schemas.openxmlformats.org/officeDocument/2006/relationships/hyperlink" Target="https://ucld.us/" TargetMode="External"/><Relationship Id="rId2" Type="http://schemas.openxmlformats.org/officeDocument/2006/relationships/hyperlink" Target="https://ucld.us/_proto/index.html" TargetMode="External"/><Relationship Id="rId3" Type="http://schemas.openxmlformats.org/officeDocument/2006/relationships/hyperlink" Target="https://s3.amazonaws.com/UcAssetDataProduction/8ffa21a4-feeb-4341-b99f-0ff6134736c7.jpg" TargetMode="External"/><Relationship Id="rId149" Type="http://schemas.openxmlformats.org/officeDocument/2006/relationships/hyperlink" Target="about:blank" TargetMode="External"/><Relationship Id="rId4" Type="http://schemas.openxmlformats.org/officeDocument/2006/relationships/hyperlink" Target="https://ucld.us/_proto/index.html" TargetMode="External"/><Relationship Id="rId148" Type="http://schemas.openxmlformats.org/officeDocument/2006/relationships/hyperlink" Target="about:blank" TargetMode="External"/><Relationship Id="rId269" Type="http://schemas.openxmlformats.org/officeDocument/2006/relationships/hyperlink" Target="about:blank" TargetMode="External"/><Relationship Id="rId9" Type="http://schemas.openxmlformats.org/officeDocument/2006/relationships/hyperlink" Target="https://s3.amazonaws.com/UcAssetDataProduction/8ffa21a4-feeb-4341-b99f-0ff6134736c7.jpg" TargetMode="External"/><Relationship Id="rId143" Type="http://schemas.openxmlformats.org/officeDocument/2006/relationships/hyperlink" Target="about:blank" TargetMode="External"/><Relationship Id="rId264" Type="http://schemas.openxmlformats.org/officeDocument/2006/relationships/hyperlink" Target="about:blank" TargetMode="External"/><Relationship Id="rId385" Type="http://schemas.openxmlformats.org/officeDocument/2006/relationships/hyperlink" Target="about:blank" TargetMode="External"/><Relationship Id="rId142" Type="http://schemas.openxmlformats.org/officeDocument/2006/relationships/hyperlink" Target="about:blank" TargetMode="External"/><Relationship Id="rId263" Type="http://schemas.openxmlformats.org/officeDocument/2006/relationships/hyperlink" Target="about:blank" TargetMode="External"/><Relationship Id="rId384" Type="http://schemas.openxmlformats.org/officeDocument/2006/relationships/hyperlink" Target="about:blank" TargetMode="External"/><Relationship Id="rId141" Type="http://schemas.openxmlformats.org/officeDocument/2006/relationships/hyperlink" Target="about:blank" TargetMode="External"/><Relationship Id="rId262" Type="http://schemas.openxmlformats.org/officeDocument/2006/relationships/hyperlink" Target="about:blank" TargetMode="External"/><Relationship Id="rId383" Type="http://schemas.openxmlformats.org/officeDocument/2006/relationships/hyperlink" Target="about:blank" TargetMode="External"/><Relationship Id="rId140" Type="http://schemas.openxmlformats.org/officeDocument/2006/relationships/hyperlink" Target="about:blank" TargetMode="External"/><Relationship Id="rId261" Type="http://schemas.openxmlformats.org/officeDocument/2006/relationships/hyperlink" Target="about:blank" TargetMode="External"/><Relationship Id="rId382" Type="http://schemas.openxmlformats.org/officeDocument/2006/relationships/hyperlink" Target="about:blank" TargetMode="External"/><Relationship Id="rId5" Type="http://schemas.openxmlformats.org/officeDocument/2006/relationships/hyperlink" Target="https://s3.amazonaws.com/UcAssetDataProduction/8ffa21a4-feeb-4341-b99f-0ff6134736c7.jpg" TargetMode="External"/><Relationship Id="rId147" Type="http://schemas.openxmlformats.org/officeDocument/2006/relationships/hyperlink" Target="about:blank" TargetMode="External"/><Relationship Id="rId268" Type="http://schemas.openxmlformats.org/officeDocument/2006/relationships/hyperlink" Target="about:blank" TargetMode="External"/><Relationship Id="rId389" Type="http://schemas.openxmlformats.org/officeDocument/2006/relationships/hyperlink" Target="about:blank" TargetMode="External"/><Relationship Id="rId6" Type="http://schemas.openxmlformats.org/officeDocument/2006/relationships/hyperlink" Target="https://ucld.us/_proto/index.html" TargetMode="External"/><Relationship Id="rId146" Type="http://schemas.openxmlformats.org/officeDocument/2006/relationships/hyperlink" Target="about:blank" TargetMode="External"/><Relationship Id="rId267" Type="http://schemas.openxmlformats.org/officeDocument/2006/relationships/hyperlink" Target="about:blank" TargetMode="External"/><Relationship Id="rId388" Type="http://schemas.openxmlformats.org/officeDocument/2006/relationships/hyperlink" Target="about:blank" TargetMode="External"/><Relationship Id="rId7" Type="http://schemas.openxmlformats.org/officeDocument/2006/relationships/hyperlink" Target="https://s3.amazonaws.com/UcAssetDataProduction/8ffa21a4-feeb-4341-b99f-0ff6134736c7.jpg" TargetMode="External"/><Relationship Id="rId145" Type="http://schemas.openxmlformats.org/officeDocument/2006/relationships/hyperlink" Target="about:blank" TargetMode="External"/><Relationship Id="rId266" Type="http://schemas.openxmlformats.org/officeDocument/2006/relationships/hyperlink" Target="about:blank" TargetMode="External"/><Relationship Id="rId387" Type="http://schemas.openxmlformats.org/officeDocument/2006/relationships/hyperlink" Target="about:blank" TargetMode="External"/><Relationship Id="rId8" Type="http://schemas.openxmlformats.org/officeDocument/2006/relationships/hyperlink" Target="https://ucld.us/_proto/index.html" TargetMode="External"/><Relationship Id="rId144" Type="http://schemas.openxmlformats.org/officeDocument/2006/relationships/hyperlink" Target="about:blank" TargetMode="External"/><Relationship Id="rId265" Type="http://schemas.openxmlformats.org/officeDocument/2006/relationships/hyperlink" Target="about:blank" TargetMode="External"/><Relationship Id="rId386" Type="http://schemas.openxmlformats.org/officeDocument/2006/relationships/hyperlink" Target="about:blank" TargetMode="External"/><Relationship Id="rId260" Type="http://schemas.openxmlformats.org/officeDocument/2006/relationships/hyperlink" Target="about:blank" TargetMode="External"/><Relationship Id="rId381" Type="http://schemas.openxmlformats.org/officeDocument/2006/relationships/hyperlink" Target="about:blank" TargetMode="External"/><Relationship Id="rId380" Type="http://schemas.openxmlformats.org/officeDocument/2006/relationships/hyperlink" Target="about:blank" TargetMode="External"/><Relationship Id="rId139" Type="http://schemas.openxmlformats.org/officeDocument/2006/relationships/hyperlink" Target="about:blank" TargetMode="External"/><Relationship Id="rId138" Type="http://schemas.openxmlformats.org/officeDocument/2006/relationships/hyperlink" Target="about:blank" TargetMode="External"/><Relationship Id="rId259" Type="http://schemas.openxmlformats.org/officeDocument/2006/relationships/hyperlink" Target="about:blank" TargetMode="External"/><Relationship Id="rId137" Type="http://schemas.openxmlformats.org/officeDocument/2006/relationships/hyperlink" Target="about:blank" TargetMode="External"/><Relationship Id="rId258" Type="http://schemas.openxmlformats.org/officeDocument/2006/relationships/hyperlink" Target="about:blank" TargetMode="External"/><Relationship Id="rId379" Type="http://schemas.openxmlformats.org/officeDocument/2006/relationships/hyperlink" Target="about:blank" TargetMode="External"/><Relationship Id="rId132" Type="http://schemas.openxmlformats.org/officeDocument/2006/relationships/hyperlink" Target="about:blank" TargetMode="External"/><Relationship Id="rId253" Type="http://schemas.openxmlformats.org/officeDocument/2006/relationships/hyperlink" Target="about:blank" TargetMode="External"/><Relationship Id="rId374" Type="http://schemas.openxmlformats.org/officeDocument/2006/relationships/hyperlink" Target="about:blank" TargetMode="External"/><Relationship Id="rId131" Type="http://schemas.openxmlformats.org/officeDocument/2006/relationships/hyperlink" Target="about:blank" TargetMode="External"/><Relationship Id="rId252" Type="http://schemas.openxmlformats.org/officeDocument/2006/relationships/hyperlink" Target="about:blank" TargetMode="External"/><Relationship Id="rId373" Type="http://schemas.openxmlformats.org/officeDocument/2006/relationships/hyperlink" Target="about:blank" TargetMode="External"/><Relationship Id="rId130" Type="http://schemas.openxmlformats.org/officeDocument/2006/relationships/hyperlink" Target="about:blank" TargetMode="External"/><Relationship Id="rId251" Type="http://schemas.openxmlformats.org/officeDocument/2006/relationships/hyperlink" Target="about:blank" TargetMode="External"/><Relationship Id="rId372" Type="http://schemas.openxmlformats.org/officeDocument/2006/relationships/hyperlink" Target="about:blank" TargetMode="External"/><Relationship Id="rId250" Type="http://schemas.openxmlformats.org/officeDocument/2006/relationships/hyperlink" Target="about:blank" TargetMode="External"/><Relationship Id="rId371" Type="http://schemas.openxmlformats.org/officeDocument/2006/relationships/hyperlink" Target="about:blank" TargetMode="External"/><Relationship Id="rId136" Type="http://schemas.openxmlformats.org/officeDocument/2006/relationships/hyperlink" Target="about:blank" TargetMode="External"/><Relationship Id="rId257" Type="http://schemas.openxmlformats.org/officeDocument/2006/relationships/hyperlink" Target="about:blank" TargetMode="External"/><Relationship Id="rId378" Type="http://schemas.openxmlformats.org/officeDocument/2006/relationships/hyperlink" Target="about:blank" TargetMode="External"/><Relationship Id="rId135" Type="http://schemas.openxmlformats.org/officeDocument/2006/relationships/hyperlink" Target="about:blank" TargetMode="External"/><Relationship Id="rId256" Type="http://schemas.openxmlformats.org/officeDocument/2006/relationships/hyperlink" Target="about:blank" TargetMode="External"/><Relationship Id="rId377" Type="http://schemas.openxmlformats.org/officeDocument/2006/relationships/hyperlink" Target="about:blank" TargetMode="External"/><Relationship Id="rId134" Type="http://schemas.openxmlformats.org/officeDocument/2006/relationships/hyperlink" Target="about:blank" TargetMode="External"/><Relationship Id="rId255" Type="http://schemas.openxmlformats.org/officeDocument/2006/relationships/hyperlink" Target="about:blank" TargetMode="External"/><Relationship Id="rId376" Type="http://schemas.openxmlformats.org/officeDocument/2006/relationships/hyperlink" Target="about:blank" TargetMode="External"/><Relationship Id="rId133" Type="http://schemas.openxmlformats.org/officeDocument/2006/relationships/hyperlink" Target="about:blank" TargetMode="External"/><Relationship Id="rId254" Type="http://schemas.openxmlformats.org/officeDocument/2006/relationships/hyperlink" Target="about:blank" TargetMode="External"/><Relationship Id="rId375" Type="http://schemas.openxmlformats.org/officeDocument/2006/relationships/hyperlink" Target="about:blank" TargetMode="External"/><Relationship Id="rId172" Type="http://schemas.openxmlformats.org/officeDocument/2006/relationships/hyperlink" Target="about:blank" TargetMode="External"/><Relationship Id="rId293" Type="http://schemas.openxmlformats.org/officeDocument/2006/relationships/hyperlink" Target="about:blank" TargetMode="External"/><Relationship Id="rId171" Type="http://schemas.openxmlformats.org/officeDocument/2006/relationships/hyperlink" Target="about:blank" TargetMode="External"/><Relationship Id="rId292" Type="http://schemas.openxmlformats.org/officeDocument/2006/relationships/hyperlink" Target="about:blank" TargetMode="External"/><Relationship Id="rId170" Type="http://schemas.openxmlformats.org/officeDocument/2006/relationships/hyperlink" Target="about:blank" TargetMode="External"/><Relationship Id="rId291" Type="http://schemas.openxmlformats.org/officeDocument/2006/relationships/hyperlink" Target="about:blank" TargetMode="External"/><Relationship Id="rId290" Type="http://schemas.openxmlformats.org/officeDocument/2006/relationships/hyperlink" Target="about:blank" TargetMode="External"/><Relationship Id="rId165" Type="http://schemas.openxmlformats.org/officeDocument/2006/relationships/hyperlink" Target="about:blank" TargetMode="External"/><Relationship Id="rId286" Type="http://schemas.openxmlformats.org/officeDocument/2006/relationships/hyperlink" Target="about:blank" TargetMode="External"/><Relationship Id="rId164" Type="http://schemas.openxmlformats.org/officeDocument/2006/relationships/hyperlink" Target="about:blank" TargetMode="External"/><Relationship Id="rId285" Type="http://schemas.openxmlformats.org/officeDocument/2006/relationships/hyperlink" Target="about:blank" TargetMode="External"/><Relationship Id="rId163" Type="http://schemas.openxmlformats.org/officeDocument/2006/relationships/hyperlink" Target="about:blank" TargetMode="External"/><Relationship Id="rId284" Type="http://schemas.openxmlformats.org/officeDocument/2006/relationships/hyperlink" Target="about:blank" TargetMode="External"/><Relationship Id="rId162" Type="http://schemas.openxmlformats.org/officeDocument/2006/relationships/hyperlink" Target="about:blank" TargetMode="External"/><Relationship Id="rId283" Type="http://schemas.openxmlformats.org/officeDocument/2006/relationships/hyperlink" Target="about:blank" TargetMode="External"/><Relationship Id="rId169" Type="http://schemas.openxmlformats.org/officeDocument/2006/relationships/hyperlink" Target="about:blank" TargetMode="External"/><Relationship Id="rId168" Type="http://schemas.openxmlformats.org/officeDocument/2006/relationships/hyperlink" Target="about:blank" TargetMode="External"/><Relationship Id="rId289" Type="http://schemas.openxmlformats.org/officeDocument/2006/relationships/hyperlink" Target="about:blank" TargetMode="External"/><Relationship Id="rId167" Type="http://schemas.openxmlformats.org/officeDocument/2006/relationships/hyperlink" Target="about:blank" TargetMode="External"/><Relationship Id="rId288" Type="http://schemas.openxmlformats.org/officeDocument/2006/relationships/hyperlink" Target="about:blank" TargetMode="External"/><Relationship Id="rId166" Type="http://schemas.openxmlformats.org/officeDocument/2006/relationships/hyperlink" Target="about:blank" TargetMode="External"/><Relationship Id="rId287" Type="http://schemas.openxmlformats.org/officeDocument/2006/relationships/hyperlink" Target="about:blank" TargetMode="External"/><Relationship Id="rId161" Type="http://schemas.openxmlformats.org/officeDocument/2006/relationships/hyperlink" Target="about:blank" TargetMode="External"/><Relationship Id="rId282" Type="http://schemas.openxmlformats.org/officeDocument/2006/relationships/hyperlink" Target="about:blank" TargetMode="External"/><Relationship Id="rId160" Type="http://schemas.openxmlformats.org/officeDocument/2006/relationships/hyperlink" Target="about:blank" TargetMode="External"/><Relationship Id="rId281" Type="http://schemas.openxmlformats.org/officeDocument/2006/relationships/hyperlink" Target="about:blank" TargetMode="External"/><Relationship Id="rId280" Type="http://schemas.openxmlformats.org/officeDocument/2006/relationships/hyperlink" Target="about:blank" TargetMode="External"/><Relationship Id="rId159" Type="http://schemas.openxmlformats.org/officeDocument/2006/relationships/hyperlink" Target="about:blank" TargetMode="External"/><Relationship Id="rId154" Type="http://schemas.openxmlformats.org/officeDocument/2006/relationships/hyperlink" Target="about:blank" TargetMode="External"/><Relationship Id="rId275" Type="http://schemas.openxmlformats.org/officeDocument/2006/relationships/hyperlink" Target="about:blank" TargetMode="External"/><Relationship Id="rId396" Type="http://schemas.openxmlformats.org/officeDocument/2006/relationships/hyperlink" Target="about:blank" TargetMode="External"/><Relationship Id="rId153" Type="http://schemas.openxmlformats.org/officeDocument/2006/relationships/hyperlink" Target="about:blank" TargetMode="External"/><Relationship Id="rId274" Type="http://schemas.openxmlformats.org/officeDocument/2006/relationships/hyperlink" Target="about:blank" TargetMode="External"/><Relationship Id="rId395" Type="http://schemas.openxmlformats.org/officeDocument/2006/relationships/hyperlink" Target="about:blank" TargetMode="External"/><Relationship Id="rId152" Type="http://schemas.openxmlformats.org/officeDocument/2006/relationships/hyperlink" Target="about:blank" TargetMode="External"/><Relationship Id="rId273" Type="http://schemas.openxmlformats.org/officeDocument/2006/relationships/hyperlink" Target="about:blank" TargetMode="External"/><Relationship Id="rId394" Type="http://schemas.openxmlformats.org/officeDocument/2006/relationships/hyperlink" Target="about:blank" TargetMode="External"/><Relationship Id="rId151" Type="http://schemas.openxmlformats.org/officeDocument/2006/relationships/hyperlink" Target="about:blank" TargetMode="External"/><Relationship Id="rId272" Type="http://schemas.openxmlformats.org/officeDocument/2006/relationships/hyperlink" Target="about:blank" TargetMode="External"/><Relationship Id="rId393" Type="http://schemas.openxmlformats.org/officeDocument/2006/relationships/hyperlink" Target="about:blank" TargetMode="External"/><Relationship Id="rId158" Type="http://schemas.openxmlformats.org/officeDocument/2006/relationships/hyperlink" Target="about:blank" TargetMode="External"/><Relationship Id="rId279" Type="http://schemas.openxmlformats.org/officeDocument/2006/relationships/hyperlink" Target="about:blank" TargetMode="External"/><Relationship Id="rId157" Type="http://schemas.openxmlformats.org/officeDocument/2006/relationships/hyperlink" Target="about:blank" TargetMode="External"/><Relationship Id="rId278" Type="http://schemas.openxmlformats.org/officeDocument/2006/relationships/hyperlink" Target="about:blank" TargetMode="External"/><Relationship Id="rId399" Type="http://schemas.openxmlformats.org/officeDocument/2006/relationships/hyperlink" Target="about:blank" TargetMode="External"/><Relationship Id="rId156" Type="http://schemas.openxmlformats.org/officeDocument/2006/relationships/hyperlink" Target="about:blank" TargetMode="External"/><Relationship Id="rId277" Type="http://schemas.openxmlformats.org/officeDocument/2006/relationships/hyperlink" Target="about:blank" TargetMode="External"/><Relationship Id="rId398" Type="http://schemas.openxmlformats.org/officeDocument/2006/relationships/hyperlink" Target="about:blank" TargetMode="External"/><Relationship Id="rId155" Type="http://schemas.openxmlformats.org/officeDocument/2006/relationships/hyperlink" Target="about:blank" TargetMode="External"/><Relationship Id="rId276" Type="http://schemas.openxmlformats.org/officeDocument/2006/relationships/hyperlink" Target="about:blank" TargetMode="External"/><Relationship Id="rId397" Type="http://schemas.openxmlformats.org/officeDocument/2006/relationships/hyperlink" Target="about:blank" TargetMode="External"/><Relationship Id="rId40" Type="http://schemas.openxmlformats.org/officeDocument/2006/relationships/hyperlink" Target="about:blank" TargetMode="External"/><Relationship Id="rId42" Type="http://schemas.openxmlformats.org/officeDocument/2006/relationships/hyperlink" Target="about:blank" TargetMode="External"/><Relationship Id="rId41" Type="http://schemas.openxmlformats.org/officeDocument/2006/relationships/hyperlink" Target="about:blank" TargetMode="External"/><Relationship Id="rId44" Type="http://schemas.openxmlformats.org/officeDocument/2006/relationships/hyperlink" Target="about:blank" TargetMode="External"/><Relationship Id="rId43" Type="http://schemas.openxmlformats.org/officeDocument/2006/relationships/hyperlink" Target="about:blank" TargetMode="External"/><Relationship Id="rId46" Type="http://schemas.openxmlformats.org/officeDocument/2006/relationships/hyperlink" Target="about:blank" TargetMode="External"/><Relationship Id="rId45" Type="http://schemas.openxmlformats.org/officeDocument/2006/relationships/hyperlink" Target="about:blank" TargetMode="External"/><Relationship Id="rId48" Type="http://schemas.openxmlformats.org/officeDocument/2006/relationships/hyperlink" Target="about:blank" TargetMode="External"/><Relationship Id="rId47" Type="http://schemas.openxmlformats.org/officeDocument/2006/relationships/hyperlink" Target="about:blank" TargetMode="External"/><Relationship Id="rId49" Type="http://schemas.openxmlformats.org/officeDocument/2006/relationships/hyperlink" Target="about:blank" TargetMode="External"/><Relationship Id="rId31" Type="http://schemas.openxmlformats.org/officeDocument/2006/relationships/hyperlink" Target="about:blank" TargetMode="External"/><Relationship Id="rId30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32" Type="http://schemas.openxmlformats.org/officeDocument/2006/relationships/hyperlink" Target="about:blank" TargetMode="External"/><Relationship Id="rId35" Type="http://schemas.openxmlformats.org/officeDocument/2006/relationships/hyperlink" Target="about:blank" TargetMode="External"/><Relationship Id="rId34" Type="http://schemas.openxmlformats.org/officeDocument/2006/relationships/hyperlink" Target="about:blank" TargetMode="External"/><Relationship Id="rId37" Type="http://schemas.openxmlformats.org/officeDocument/2006/relationships/hyperlink" Target="about:blank" TargetMode="External"/><Relationship Id="rId36" Type="http://schemas.openxmlformats.org/officeDocument/2006/relationships/hyperlink" Target="about:blank" TargetMode="External"/><Relationship Id="rId39" Type="http://schemas.openxmlformats.org/officeDocument/2006/relationships/hyperlink" Target="about:blank" TargetMode="External"/><Relationship Id="rId38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409" Type="http://schemas.openxmlformats.org/officeDocument/2006/relationships/hyperlink" Target="about:blank" TargetMode="External"/><Relationship Id="rId404" Type="http://schemas.openxmlformats.org/officeDocument/2006/relationships/hyperlink" Target="about:blank" TargetMode="External"/><Relationship Id="rId403" Type="http://schemas.openxmlformats.org/officeDocument/2006/relationships/hyperlink" Target="about:blank" TargetMode="External"/><Relationship Id="rId402" Type="http://schemas.openxmlformats.org/officeDocument/2006/relationships/hyperlink" Target="about:blank" TargetMode="External"/><Relationship Id="rId401" Type="http://schemas.openxmlformats.org/officeDocument/2006/relationships/hyperlink" Target="about:blank" TargetMode="External"/><Relationship Id="rId408" Type="http://schemas.openxmlformats.org/officeDocument/2006/relationships/hyperlink" Target="about:blank" TargetMode="External"/><Relationship Id="rId407" Type="http://schemas.openxmlformats.org/officeDocument/2006/relationships/hyperlink" Target="about:blank" TargetMode="External"/><Relationship Id="rId406" Type="http://schemas.openxmlformats.org/officeDocument/2006/relationships/hyperlink" Target="about:blank" TargetMode="External"/><Relationship Id="rId405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28" Type="http://schemas.openxmlformats.org/officeDocument/2006/relationships/hyperlink" Target="about:blank" TargetMode="External"/><Relationship Id="rId27" Type="http://schemas.openxmlformats.org/officeDocument/2006/relationships/hyperlink" Target="about:blank" TargetMode="External"/><Relationship Id="rId400" Type="http://schemas.openxmlformats.org/officeDocument/2006/relationships/hyperlink" Target="about:blank" TargetMode="External"/><Relationship Id="rId29" Type="http://schemas.openxmlformats.org/officeDocument/2006/relationships/hyperlink" Target="about:blank" TargetMode="External"/><Relationship Id="rId11" Type="http://schemas.openxmlformats.org/officeDocument/2006/relationships/hyperlink" Target="https://s3.amazonaws.com/UcAssetDataProduction/8ffa21a4-feeb-4341-b99f-0ff6134736c7.jpg" TargetMode="External"/><Relationship Id="rId10" Type="http://schemas.openxmlformats.org/officeDocument/2006/relationships/hyperlink" Target="https://ucld.us/_proto/index.html" TargetMode="External"/><Relationship Id="rId13" Type="http://schemas.openxmlformats.org/officeDocument/2006/relationships/hyperlink" Target="https://s3.amazonaws.com/UcAssetDataProduction/8ffa21a4-feeb-4341-b99f-0ff6134736c7.jpg" TargetMode="External"/><Relationship Id="rId12" Type="http://schemas.openxmlformats.org/officeDocument/2006/relationships/hyperlink" Target="https://ucld.us/_proto/index.html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84" Type="http://schemas.openxmlformats.org/officeDocument/2006/relationships/hyperlink" Target="about:blank" TargetMode="External"/><Relationship Id="rId83" Type="http://schemas.openxmlformats.org/officeDocument/2006/relationships/hyperlink" Target="about:blank" TargetMode="External"/><Relationship Id="rId86" Type="http://schemas.openxmlformats.org/officeDocument/2006/relationships/hyperlink" Target="about:blank" TargetMode="External"/><Relationship Id="rId85" Type="http://schemas.openxmlformats.org/officeDocument/2006/relationships/hyperlink" Target="about:blank" TargetMode="External"/><Relationship Id="rId88" Type="http://schemas.openxmlformats.org/officeDocument/2006/relationships/hyperlink" Target="about:blank" TargetMode="External"/><Relationship Id="rId87" Type="http://schemas.openxmlformats.org/officeDocument/2006/relationships/hyperlink" Target="about:blank" TargetMode="External"/><Relationship Id="rId89" Type="http://schemas.openxmlformats.org/officeDocument/2006/relationships/hyperlink" Target="about:blank" TargetMode="External"/><Relationship Id="rId80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81" Type="http://schemas.openxmlformats.org/officeDocument/2006/relationships/hyperlink" Target="about:blank" TargetMode="External"/><Relationship Id="rId73" Type="http://schemas.openxmlformats.org/officeDocument/2006/relationships/hyperlink" Target="about:blank" TargetMode="External"/><Relationship Id="rId72" Type="http://schemas.openxmlformats.org/officeDocument/2006/relationships/hyperlink" Target="about:blank" TargetMode="External"/><Relationship Id="rId75" Type="http://schemas.openxmlformats.org/officeDocument/2006/relationships/hyperlink" Target="about:blank" TargetMode="External"/><Relationship Id="rId74" Type="http://schemas.openxmlformats.org/officeDocument/2006/relationships/hyperlink" Target="about:blank" TargetMode="External"/><Relationship Id="rId77" Type="http://schemas.openxmlformats.org/officeDocument/2006/relationships/hyperlink" Target="about:blank" TargetMode="External"/><Relationship Id="rId76" Type="http://schemas.openxmlformats.org/officeDocument/2006/relationships/hyperlink" Target="about:blank" TargetMode="External"/><Relationship Id="rId79" Type="http://schemas.openxmlformats.org/officeDocument/2006/relationships/hyperlink" Target="about:blank" TargetMode="External"/><Relationship Id="rId78" Type="http://schemas.openxmlformats.org/officeDocument/2006/relationships/hyperlink" Target="about:blank" TargetMode="External"/><Relationship Id="rId71" Type="http://schemas.openxmlformats.org/officeDocument/2006/relationships/hyperlink" Target="about:blank" TargetMode="External"/><Relationship Id="rId70" Type="http://schemas.openxmlformats.org/officeDocument/2006/relationships/hyperlink" Target="about:blank" TargetMode="External"/><Relationship Id="rId62" Type="http://schemas.openxmlformats.org/officeDocument/2006/relationships/hyperlink" Target="about:blank" TargetMode="External"/><Relationship Id="rId61" Type="http://schemas.openxmlformats.org/officeDocument/2006/relationships/hyperlink" Target="about:blank" TargetMode="External"/><Relationship Id="rId64" Type="http://schemas.openxmlformats.org/officeDocument/2006/relationships/hyperlink" Target="about:blank" TargetMode="External"/><Relationship Id="rId63" Type="http://schemas.openxmlformats.org/officeDocument/2006/relationships/hyperlink" Target="about:blank" TargetMode="External"/><Relationship Id="rId66" Type="http://schemas.openxmlformats.org/officeDocument/2006/relationships/hyperlink" Target="about:blank" TargetMode="External"/><Relationship Id="rId65" Type="http://schemas.openxmlformats.org/officeDocument/2006/relationships/hyperlink" Target="about:blank" TargetMode="External"/><Relationship Id="rId68" Type="http://schemas.openxmlformats.org/officeDocument/2006/relationships/hyperlink" Target="about:blank" TargetMode="External"/><Relationship Id="rId67" Type="http://schemas.openxmlformats.org/officeDocument/2006/relationships/hyperlink" Target="about:blank" TargetMode="External"/><Relationship Id="rId60" Type="http://schemas.openxmlformats.org/officeDocument/2006/relationships/hyperlink" Target="about:blank" TargetMode="External"/><Relationship Id="rId69" Type="http://schemas.openxmlformats.org/officeDocument/2006/relationships/hyperlink" Target="about:blank" TargetMode="External"/><Relationship Id="rId51" Type="http://schemas.openxmlformats.org/officeDocument/2006/relationships/hyperlink" Target="about:blank" TargetMode="External"/><Relationship Id="rId50" Type="http://schemas.openxmlformats.org/officeDocument/2006/relationships/hyperlink" Target="about:blank" TargetMode="External"/><Relationship Id="rId53" Type="http://schemas.openxmlformats.org/officeDocument/2006/relationships/hyperlink" Target="about:blank" TargetMode="External"/><Relationship Id="rId52" Type="http://schemas.openxmlformats.org/officeDocument/2006/relationships/hyperlink" Target="about:blank" TargetMode="External"/><Relationship Id="rId55" Type="http://schemas.openxmlformats.org/officeDocument/2006/relationships/hyperlink" Target="about:blank" TargetMode="External"/><Relationship Id="rId54" Type="http://schemas.openxmlformats.org/officeDocument/2006/relationships/hyperlink" Target="about:blank" TargetMode="External"/><Relationship Id="rId57" Type="http://schemas.openxmlformats.org/officeDocument/2006/relationships/hyperlink" Target="about:blank" TargetMode="External"/><Relationship Id="rId56" Type="http://schemas.openxmlformats.org/officeDocument/2006/relationships/hyperlink" Target="about:blank" TargetMode="External"/><Relationship Id="rId59" Type="http://schemas.openxmlformats.org/officeDocument/2006/relationships/hyperlink" Target="about:blank" TargetMode="External"/><Relationship Id="rId58" Type="http://schemas.openxmlformats.org/officeDocument/2006/relationships/hyperlink" Target="about:blank" TargetMode="External"/><Relationship Id="rId107" Type="http://schemas.openxmlformats.org/officeDocument/2006/relationships/hyperlink" Target="about:blank" TargetMode="External"/><Relationship Id="rId228" Type="http://schemas.openxmlformats.org/officeDocument/2006/relationships/hyperlink" Target="about:blank" TargetMode="External"/><Relationship Id="rId349" Type="http://schemas.openxmlformats.org/officeDocument/2006/relationships/hyperlink" Target="about:blank" TargetMode="External"/><Relationship Id="rId106" Type="http://schemas.openxmlformats.org/officeDocument/2006/relationships/hyperlink" Target="about:blank" TargetMode="External"/><Relationship Id="rId227" Type="http://schemas.openxmlformats.org/officeDocument/2006/relationships/hyperlink" Target="about:blank" TargetMode="External"/><Relationship Id="rId348" Type="http://schemas.openxmlformats.org/officeDocument/2006/relationships/hyperlink" Target="about:blank" TargetMode="External"/><Relationship Id="rId105" Type="http://schemas.openxmlformats.org/officeDocument/2006/relationships/hyperlink" Target="about:blank" TargetMode="External"/><Relationship Id="rId226" Type="http://schemas.openxmlformats.org/officeDocument/2006/relationships/hyperlink" Target="about:blank" TargetMode="External"/><Relationship Id="rId347" Type="http://schemas.openxmlformats.org/officeDocument/2006/relationships/hyperlink" Target="about:blank" TargetMode="External"/><Relationship Id="rId104" Type="http://schemas.openxmlformats.org/officeDocument/2006/relationships/hyperlink" Target="about:blank" TargetMode="External"/><Relationship Id="rId225" Type="http://schemas.openxmlformats.org/officeDocument/2006/relationships/hyperlink" Target="about:blank" TargetMode="External"/><Relationship Id="rId346" Type="http://schemas.openxmlformats.org/officeDocument/2006/relationships/hyperlink" Target="about:blank" TargetMode="External"/><Relationship Id="rId109" Type="http://schemas.openxmlformats.org/officeDocument/2006/relationships/hyperlink" Target="about:blank" TargetMode="External"/><Relationship Id="rId108" Type="http://schemas.openxmlformats.org/officeDocument/2006/relationships/hyperlink" Target="about:blank" TargetMode="External"/><Relationship Id="rId229" Type="http://schemas.openxmlformats.org/officeDocument/2006/relationships/hyperlink" Target="about:blank" TargetMode="External"/><Relationship Id="rId220" Type="http://schemas.openxmlformats.org/officeDocument/2006/relationships/hyperlink" Target="about:blank" TargetMode="External"/><Relationship Id="rId341" Type="http://schemas.openxmlformats.org/officeDocument/2006/relationships/hyperlink" Target="about:blank" TargetMode="External"/><Relationship Id="rId340" Type="http://schemas.openxmlformats.org/officeDocument/2006/relationships/hyperlink" Target="about:blank" TargetMode="External"/><Relationship Id="rId103" Type="http://schemas.openxmlformats.org/officeDocument/2006/relationships/hyperlink" Target="about:blank" TargetMode="External"/><Relationship Id="rId224" Type="http://schemas.openxmlformats.org/officeDocument/2006/relationships/hyperlink" Target="about:blank" TargetMode="External"/><Relationship Id="rId345" Type="http://schemas.openxmlformats.org/officeDocument/2006/relationships/hyperlink" Target="about:blank" TargetMode="External"/><Relationship Id="rId102" Type="http://schemas.openxmlformats.org/officeDocument/2006/relationships/hyperlink" Target="about:blank" TargetMode="External"/><Relationship Id="rId223" Type="http://schemas.openxmlformats.org/officeDocument/2006/relationships/hyperlink" Target="about:blank" TargetMode="External"/><Relationship Id="rId344" Type="http://schemas.openxmlformats.org/officeDocument/2006/relationships/hyperlink" Target="about:blank" TargetMode="External"/><Relationship Id="rId101" Type="http://schemas.openxmlformats.org/officeDocument/2006/relationships/hyperlink" Target="about:blank" TargetMode="External"/><Relationship Id="rId222" Type="http://schemas.openxmlformats.org/officeDocument/2006/relationships/hyperlink" Target="about:blank" TargetMode="External"/><Relationship Id="rId343" Type="http://schemas.openxmlformats.org/officeDocument/2006/relationships/hyperlink" Target="about:blank" TargetMode="External"/><Relationship Id="rId100" Type="http://schemas.openxmlformats.org/officeDocument/2006/relationships/hyperlink" Target="about:blank" TargetMode="External"/><Relationship Id="rId221" Type="http://schemas.openxmlformats.org/officeDocument/2006/relationships/hyperlink" Target="about:blank" TargetMode="External"/><Relationship Id="rId342" Type="http://schemas.openxmlformats.org/officeDocument/2006/relationships/hyperlink" Target="about:blank" TargetMode="External"/><Relationship Id="rId217" Type="http://schemas.openxmlformats.org/officeDocument/2006/relationships/hyperlink" Target="about:blank" TargetMode="External"/><Relationship Id="rId338" Type="http://schemas.openxmlformats.org/officeDocument/2006/relationships/hyperlink" Target="about:blank" TargetMode="External"/><Relationship Id="rId216" Type="http://schemas.openxmlformats.org/officeDocument/2006/relationships/hyperlink" Target="about:blank" TargetMode="External"/><Relationship Id="rId337" Type="http://schemas.openxmlformats.org/officeDocument/2006/relationships/hyperlink" Target="about:blank" TargetMode="External"/><Relationship Id="rId215" Type="http://schemas.openxmlformats.org/officeDocument/2006/relationships/hyperlink" Target="about:blank" TargetMode="External"/><Relationship Id="rId336" Type="http://schemas.openxmlformats.org/officeDocument/2006/relationships/hyperlink" Target="about:blank" TargetMode="External"/><Relationship Id="rId214" Type="http://schemas.openxmlformats.org/officeDocument/2006/relationships/hyperlink" Target="about:blank" TargetMode="External"/><Relationship Id="rId335" Type="http://schemas.openxmlformats.org/officeDocument/2006/relationships/hyperlink" Target="about:blank" TargetMode="External"/><Relationship Id="rId219" Type="http://schemas.openxmlformats.org/officeDocument/2006/relationships/hyperlink" Target="about:blank" TargetMode="External"/><Relationship Id="rId218" Type="http://schemas.openxmlformats.org/officeDocument/2006/relationships/hyperlink" Target="about:blank" TargetMode="External"/><Relationship Id="rId339" Type="http://schemas.openxmlformats.org/officeDocument/2006/relationships/hyperlink" Target="about:blank" TargetMode="External"/><Relationship Id="rId330" Type="http://schemas.openxmlformats.org/officeDocument/2006/relationships/hyperlink" Target="about:blank" TargetMode="External"/><Relationship Id="rId213" Type="http://schemas.openxmlformats.org/officeDocument/2006/relationships/hyperlink" Target="about:blank" TargetMode="External"/><Relationship Id="rId334" Type="http://schemas.openxmlformats.org/officeDocument/2006/relationships/hyperlink" Target="about:blank" TargetMode="External"/><Relationship Id="rId212" Type="http://schemas.openxmlformats.org/officeDocument/2006/relationships/hyperlink" Target="about:blank" TargetMode="External"/><Relationship Id="rId333" Type="http://schemas.openxmlformats.org/officeDocument/2006/relationships/hyperlink" Target="about:blank" TargetMode="External"/><Relationship Id="rId211" Type="http://schemas.openxmlformats.org/officeDocument/2006/relationships/hyperlink" Target="about:blank" TargetMode="External"/><Relationship Id="rId332" Type="http://schemas.openxmlformats.org/officeDocument/2006/relationships/hyperlink" Target="about:blank" TargetMode="External"/><Relationship Id="rId210" Type="http://schemas.openxmlformats.org/officeDocument/2006/relationships/hyperlink" Target="about:blank" TargetMode="External"/><Relationship Id="rId331" Type="http://schemas.openxmlformats.org/officeDocument/2006/relationships/hyperlink" Target="about:blank" TargetMode="External"/><Relationship Id="rId370" Type="http://schemas.openxmlformats.org/officeDocument/2006/relationships/hyperlink" Target="about:blank" TargetMode="External"/><Relationship Id="rId129" Type="http://schemas.openxmlformats.org/officeDocument/2006/relationships/hyperlink" Target="about:blank" TargetMode="External"/><Relationship Id="rId128" Type="http://schemas.openxmlformats.org/officeDocument/2006/relationships/hyperlink" Target="about:blank" TargetMode="External"/><Relationship Id="rId249" Type="http://schemas.openxmlformats.org/officeDocument/2006/relationships/hyperlink" Target="about:blank" TargetMode="External"/><Relationship Id="rId127" Type="http://schemas.openxmlformats.org/officeDocument/2006/relationships/hyperlink" Target="about:blank" TargetMode="External"/><Relationship Id="rId248" Type="http://schemas.openxmlformats.org/officeDocument/2006/relationships/hyperlink" Target="about:blank" TargetMode="External"/><Relationship Id="rId369" Type="http://schemas.openxmlformats.org/officeDocument/2006/relationships/hyperlink" Target="about:blank" TargetMode="External"/><Relationship Id="rId126" Type="http://schemas.openxmlformats.org/officeDocument/2006/relationships/hyperlink" Target="about:blank" TargetMode="External"/><Relationship Id="rId247" Type="http://schemas.openxmlformats.org/officeDocument/2006/relationships/hyperlink" Target="about:blank" TargetMode="External"/><Relationship Id="rId368" Type="http://schemas.openxmlformats.org/officeDocument/2006/relationships/hyperlink" Target="about:blank" TargetMode="External"/><Relationship Id="rId121" Type="http://schemas.openxmlformats.org/officeDocument/2006/relationships/hyperlink" Target="about:blank" TargetMode="External"/><Relationship Id="rId242" Type="http://schemas.openxmlformats.org/officeDocument/2006/relationships/hyperlink" Target="about:blank" TargetMode="External"/><Relationship Id="rId363" Type="http://schemas.openxmlformats.org/officeDocument/2006/relationships/hyperlink" Target="about:blank" TargetMode="External"/><Relationship Id="rId120" Type="http://schemas.openxmlformats.org/officeDocument/2006/relationships/hyperlink" Target="about:blank" TargetMode="External"/><Relationship Id="rId241" Type="http://schemas.openxmlformats.org/officeDocument/2006/relationships/hyperlink" Target="about:blank" TargetMode="External"/><Relationship Id="rId362" Type="http://schemas.openxmlformats.org/officeDocument/2006/relationships/hyperlink" Target="about:blank" TargetMode="External"/><Relationship Id="rId240" Type="http://schemas.openxmlformats.org/officeDocument/2006/relationships/hyperlink" Target="about:blank" TargetMode="External"/><Relationship Id="rId361" Type="http://schemas.openxmlformats.org/officeDocument/2006/relationships/hyperlink" Target="about:blank" TargetMode="External"/><Relationship Id="rId360" Type="http://schemas.openxmlformats.org/officeDocument/2006/relationships/hyperlink" Target="about:blank" TargetMode="External"/><Relationship Id="rId125" Type="http://schemas.openxmlformats.org/officeDocument/2006/relationships/hyperlink" Target="about:blank" TargetMode="External"/><Relationship Id="rId246" Type="http://schemas.openxmlformats.org/officeDocument/2006/relationships/hyperlink" Target="about:blank" TargetMode="External"/><Relationship Id="rId367" Type="http://schemas.openxmlformats.org/officeDocument/2006/relationships/hyperlink" Target="about:blank" TargetMode="External"/><Relationship Id="rId124" Type="http://schemas.openxmlformats.org/officeDocument/2006/relationships/hyperlink" Target="about:blank" TargetMode="External"/><Relationship Id="rId245" Type="http://schemas.openxmlformats.org/officeDocument/2006/relationships/hyperlink" Target="about:blank" TargetMode="External"/><Relationship Id="rId366" Type="http://schemas.openxmlformats.org/officeDocument/2006/relationships/hyperlink" Target="about:blank" TargetMode="External"/><Relationship Id="rId123" Type="http://schemas.openxmlformats.org/officeDocument/2006/relationships/hyperlink" Target="about:blank" TargetMode="External"/><Relationship Id="rId244" Type="http://schemas.openxmlformats.org/officeDocument/2006/relationships/hyperlink" Target="about:blank" TargetMode="External"/><Relationship Id="rId365" Type="http://schemas.openxmlformats.org/officeDocument/2006/relationships/hyperlink" Target="about:blank" TargetMode="External"/><Relationship Id="rId122" Type="http://schemas.openxmlformats.org/officeDocument/2006/relationships/hyperlink" Target="about:blank" TargetMode="External"/><Relationship Id="rId243" Type="http://schemas.openxmlformats.org/officeDocument/2006/relationships/hyperlink" Target="about:blank" TargetMode="External"/><Relationship Id="rId364" Type="http://schemas.openxmlformats.org/officeDocument/2006/relationships/hyperlink" Target="about:blank" TargetMode="External"/><Relationship Id="rId95" Type="http://schemas.openxmlformats.org/officeDocument/2006/relationships/hyperlink" Target="about:blank" TargetMode="External"/><Relationship Id="rId94" Type="http://schemas.openxmlformats.org/officeDocument/2006/relationships/hyperlink" Target="about:blank" TargetMode="External"/><Relationship Id="rId97" Type="http://schemas.openxmlformats.org/officeDocument/2006/relationships/hyperlink" Target="about:blank" TargetMode="External"/><Relationship Id="rId96" Type="http://schemas.openxmlformats.org/officeDocument/2006/relationships/hyperlink" Target="about:blank" TargetMode="External"/><Relationship Id="rId99" Type="http://schemas.openxmlformats.org/officeDocument/2006/relationships/hyperlink" Target="about:blank" TargetMode="External"/><Relationship Id="rId98" Type="http://schemas.openxmlformats.org/officeDocument/2006/relationships/hyperlink" Target="about:blank" TargetMode="External"/><Relationship Id="rId91" Type="http://schemas.openxmlformats.org/officeDocument/2006/relationships/hyperlink" Target="about:blank" TargetMode="External"/><Relationship Id="rId90" Type="http://schemas.openxmlformats.org/officeDocument/2006/relationships/hyperlink" Target="about:blank" TargetMode="External"/><Relationship Id="rId93" Type="http://schemas.openxmlformats.org/officeDocument/2006/relationships/hyperlink" Target="about:blank" TargetMode="External"/><Relationship Id="rId92" Type="http://schemas.openxmlformats.org/officeDocument/2006/relationships/hyperlink" Target="about:blank" TargetMode="External"/><Relationship Id="rId118" Type="http://schemas.openxmlformats.org/officeDocument/2006/relationships/hyperlink" Target="about:blank" TargetMode="External"/><Relationship Id="rId239" Type="http://schemas.openxmlformats.org/officeDocument/2006/relationships/hyperlink" Target="about:blank" TargetMode="External"/><Relationship Id="rId117" Type="http://schemas.openxmlformats.org/officeDocument/2006/relationships/hyperlink" Target="about:blank" TargetMode="External"/><Relationship Id="rId238" Type="http://schemas.openxmlformats.org/officeDocument/2006/relationships/hyperlink" Target="about:blank" TargetMode="External"/><Relationship Id="rId359" Type="http://schemas.openxmlformats.org/officeDocument/2006/relationships/hyperlink" Target="about:blank" TargetMode="External"/><Relationship Id="rId116" Type="http://schemas.openxmlformats.org/officeDocument/2006/relationships/hyperlink" Target="about:blank" TargetMode="External"/><Relationship Id="rId237" Type="http://schemas.openxmlformats.org/officeDocument/2006/relationships/hyperlink" Target="about:blank" TargetMode="External"/><Relationship Id="rId358" Type="http://schemas.openxmlformats.org/officeDocument/2006/relationships/hyperlink" Target="about:blank" TargetMode="External"/><Relationship Id="rId115" Type="http://schemas.openxmlformats.org/officeDocument/2006/relationships/hyperlink" Target="about:blank" TargetMode="External"/><Relationship Id="rId236" Type="http://schemas.openxmlformats.org/officeDocument/2006/relationships/hyperlink" Target="about:blank" TargetMode="External"/><Relationship Id="rId357" Type="http://schemas.openxmlformats.org/officeDocument/2006/relationships/hyperlink" Target="about:blank" TargetMode="External"/><Relationship Id="rId119" Type="http://schemas.openxmlformats.org/officeDocument/2006/relationships/hyperlink" Target="about:blank" TargetMode="External"/><Relationship Id="rId110" Type="http://schemas.openxmlformats.org/officeDocument/2006/relationships/hyperlink" Target="about:blank" TargetMode="External"/><Relationship Id="rId231" Type="http://schemas.openxmlformats.org/officeDocument/2006/relationships/hyperlink" Target="about:blank" TargetMode="External"/><Relationship Id="rId352" Type="http://schemas.openxmlformats.org/officeDocument/2006/relationships/hyperlink" Target="about:blank" TargetMode="External"/><Relationship Id="rId230" Type="http://schemas.openxmlformats.org/officeDocument/2006/relationships/hyperlink" Target="about:blank" TargetMode="External"/><Relationship Id="rId351" Type="http://schemas.openxmlformats.org/officeDocument/2006/relationships/hyperlink" Target="about:blank" TargetMode="External"/><Relationship Id="rId350" Type="http://schemas.openxmlformats.org/officeDocument/2006/relationships/hyperlink" Target="about:blank" TargetMode="External"/><Relationship Id="rId114" Type="http://schemas.openxmlformats.org/officeDocument/2006/relationships/hyperlink" Target="about:blank" TargetMode="External"/><Relationship Id="rId235" Type="http://schemas.openxmlformats.org/officeDocument/2006/relationships/hyperlink" Target="about:blank" TargetMode="External"/><Relationship Id="rId356" Type="http://schemas.openxmlformats.org/officeDocument/2006/relationships/hyperlink" Target="about:blank" TargetMode="External"/><Relationship Id="rId113" Type="http://schemas.openxmlformats.org/officeDocument/2006/relationships/hyperlink" Target="about:blank" TargetMode="External"/><Relationship Id="rId234" Type="http://schemas.openxmlformats.org/officeDocument/2006/relationships/hyperlink" Target="about:blank" TargetMode="External"/><Relationship Id="rId355" Type="http://schemas.openxmlformats.org/officeDocument/2006/relationships/hyperlink" Target="about:blank" TargetMode="External"/><Relationship Id="rId112" Type="http://schemas.openxmlformats.org/officeDocument/2006/relationships/hyperlink" Target="about:blank" TargetMode="External"/><Relationship Id="rId233" Type="http://schemas.openxmlformats.org/officeDocument/2006/relationships/hyperlink" Target="about:blank" TargetMode="External"/><Relationship Id="rId354" Type="http://schemas.openxmlformats.org/officeDocument/2006/relationships/hyperlink" Target="about:blank" TargetMode="External"/><Relationship Id="rId111" Type="http://schemas.openxmlformats.org/officeDocument/2006/relationships/hyperlink" Target="about:blank" TargetMode="External"/><Relationship Id="rId232" Type="http://schemas.openxmlformats.org/officeDocument/2006/relationships/hyperlink" Target="about:blank" TargetMode="External"/><Relationship Id="rId353" Type="http://schemas.openxmlformats.org/officeDocument/2006/relationships/hyperlink" Target="about:blank" TargetMode="External"/><Relationship Id="rId305" Type="http://schemas.openxmlformats.org/officeDocument/2006/relationships/hyperlink" Target="about:blank" TargetMode="External"/><Relationship Id="rId304" Type="http://schemas.openxmlformats.org/officeDocument/2006/relationships/hyperlink" Target="about:blank" TargetMode="External"/><Relationship Id="rId303" Type="http://schemas.openxmlformats.org/officeDocument/2006/relationships/hyperlink" Target="about:blank" TargetMode="External"/><Relationship Id="rId302" Type="http://schemas.openxmlformats.org/officeDocument/2006/relationships/hyperlink" Target="about:blank" TargetMode="External"/><Relationship Id="rId423" Type="http://schemas.openxmlformats.org/officeDocument/2006/relationships/drawing" Target="../drawings/drawing3.xml"/><Relationship Id="rId309" Type="http://schemas.openxmlformats.org/officeDocument/2006/relationships/hyperlink" Target="about:blank" TargetMode="External"/><Relationship Id="rId308" Type="http://schemas.openxmlformats.org/officeDocument/2006/relationships/hyperlink" Target="about:blank" TargetMode="External"/><Relationship Id="rId307" Type="http://schemas.openxmlformats.org/officeDocument/2006/relationships/hyperlink" Target="about:blank" TargetMode="External"/><Relationship Id="rId306" Type="http://schemas.openxmlformats.org/officeDocument/2006/relationships/hyperlink" Target="about:blank" TargetMode="External"/><Relationship Id="rId301" Type="http://schemas.openxmlformats.org/officeDocument/2006/relationships/hyperlink" Target="about:blank" TargetMode="External"/><Relationship Id="rId422" Type="http://schemas.openxmlformats.org/officeDocument/2006/relationships/hyperlink" Target="about:blank" TargetMode="External"/><Relationship Id="rId300" Type="http://schemas.openxmlformats.org/officeDocument/2006/relationships/hyperlink" Target="about:blank" TargetMode="External"/><Relationship Id="rId421" Type="http://schemas.openxmlformats.org/officeDocument/2006/relationships/hyperlink" Target="about:blank" TargetMode="External"/><Relationship Id="rId420" Type="http://schemas.openxmlformats.org/officeDocument/2006/relationships/hyperlink" Target="about:blank" TargetMode="External"/><Relationship Id="rId415" Type="http://schemas.openxmlformats.org/officeDocument/2006/relationships/hyperlink" Target="about:blank" TargetMode="External"/><Relationship Id="rId414" Type="http://schemas.openxmlformats.org/officeDocument/2006/relationships/hyperlink" Target="about:blank" TargetMode="External"/><Relationship Id="rId413" Type="http://schemas.openxmlformats.org/officeDocument/2006/relationships/hyperlink" Target="about:blank" TargetMode="External"/><Relationship Id="rId412" Type="http://schemas.openxmlformats.org/officeDocument/2006/relationships/hyperlink" Target="about:blank" TargetMode="External"/><Relationship Id="rId419" Type="http://schemas.openxmlformats.org/officeDocument/2006/relationships/hyperlink" Target="about:blank" TargetMode="External"/><Relationship Id="rId418" Type="http://schemas.openxmlformats.org/officeDocument/2006/relationships/hyperlink" Target="about:blank" TargetMode="External"/><Relationship Id="rId417" Type="http://schemas.openxmlformats.org/officeDocument/2006/relationships/hyperlink" Target="about:blank" TargetMode="External"/><Relationship Id="rId416" Type="http://schemas.openxmlformats.org/officeDocument/2006/relationships/hyperlink" Target="about:blank" TargetMode="External"/><Relationship Id="rId411" Type="http://schemas.openxmlformats.org/officeDocument/2006/relationships/hyperlink" Target="about:blank" TargetMode="External"/><Relationship Id="rId410" Type="http://schemas.openxmlformats.org/officeDocument/2006/relationships/hyperlink" Target="about:blank" TargetMode="External"/><Relationship Id="rId206" Type="http://schemas.openxmlformats.org/officeDocument/2006/relationships/hyperlink" Target="about:blank" TargetMode="External"/><Relationship Id="rId327" Type="http://schemas.openxmlformats.org/officeDocument/2006/relationships/hyperlink" Target="about:blank" TargetMode="External"/><Relationship Id="rId205" Type="http://schemas.openxmlformats.org/officeDocument/2006/relationships/hyperlink" Target="about:blank" TargetMode="External"/><Relationship Id="rId326" Type="http://schemas.openxmlformats.org/officeDocument/2006/relationships/hyperlink" Target="about:blank" TargetMode="External"/><Relationship Id="rId204" Type="http://schemas.openxmlformats.org/officeDocument/2006/relationships/hyperlink" Target="about:blank" TargetMode="External"/><Relationship Id="rId325" Type="http://schemas.openxmlformats.org/officeDocument/2006/relationships/hyperlink" Target="about:blank" TargetMode="External"/><Relationship Id="rId203" Type="http://schemas.openxmlformats.org/officeDocument/2006/relationships/hyperlink" Target="about:blank" TargetMode="External"/><Relationship Id="rId324" Type="http://schemas.openxmlformats.org/officeDocument/2006/relationships/hyperlink" Target="about:blank" TargetMode="External"/><Relationship Id="rId209" Type="http://schemas.openxmlformats.org/officeDocument/2006/relationships/hyperlink" Target="about:blank" TargetMode="External"/><Relationship Id="rId208" Type="http://schemas.openxmlformats.org/officeDocument/2006/relationships/hyperlink" Target="about:blank" TargetMode="External"/><Relationship Id="rId329" Type="http://schemas.openxmlformats.org/officeDocument/2006/relationships/hyperlink" Target="about:blank" TargetMode="External"/><Relationship Id="rId207" Type="http://schemas.openxmlformats.org/officeDocument/2006/relationships/hyperlink" Target="about:blank" TargetMode="External"/><Relationship Id="rId328" Type="http://schemas.openxmlformats.org/officeDocument/2006/relationships/hyperlink" Target="about:blank" TargetMode="External"/><Relationship Id="rId202" Type="http://schemas.openxmlformats.org/officeDocument/2006/relationships/hyperlink" Target="about:blank" TargetMode="External"/><Relationship Id="rId323" Type="http://schemas.openxmlformats.org/officeDocument/2006/relationships/hyperlink" Target="about:blank" TargetMode="External"/><Relationship Id="rId201" Type="http://schemas.openxmlformats.org/officeDocument/2006/relationships/hyperlink" Target="about:blank" TargetMode="External"/><Relationship Id="rId322" Type="http://schemas.openxmlformats.org/officeDocument/2006/relationships/hyperlink" Target="about:blank" TargetMode="External"/><Relationship Id="rId200" Type="http://schemas.openxmlformats.org/officeDocument/2006/relationships/hyperlink" Target="about:blank" TargetMode="External"/><Relationship Id="rId321" Type="http://schemas.openxmlformats.org/officeDocument/2006/relationships/hyperlink" Target="about:blank" TargetMode="External"/><Relationship Id="rId320" Type="http://schemas.openxmlformats.org/officeDocument/2006/relationships/hyperlink" Target="about:blank" TargetMode="External"/><Relationship Id="rId316" Type="http://schemas.openxmlformats.org/officeDocument/2006/relationships/hyperlink" Target="about:blank" TargetMode="External"/><Relationship Id="rId315" Type="http://schemas.openxmlformats.org/officeDocument/2006/relationships/hyperlink" Target="about:blank" TargetMode="External"/><Relationship Id="rId314" Type="http://schemas.openxmlformats.org/officeDocument/2006/relationships/hyperlink" Target="about:blank" TargetMode="External"/><Relationship Id="rId313" Type="http://schemas.openxmlformats.org/officeDocument/2006/relationships/hyperlink" Target="about:blank" TargetMode="External"/><Relationship Id="rId319" Type="http://schemas.openxmlformats.org/officeDocument/2006/relationships/hyperlink" Target="about:blank" TargetMode="External"/><Relationship Id="rId318" Type="http://schemas.openxmlformats.org/officeDocument/2006/relationships/hyperlink" Target="about:blank" TargetMode="External"/><Relationship Id="rId317" Type="http://schemas.openxmlformats.org/officeDocument/2006/relationships/hyperlink" Target="about:blank" TargetMode="External"/><Relationship Id="rId312" Type="http://schemas.openxmlformats.org/officeDocument/2006/relationships/hyperlink" Target="about:blank" TargetMode="External"/><Relationship Id="rId311" Type="http://schemas.openxmlformats.org/officeDocument/2006/relationships/hyperlink" Target="about:blank" TargetMode="External"/><Relationship Id="rId310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3" width="7.0"/>
    <col customWidth="1" min="4" max="22" width="7.29"/>
  </cols>
  <sheetData>
    <row r="1">
      <c r="A1" s="17" t="s">
        <v>12</v>
      </c>
    </row>
    <row r="4">
      <c r="G4" s="18" t="s">
        <v>13</v>
      </c>
      <c r="J4" s="19" t="str">
        <f>HLOOKUP("uc_AssetTag", Data!$A$1:$EZ$2, 2, FALSE)</f>
        <v>UC-FP-1</v>
      </c>
    </row>
    <row r="5">
      <c r="G5" s="18" t="s">
        <v>14</v>
      </c>
      <c r="J5" s="19" t="str">
        <f>HLOOKUP("uc_BuildingName", Data!$A$1:$EZ$2, 2, FALSE)</f>
        <v>bldg name</v>
      </c>
    </row>
    <row r="6">
      <c r="G6" s="18" t="s">
        <v>15</v>
      </c>
      <c r="J6" s="19" t="str">
        <f>HLOOKUP("uc_BuildingOwner", Data!$A$1:$EZ$2, 2, FALSE)</f>
        <v>sdfj</v>
      </c>
    </row>
    <row r="7">
      <c r="G7" s="20"/>
      <c r="H7" s="18" t="s">
        <v>16</v>
      </c>
      <c r="J7" s="19" t="str">
        <f>HLOOKUP("uc_BuildingStreetAddress", Data!$A$1:$EZ$2, 2, FALSE)</f>
        <v>sljsdf</v>
      </c>
    </row>
    <row r="8">
      <c r="G8" s="20"/>
      <c r="H8" s="18"/>
      <c r="I8" s="21"/>
      <c r="J8" s="19" t="str">
        <f>HLOOKUP("uc_BuildingCity", Data!$A$1:$EZ$2, 2, FALSE) &amp; ", " &amp; HLOOKUP("uc_BuildingState", Data!$A$1:$EZ$2, 2, FALSE) &amp; " " &amp; HLOOKUP("uc_BuildingZipCode", Data!$A$1:$EZ$2, 2, FALSE)</f>
        <v>lsifsldf, sdlifiji ljsf</v>
      </c>
    </row>
    <row r="9">
      <c r="G9" s="20"/>
      <c r="H9" s="18" t="s">
        <v>17</v>
      </c>
      <c r="J9" s="22">
        <f>HLOOKUP("uc_ReportDate", Data!$A$1:$EZ$2, 2, FALSE)</f>
        <v>43865</v>
      </c>
    </row>
    <row r="10">
      <c r="G10" s="20"/>
      <c r="H10" s="18" t="s">
        <v>18</v>
      </c>
      <c r="J10" s="19" t="str">
        <f>HLOOKUP("uc_TestType", Data!$A$1:$EZ$2, 2, FALSE)</f>
        <v>Acceptance</v>
      </c>
    </row>
    <row r="12">
      <c r="H12" s="23" t="str">
        <f>Image(HLOOKUP("uc_TestingFirmLogo", Data!$A$1:$EZ$2, 2, FALSE))</f>
        <v/>
      </c>
    </row>
    <row r="22">
      <c r="B22" s="23"/>
      <c r="C22" s="23"/>
      <c r="D22" s="23"/>
      <c r="E22" s="23"/>
      <c r="F22" s="23"/>
      <c r="G22" s="23"/>
      <c r="H22" s="23"/>
    </row>
    <row r="24">
      <c r="G24" s="24"/>
      <c r="H24" s="24"/>
      <c r="I24" s="18" t="s">
        <v>19</v>
      </c>
      <c r="J24" s="24" t="str">
        <f>HLOOKUP("uc_TestingFirmName", Data!$A$1:$EZ$2, 2, FALSE)</f>
        <v>My Testing Firm Name</v>
      </c>
    </row>
    <row r="25">
      <c r="G25" s="24"/>
      <c r="H25" s="24"/>
      <c r="I25" s="18" t="s">
        <v>20</v>
      </c>
      <c r="J25" s="24" t="str">
        <f>HLOOKUP("uc_TestingFirmContact", Data!$A$1:$EZ$2, 2, FALSE)</f>
        <v>Joseph Smith</v>
      </c>
    </row>
    <row r="26">
      <c r="G26" s="24"/>
      <c r="H26" s="24"/>
      <c r="I26" s="18" t="s">
        <v>21</v>
      </c>
      <c r="J26" s="19">
        <f>HLOOKUP("uc_TestingFirmContactLicenseNumber", Data!$A$1:$EZ$2, 2, FALSE)</f>
        <v>123456789</v>
      </c>
    </row>
    <row r="27" ht="193.5" customHeight="1"/>
    <row r="28">
      <c r="A28" s="17" t="s">
        <v>22</v>
      </c>
    </row>
    <row r="29">
      <c r="I29" s="25"/>
    </row>
    <row r="30">
      <c r="G30" s="24"/>
      <c r="H30" s="24"/>
      <c r="I30" s="18" t="s">
        <v>23</v>
      </c>
      <c r="J30" s="24" t="str">
        <f>HLOOKUP("uc_CustomerCompanyName", Data!$A$1:$EZ$2, 2, FALSE)</f>
        <v>ABC Big Company</v>
      </c>
    </row>
    <row r="31">
      <c r="G31" s="24"/>
      <c r="H31" s="24"/>
      <c r="I31" s="18" t="s">
        <v>24</v>
      </c>
      <c r="J31" s="24" t="str">
        <f>HLOOKUP("uc_PhoneNumber", Data!$A$1:$EZ$2, 2, FALSE)</f>
        <v>999-999-9999</v>
      </c>
    </row>
    <row r="32">
      <c r="G32" s="24"/>
      <c r="H32" s="24"/>
      <c r="I32" s="18" t="s">
        <v>25</v>
      </c>
      <c r="J32" s="24" t="str">
        <f>HLOOKUP("uc_FaxNumber", Data!$A$1:$EZ$2, 2, FALSE)</f>
        <v>999-999-9999</v>
      </c>
    </row>
    <row r="33">
      <c r="G33" s="24"/>
      <c r="H33" s="24"/>
      <c r="I33" s="18" t="s">
        <v>26</v>
      </c>
      <c r="J33" s="24" t="str">
        <f>HLOOKUP("uc_Email", Data!$A$1:$EZ$2, 2, FALSE)</f>
        <v>example@example.com</v>
      </c>
    </row>
    <row r="34">
      <c r="G34" s="24"/>
      <c r="H34" s="24"/>
      <c r="I34" s="18" t="s">
        <v>27</v>
      </c>
      <c r="J34" s="19" t="str">
        <f>HLOOKUP("uc_Street", Data!$A$1:$EZ$2, 2, FALSE)</f>
        <v>123 ABC Street</v>
      </c>
    </row>
    <row r="35" ht="18.75" customHeight="1">
      <c r="G35" s="24"/>
      <c r="H35" s="24"/>
      <c r="I35" s="24"/>
      <c r="J35" s="19" t="str">
        <f>HLOOKUP("uc_City", Data!$A$1:$EZ$2, 2, FALSE) &amp; ", " &amp; HLOOKUP("uc_State", Data!$A$1:$EZ$2, 2, FALSE) &amp; " " &amp; HLOOKUP("uc_ZipCode", Data!$A$1:$EZ$2, 2, FALSE)</f>
        <v>Milford, NH 03055</v>
      </c>
    </row>
    <row r="36" ht="222.0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8" ht="96.0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>
      <c r="G39" s="24"/>
      <c r="H39" s="24"/>
      <c r="I39" s="24"/>
      <c r="J39" s="24"/>
      <c r="K39" s="24"/>
      <c r="L39" s="24"/>
      <c r="M39" s="24"/>
      <c r="N39" s="24"/>
    </row>
    <row r="40">
      <c r="G40" s="26" t="s">
        <v>28</v>
      </c>
      <c r="H40" s="27"/>
      <c r="I40" s="27"/>
      <c r="J40" s="27"/>
      <c r="K40" s="27"/>
      <c r="L40" s="27"/>
      <c r="M40" s="27"/>
      <c r="N40" s="27"/>
      <c r="O40" s="28"/>
    </row>
    <row r="41">
      <c r="G41" s="29" t="s">
        <v>13</v>
      </c>
      <c r="H41" s="27"/>
      <c r="I41" s="27"/>
      <c r="J41" s="28"/>
      <c r="K41" s="30" t="str">
        <f>HLOOKUP("uc_AssetTag", Data!$A$1:$FZ$2, 2, FALSE)</f>
        <v>UC-FP-1</v>
      </c>
      <c r="L41" s="31"/>
      <c r="M41" s="31"/>
      <c r="N41" s="31"/>
      <c r="O41" s="32"/>
    </row>
    <row r="42">
      <c r="G42" s="29" t="s">
        <v>29</v>
      </c>
      <c r="H42" s="27"/>
      <c r="I42" s="27"/>
      <c r="J42" s="28"/>
      <c r="K42" s="30" t="str">
        <f>HLOOKUP("uc_PumpType", Data!$A$1:$FZ$2, 2, FALSE)</f>
        <v>end-suction</v>
      </c>
      <c r="L42" s="31"/>
      <c r="M42" s="31"/>
      <c r="N42" s="31"/>
      <c r="O42" s="32"/>
    </row>
    <row r="43">
      <c r="G43" s="29" t="s">
        <v>30</v>
      </c>
      <c r="H43" s="27"/>
      <c r="I43" s="27"/>
      <c r="J43" s="28"/>
      <c r="K43" s="30" t="str">
        <f>HLOOKUP("uc_Manufacturer", Data!$A$1:$FZ$2, 2, FALSE)</f>
        <v>grrgrg</v>
      </c>
      <c r="L43" s="31"/>
      <c r="M43" s="31"/>
      <c r="N43" s="31"/>
      <c r="O43" s="32"/>
    </row>
    <row r="44">
      <c r="G44" s="29" t="s">
        <v>31</v>
      </c>
      <c r="H44" s="27"/>
      <c r="I44" s="27"/>
      <c r="J44" s="28"/>
      <c r="K44" s="30" t="str">
        <f>HLOOKUP("uc_Model", Data!$A$1:$FZ$2, 2, FALSE)</f>
        <v>rthrt</v>
      </c>
      <c r="L44" s="31"/>
      <c r="M44" s="31"/>
      <c r="N44" s="31"/>
      <c r="O44" s="32"/>
    </row>
    <row r="45">
      <c r="G45" s="29" t="s">
        <v>32</v>
      </c>
      <c r="H45" s="27"/>
      <c r="I45" s="27"/>
      <c r="J45" s="28"/>
      <c r="K45" s="30" t="str">
        <f>HLOOKUP("uc_SerialNumber", Data!$A$1:$FZ$2, 2, FALSE)</f>
        <v>jlj</v>
      </c>
      <c r="L45" s="31"/>
      <c r="M45" s="31"/>
      <c r="N45" s="31"/>
      <c r="O45" s="32"/>
    </row>
    <row r="46">
      <c r="G46" s="29" t="s">
        <v>33</v>
      </c>
      <c r="H46" s="27"/>
      <c r="I46" s="27"/>
      <c r="J46" s="28"/>
      <c r="K46" s="30" t="str">
        <f>HLOOKUP("uc_Listed", Data!$A$1:$FZ$2, 2, FALSE)</f>
        <v>FM</v>
      </c>
      <c r="L46" s="31"/>
      <c r="M46" s="31"/>
      <c r="N46" s="31"/>
      <c r="O46" s="32"/>
    </row>
    <row r="47">
      <c r="G47" s="29" t="s">
        <v>34</v>
      </c>
      <c r="H47" s="27"/>
      <c r="I47" s="27"/>
      <c r="J47" s="28"/>
      <c r="K47" s="30">
        <f>HLOOKUP("uc_RatedCapacity", Data!$A$1:$FZ$2, 2, FALSE)</f>
        <v>1000</v>
      </c>
      <c r="L47" s="31"/>
      <c r="M47" s="31"/>
      <c r="N47" s="31"/>
      <c r="O47" s="32"/>
    </row>
    <row r="48">
      <c r="G48" s="29" t="s">
        <v>35</v>
      </c>
      <c r="H48" s="27"/>
      <c r="I48" s="27"/>
      <c r="J48" s="28"/>
      <c r="K48" s="33">
        <f>HLOOKUP("uc_TotalDynamicHead", Data!$A$1:$FZ$2, 2, FALSE)</f>
        <v>231</v>
      </c>
      <c r="L48" s="31"/>
      <c r="M48" s="31"/>
      <c r="N48" s="31"/>
      <c r="O48" s="32"/>
    </row>
    <row r="49">
      <c r="G49" s="29" t="s">
        <v>36</v>
      </c>
      <c r="H49" s="27"/>
      <c r="I49" s="27"/>
      <c r="J49" s="28"/>
      <c r="K49" s="30">
        <f>HLOOKUP("uc_HeadatChurn0PSI", Data!$A$1:$FZ$210, 2, FALSE)</f>
        <v>120</v>
      </c>
      <c r="L49" s="31"/>
      <c r="M49" s="31"/>
      <c r="N49" s="31"/>
      <c r="O49" s="32"/>
    </row>
    <row r="50">
      <c r="G50" s="29" t="s">
        <v>37</v>
      </c>
      <c r="H50" s="27"/>
      <c r="I50" s="27"/>
      <c r="J50" s="28"/>
      <c r="K50" s="30">
        <f>HLOOKUP("uc_HeadatRated100PSI", Data!$A$1:$FZ$2, 2, FALSE)</f>
        <v>100</v>
      </c>
      <c r="L50" s="31"/>
      <c r="M50" s="31"/>
      <c r="N50" s="31"/>
      <c r="O50" s="32"/>
    </row>
    <row r="51">
      <c r="G51" s="29" t="s">
        <v>38</v>
      </c>
      <c r="H51" s="27"/>
      <c r="I51" s="27"/>
      <c r="J51" s="28"/>
      <c r="K51" s="30">
        <f>HLOOKUP("uc_HeadatOverload150PSI", Data!$A$1:$FZ$2, 2, FALSE)</f>
        <v>67</v>
      </c>
      <c r="L51" s="31"/>
      <c r="M51" s="31"/>
      <c r="N51" s="31"/>
      <c r="O51" s="32"/>
    </row>
    <row r="52">
      <c r="G52" s="29" t="s">
        <v>39</v>
      </c>
      <c r="H52" s="27"/>
      <c r="I52" s="27"/>
      <c r="J52" s="28"/>
      <c r="K52" s="30" t="str">
        <f>HLOOKUP("uc_PumpRotation", Data!$A$1:$FZ$2, 2, FALSE)</f>
        <v>clockwise</v>
      </c>
      <c r="L52" s="31"/>
      <c r="M52" s="31"/>
      <c r="N52" s="31"/>
      <c r="O52" s="32"/>
    </row>
    <row r="53">
      <c r="G53" s="29" t="s">
        <v>40</v>
      </c>
      <c r="H53" s="27"/>
      <c r="I53" s="27"/>
      <c r="J53" s="28"/>
      <c r="K53" s="30" t="str">
        <f>HLOOKUP("uc_SuctionFrom", Data!$A$1:$FZ$2, 2, FALSE)</f>
        <v>ffdsfs</v>
      </c>
      <c r="L53" s="31"/>
      <c r="M53" s="31"/>
      <c r="N53" s="31"/>
      <c r="O53" s="32"/>
    </row>
    <row r="54">
      <c r="G54" s="29" t="s">
        <v>41</v>
      </c>
      <c r="H54" s="27"/>
      <c r="I54" s="27"/>
      <c r="J54" s="28"/>
      <c r="K54" s="30">
        <f>HLOOKUP("uc_ImpellerDiameterIN", Data!$A$1:$FZ$2, 2, FALSE)</f>
        <v>3</v>
      </c>
      <c r="L54" s="31"/>
      <c r="M54" s="31"/>
      <c r="N54" s="31"/>
      <c r="O54" s="32"/>
    </row>
    <row r="55">
      <c r="G55" s="26" t="s">
        <v>42</v>
      </c>
      <c r="H55" s="27"/>
      <c r="I55" s="27"/>
      <c r="J55" s="27"/>
      <c r="K55" s="27"/>
      <c r="L55" s="27"/>
      <c r="M55" s="27"/>
      <c r="N55" s="27"/>
      <c r="O55" s="28"/>
    </row>
    <row r="56">
      <c r="G56" s="29" t="s">
        <v>43</v>
      </c>
      <c r="H56" s="27"/>
      <c r="I56" s="27"/>
      <c r="J56" s="28"/>
      <c r="K56" s="30" t="str">
        <f>HLOOKUP("uc_RightAngleDriveGearRatio", Data!$A$1:$FZ$2, 2, FALSE)</f>
        <v>sfpu</v>
      </c>
      <c r="L56" s="31"/>
      <c r="M56" s="31"/>
      <c r="N56" s="31"/>
      <c r="O56" s="32"/>
    </row>
    <row r="57">
      <c r="G57" s="26" t="s">
        <v>44</v>
      </c>
      <c r="H57" s="27"/>
      <c r="I57" s="27"/>
      <c r="J57" s="27"/>
      <c r="K57" s="27"/>
      <c r="L57" s="27"/>
      <c r="M57" s="27"/>
      <c r="N57" s="27"/>
      <c r="O57" s="28"/>
    </row>
    <row r="58">
      <c r="G58" s="29" t="s">
        <v>45</v>
      </c>
      <c r="H58" s="27"/>
      <c r="I58" s="27"/>
      <c r="J58" s="28"/>
      <c r="K58" s="30" t="str">
        <f>HLOOKUP("uc_DriverType", Data!$A$1:$FZ$2, 2, FALSE)</f>
        <v>Electric Motor</v>
      </c>
      <c r="L58" s="31"/>
      <c r="M58" s="31"/>
      <c r="N58" s="31"/>
      <c r="O58" s="32"/>
    </row>
    <row r="59">
      <c r="G59" s="29" t="s">
        <v>30</v>
      </c>
      <c r="H59" s="27"/>
      <c r="I59" s="27"/>
      <c r="J59" s="28"/>
      <c r="K59" s="30" t="str">
        <f>HLOOKUP("uc_DriverManufacturer", Data!$A$1:$FZ$2, 2, FALSE)</f>
        <v>grlsfkkjjslfj</v>
      </c>
      <c r="L59" s="31"/>
      <c r="M59" s="31"/>
      <c r="N59" s="31"/>
      <c r="O59" s="32"/>
    </row>
    <row r="60">
      <c r="G60" s="29" t="s">
        <v>31</v>
      </c>
      <c r="H60" s="27"/>
      <c r="I60" s="27"/>
      <c r="J60" s="28"/>
      <c r="K60" s="30" t="str">
        <f>HLOOKUP("uc_DriverModel", Data!$A$1:$FZ$2, 2, FALSE)</f>
        <v>gdijgs</v>
      </c>
      <c r="L60" s="31"/>
      <c r="M60" s="31"/>
      <c r="N60" s="31"/>
      <c r="O60" s="32"/>
    </row>
    <row r="61">
      <c r="G61" s="29" t="s">
        <v>32</v>
      </c>
      <c r="H61" s="27"/>
      <c r="I61" s="27"/>
      <c r="J61" s="28"/>
      <c r="K61" s="30" t="str">
        <f>HLOOKUP("uc_DriverSerialNumber", Data!$A$1:$FZ$2, 2, FALSE)</f>
        <v>dlfjgf</v>
      </c>
      <c r="L61" s="31"/>
      <c r="M61" s="31"/>
      <c r="N61" s="31"/>
      <c r="O61" s="32"/>
    </row>
    <row r="62">
      <c r="G62" s="29" t="s">
        <v>33</v>
      </c>
      <c r="H62" s="27"/>
      <c r="I62" s="27"/>
      <c r="J62" s="28"/>
      <c r="K62" s="30" t="str">
        <f>HLOOKUP("uc_DriverListed", Data!$A$1:$FZ$2, 2, FALSE)</f>
        <v>FM</v>
      </c>
      <c r="L62" s="31"/>
      <c r="M62" s="31"/>
      <c r="N62" s="31"/>
      <c r="O62" s="32"/>
    </row>
    <row r="63">
      <c r="G63" s="29" t="s">
        <v>46</v>
      </c>
      <c r="H63" s="27"/>
      <c r="I63" s="27"/>
      <c r="J63" s="28"/>
      <c r="K63" s="30">
        <f>HLOOKUP("uc_DriverRatedHP", Data!$A$1:$FZ$2, 2, FALSE)</f>
        <v>1</v>
      </c>
      <c r="L63" s="31"/>
      <c r="M63" s="31"/>
      <c r="N63" s="31"/>
      <c r="O63" s="32"/>
    </row>
    <row r="64">
      <c r="G64" s="29" t="s">
        <v>47</v>
      </c>
      <c r="H64" s="27"/>
      <c r="I64" s="27"/>
      <c r="J64" s="28"/>
      <c r="K64" s="30">
        <f>HLOOKUP("uc_DriverRatedSpeed", Data!$A$1:$FZ$2, 2, FALSE)</f>
        <v>2</v>
      </c>
      <c r="L64" s="31"/>
      <c r="M64" s="31"/>
      <c r="N64" s="31"/>
      <c r="O64" s="32"/>
    </row>
    <row r="65">
      <c r="G65" s="29" t="s">
        <v>48</v>
      </c>
      <c r="H65" s="27"/>
      <c r="I65" s="27"/>
      <c r="J65" s="28"/>
      <c r="K65" s="30">
        <f>HLOOKUP("uc_DriverFrameSize", Data!$A$1:$FZ$2, 2, FALSE)</f>
        <v>3</v>
      </c>
      <c r="L65" s="31"/>
      <c r="M65" s="31"/>
      <c r="N65" s="31"/>
      <c r="O65" s="32"/>
    </row>
    <row r="66">
      <c r="G66" s="29" t="s">
        <v>49</v>
      </c>
      <c r="H66" s="27"/>
      <c r="I66" s="27"/>
      <c r="J66" s="28"/>
      <c r="K66" s="30" t="str">
        <f>HLOOKUP("uc_DriverMotorEnclosureType", Data!$A$1:$FZ$2, 2, FALSE)</f>
        <v>fgdfg</v>
      </c>
      <c r="L66" s="31"/>
      <c r="M66" s="31"/>
      <c r="N66" s="31"/>
      <c r="O66" s="32"/>
    </row>
    <row r="67">
      <c r="G67" s="26" t="s">
        <v>50</v>
      </c>
      <c r="H67" s="27"/>
      <c r="I67" s="27"/>
      <c r="J67" s="27"/>
      <c r="K67" s="27"/>
      <c r="L67" s="27"/>
      <c r="M67" s="27"/>
      <c r="N67" s="27"/>
      <c r="O67" s="28"/>
    </row>
    <row r="68">
      <c r="G68" s="29" t="s">
        <v>51</v>
      </c>
      <c r="H68" s="27"/>
      <c r="I68" s="27"/>
      <c r="J68" s="28"/>
      <c r="K68" s="30">
        <f>HLOOKUP("uc_DriverRatedVoltage", Data!$A$1:$FZ$2, 2, FALSE)</f>
        <v>1</v>
      </c>
      <c r="L68" s="31"/>
      <c r="M68" s="31"/>
      <c r="N68" s="31"/>
      <c r="O68" s="32"/>
    </row>
    <row r="69">
      <c r="G69" s="29" t="s">
        <v>52</v>
      </c>
      <c r="H69" s="27"/>
      <c r="I69" s="27"/>
      <c r="J69" s="28"/>
      <c r="K69" s="30">
        <f>HLOOKUP("uc_DriverRatedFullLoadAmps", Data!$A$1:$FZ$2, 2, FALSE)</f>
        <v>2</v>
      </c>
      <c r="L69" s="31"/>
      <c r="M69" s="31"/>
      <c r="N69" s="31"/>
      <c r="O69" s="32"/>
    </row>
    <row r="70">
      <c r="G70" s="29" t="s">
        <v>53</v>
      </c>
      <c r="H70" s="27"/>
      <c r="I70" s="27"/>
      <c r="J70" s="28"/>
      <c r="K70" s="30">
        <f>HLOOKUP("uc_DriverPhases", Data!$A$1:$FZ$2, 2, FALSE)</f>
        <v>3</v>
      </c>
      <c r="L70" s="31"/>
      <c r="M70" s="31"/>
      <c r="N70" s="31"/>
      <c r="O70" s="32"/>
    </row>
    <row r="71">
      <c r="G71" s="29" t="s">
        <v>54</v>
      </c>
      <c r="H71" s="27"/>
      <c r="I71" s="27"/>
      <c r="J71" s="28"/>
      <c r="K71" s="30">
        <f>HLOOKUP("uc_DriverCycles", Data!$A$1:$FZ$2, 2, FALSE)</f>
        <v>4</v>
      </c>
      <c r="L71" s="31"/>
      <c r="M71" s="31"/>
      <c r="N71" s="31"/>
      <c r="O71" s="32"/>
    </row>
    <row r="72">
      <c r="G72" s="29" t="s">
        <v>55</v>
      </c>
      <c r="H72" s="27"/>
      <c r="I72" s="27"/>
      <c r="J72" s="28"/>
      <c r="K72" s="30" t="str">
        <f>HLOOKUP("uc_DriverServiceFactor", Data!$A$1:$FZ$2, 2, FALSE)</f>
        <v>gdfsf</v>
      </c>
      <c r="L72" s="31"/>
      <c r="M72" s="31"/>
      <c r="N72" s="31"/>
      <c r="O72" s="32"/>
    </row>
    <row r="73">
      <c r="G73" s="26" t="s">
        <v>56</v>
      </c>
      <c r="H73" s="27"/>
      <c r="I73" s="27"/>
      <c r="J73" s="27"/>
      <c r="K73" s="27"/>
      <c r="L73" s="27"/>
      <c r="M73" s="27"/>
      <c r="N73" s="27"/>
      <c r="O73" s="28"/>
    </row>
    <row r="74">
      <c r="G74" s="29" t="s">
        <v>45</v>
      </c>
      <c r="H74" s="27"/>
      <c r="I74" s="27"/>
      <c r="J74" s="28"/>
      <c r="K74" s="30" t="str">
        <f>HLOOKUP("uc_FPControllerType", Data!$A$1:$FZ$2, 2, FALSE)</f>
        <v>sdfj</v>
      </c>
      <c r="L74" s="31"/>
      <c r="M74" s="31"/>
      <c r="N74" s="31"/>
      <c r="O74" s="32"/>
    </row>
    <row r="75">
      <c r="G75" s="29" t="s">
        <v>30</v>
      </c>
      <c r="H75" s="27"/>
      <c r="I75" s="27"/>
      <c r="J75" s="28"/>
      <c r="K75" s="30" t="str">
        <f>HLOOKUP("uc_FPControllerManufacturer", Data!$A$1:$FZ$2, 2, FALSE)</f>
        <v>sldf</v>
      </c>
      <c r="L75" s="31"/>
      <c r="M75" s="31"/>
      <c r="N75" s="31"/>
      <c r="O75" s="32"/>
    </row>
    <row r="76">
      <c r="G76" s="29" t="s">
        <v>31</v>
      </c>
      <c r="H76" s="27"/>
      <c r="I76" s="27"/>
      <c r="J76" s="28"/>
      <c r="K76" s="30" t="str">
        <f>HLOOKUP("uc_FPControllerModel", Data!$A$1:$FZ$2, 2, FALSE)</f>
        <v>sflj</v>
      </c>
      <c r="L76" s="31"/>
      <c r="M76" s="31"/>
      <c r="N76" s="31"/>
      <c r="O76" s="32"/>
    </row>
    <row r="77">
      <c r="G77" s="29" t="s">
        <v>32</v>
      </c>
      <c r="H77" s="27"/>
      <c r="I77" s="27"/>
      <c r="J77" s="28"/>
      <c r="K77" s="30" t="str">
        <f>HLOOKUP("uc_FPControllerSerialNumber", Data!$A$1:$FZ$2, 2, FALSE)</f>
        <v>slfj</v>
      </c>
      <c r="L77" s="31"/>
      <c r="M77" s="31"/>
      <c r="N77" s="31"/>
      <c r="O77" s="32"/>
    </row>
    <row r="78">
      <c r="G78" s="29" t="s">
        <v>33</v>
      </c>
      <c r="H78" s="27"/>
      <c r="I78" s="27"/>
      <c r="J78" s="28"/>
      <c r="K78" s="33" t="str">
        <f>HLOOKUP("uc_FPControllerListed", Data!$A$1:$FZ$2, 2, FALSE)</f>
        <v>UL</v>
      </c>
      <c r="L78" s="31"/>
      <c r="M78" s="31"/>
      <c r="N78" s="31"/>
      <c r="O78" s="32"/>
      <c r="P78" s="34"/>
    </row>
    <row r="79">
      <c r="G79" s="29" t="s">
        <v>46</v>
      </c>
      <c r="H79" s="27"/>
      <c r="I79" s="27"/>
      <c r="J79" s="28"/>
      <c r="K79" s="30">
        <f>HLOOKUP("uc_FPControllerRatedHP", Data!$A$1:$FZ$2, 2, FALSE)</f>
        <v>1</v>
      </c>
      <c r="L79" s="31"/>
      <c r="M79" s="31"/>
      <c r="N79" s="31"/>
      <c r="O79" s="32"/>
    </row>
    <row r="80">
      <c r="G80" s="29" t="s">
        <v>53</v>
      </c>
      <c r="H80" s="27"/>
      <c r="I80" s="27"/>
      <c r="J80" s="28"/>
      <c r="K80" s="30">
        <f>HLOOKUP("uc_FPControllerPhases", Data!$A$1:$FZ$2, 2, FALSE)</f>
        <v>2</v>
      </c>
      <c r="L80" s="31"/>
      <c r="M80" s="31"/>
      <c r="N80" s="31"/>
      <c r="O80" s="32"/>
    </row>
    <row r="81">
      <c r="G81" s="29" t="s">
        <v>54</v>
      </c>
      <c r="H81" s="27"/>
      <c r="I81" s="27"/>
      <c r="J81" s="28"/>
      <c r="K81" s="30">
        <f>HLOOKUP("uc_FPControllerCycles", Data!$A$1:$FZ$2, 2, FALSE)</f>
        <v>3</v>
      </c>
      <c r="L81" s="31"/>
      <c r="M81" s="31"/>
      <c r="N81" s="31"/>
      <c r="O81" s="32"/>
    </row>
    <row r="82">
      <c r="G82" s="29" t="s">
        <v>51</v>
      </c>
      <c r="H82" s="27"/>
      <c r="I82" s="27"/>
      <c r="J82" s="28"/>
      <c r="K82" s="30">
        <f>HLOOKUP("uc_FPControllerRatedVoltage", Data!$A$1:$FZ$2, 2, FALSE)</f>
        <v>4</v>
      </c>
      <c r="L82" s="31"/>
      <c r="M82" s="31"/>
      <c r="N82" s="31"/>
      <c r="O82" s="32"/>
    </row>
    <row r="83">
      <c r="G83" s="29" t="s">
        <v>57</v>
      </c>
      <c r="H83" s="27"/>
      <c r="I83" s="27"/>
      <c r="J83" s="28"/>
      <c r="K83" s="30">
        <f>HLOOKUP("uc_FPControllerOnPSI", Data!$A$1:$FZ$2, 2, FALSE)</f>
        <v>5</v>
      </c>
      <c r="L83" s="31"/>
      <c r="M83" s="31"/>
      <c r="N83" s="31"/>
      <c r="O83" s="32"/>
    </row>
    <row r="84">
      <c r="G84" s="29" t="s">
        <v>58</v>
      </c>
      <c r="H84" s="27"/>
      <c r="I84" s="27"/>
      <c r="J84" s="28"/>
      <c r="K84" s="30">
        <f>HLOOKUP("uc_FPControllerOffPSI", Data!$A$1:$FZ$2, 2, FALSE)</f>
        <v>6</v>
      </c>
      <c r="L84" s="31"/>
      <c r="M84" s="31"/>
      <c r="N84" s="31"/>
      <c r="O84" s="32"/>
    </row>
    <row r="85">
      <c r="G85" s="29" t="s">
        <v>59</v>
      </c>
      <c r="H85" s="27"/>
      <c r="I85" s="27"/>
      <c r="J85" s="28"/>
      <c r="K85" s="30" t="str">
        <f>HLOOKUP("uc_FPControllerTypeofStart", Data!$A$1:$FZ$2, 2, FALSE)</f>
        <v>lsflsdk</v>
      </c>
      <c r="L85" s="31"/>
      <c r="M85" s="31"/>
      <c r="N85" s="31"/>
      <c r="O85" s="32"/>
    </row>
    <row r="86">
      <c r="G86" s="29" t="s">
        <v>60</v>
      </c>
      <c r="H86" s="27"/>
      <c r="I86" s="27"/>
      <c r="J86" s="28"/>
      <c r="K86" s="30" t="str">
        <f>HLOOKUP("uc_FPControllerRunTimer", Data!$A$1:$FZ$2, 2, FALSE)</f>
        <v>slkjsdfdl</v>
      </c>
      <c r="L86" s="31"/>
      <c r="M86" s="31"/>
      <c r="N86" s="31"/>
      <c r="O86" s="32"/>
    </row>
    <row r="87">
      <c r="G87" s="26" t="s">
        <v>61</v>
      </c>
      <c r="H87" s="27"/>
      <c r="I87" s="27"/>
      <c r="J87" s="27"/>
      <c r="K87" s="27"/>
      <c r="L87" s="27"/>
      <c r="M87" s="27"/>
      <c r="N87" s="27"/>
      <c r="O87" s="28"/>
    </row>
    <row r="88">
      <c r="G88" s="29" t="s">
        <v>30</v>
      </c>
      <c r="H88" s="27"/>
      <c r="I88" s="27"/>
      <c r="J88" s="28"/>
      <c r="K88" s="33" t="str">
        <f>HLOOKUP("uc_JPManufacturer", Data!$A$1:$FZ$2, 2, FALSE)</f>
        <v>sdfljsd</v>
      </c>
      <c r="L88" s="31"/>
      <c r="M88" s="31"/>
      <c r="N88" s="31"/>
      <c r="O88" s="32"/>
    </row>
    <row r="89">
      <c r="G89" s="29" t="s">
        <v>31</v>
      </c>
      <c r="H89" s="27"/>
      <c r="I89" s="27"/>
      <c r="J89" s="28"/>
      <c r="K89" s="33" t="str">
        <f>HLOOKUP("uc_JPModel", Data!$A$1:$FZ$2, 2, FALSE)</f>
        <v>gierp</v>
      </c>
      <c r="L89" s="31"/>
      <c r="M89" s="31"/>
      <c r="N89" s="31"/>
      <c r="O89" s="32"/>
    </row>
    <row r="90">
      <c r="G90" s="29" t="s">
        <v>32</v>
      </c>
      <c r="H90" s="27"/>
      <c r="I90" s="27"/>
      <c r="J90" s="28"/>
      <c r="K90" s="33" t="str">
        <f>HLOOKUP("uc_JPSerialNumber", Data!$A$1:$FZ$2, 2, FALSE)</f>
        <v>grgdfl</v>
      </c>
      <c r="L90" s="31"/>
      <c r="M90" s="31"/>
      <c r="N90" s="31"/>
      <c r="O90" s="32"/>
    </row>
    <row r="91">
      <c r="G91" s="29" t="s">
        <v>46</v>
      </c>
      <c r="H91" s="27"/>
      <c r="I91" s="27"/>
      <c r="J91" s="28"/>
      <c r="K91" s="33">
        <f>HLOOKUP("uc_JPRatedHP", Data!$A$1:$FZ$2, 2, FALSE)</f>
        <v>1</v>
      </c>
      <c r="L91" s="31"/>
      <c r="M91" s="31"/>
      <c r="N91" s="31"/>
      <c r="O91" s="32"/>
    </row>
    <row r="92">
      <c r="G92" s="29" t="s">
        <v>62</v>
      </c>
      <c r="H92" s="27"/>
      <c r="I92" s="27"/>
      <c r="J92" s="28"/>
      <c r="K92" s="33">
        <f>HLOOKUP("uc_JPRatedSpeedRPM", Data!$A$1:$FZ$2, 2, FALSE)</f>
        <v>2</v>
      </c>
      <c r="L92" s="31"/>
      <c r="M92" s="31"/>
      <c r="N92" s="31"/>
      <c r="O92" s="32"/>
    </row>
    <row r="93">
      <c r="G93" s="29" t="s">
        <v>63</v>
      </c>
      <c r="H93" s="27"/>
      <c r="I93" s="27"/>
      <c r="J93" s="28"/>
      <c r="K93" s="30">
        <f>HLOOKUP("uc_JPRatedFlowGPM", Data!$A$1:$FZ$2, 2, FALSE)</f>
        <v>3</v>
      </c>
      <c r="L93" s="31"/>
      <c r="M93" s="31"/>
      <c r="N93" s="31"/>
      <c r="O93" s="32"/>
    </row>
    <row r="94">
      <c r="G94" s="29" t="s">
        <v>64</v>
      </c>
      <c r="H94" s="27"/>
      <c r="I94" s="27"/>
      <c r="J94" s="28"/>
      <c r="K94" s="30">
        <f>HLOOKUP("uc_JPRatedPressurePSI", Data!$A$1:$FZ$2, 2, FALSE)</f>
        <v>4</v>
      </c>
      <c r="L94" s="31"/>
      <c r="M94" s="31"/>
      <c r="N94" s="31"/>
      <c r="O94" s="32"/>
    </row>
    <row r="95">
      <c r="G95" s="29" t="s">
        <v>53</v>
      </c>
      <c r="H95" s="27"/>
      <c r="I95" s="27"/>
      <c r="J95" s="28"/>
      <c r="K95" s="30">
        <f>HLOOKUP("uc_JPPhase", Data!$A$1:$FZ$2, 2, FALSE)</f>
        <v>2</v>
      </c>
      <c r="L95" s="31"/>
      <c r="M95" s="31"/>
      <c r="N95" s="31"/>
      <c r="O95" s="32"/>
    </row>
    <row r="96">
      <c r="G96" s="29" t="s">
        <v>54</v>
      </c>
      <c r="H96" s="27"/>
      <c r="I96" s="27"/>
      <c r="J96" s="28"/>
      <c r="K96" s="30">
        <f>HLOOKUP("uc_JPCycle", Data!$A$1:$FZ$2, 2, FALSE)</f>
        <v>3</v>
      </c>
      <c r="L96" s="31"/>
      <c r="M96" s="31"/>
      <c r="N96" s="31"/>
      <c r="O96" s="32"/>
    </row>
    <row r="97">
      <c r="G97" s="29" t="s">
        <v>51</v>
      </c>
      <c r="H97" s="27"/>
      <c r="I97" s="27"/>
      <c r="J97" s="28"/>
      <c r="K97" s="30">
        <f>HLOOKUP("uc_JPRatedVoltage", Data!$A$1:$FZ$2, 2, FALSE)</f>
        <v>4</v>
      </c>
      <c r="L97" s="31"/>
      <c r="M97" s="31"/>
      <c r="N97" s="31"/>
      <c r="O97" s="32"/>
    </row>
    <row r="98">
      <c r="G98" s="29" t="s">
        <v>55</v>
      </c>
      <c r="H98" s="27"/>
      <c r="I98" s="27"/>
      <c r="J98" s="28"/>
      <c r="K98" s="30">
        <f>HLOOKUP("uc_JPServiceFactor", Data!$A$1:$FZ$2, 2, FALSE)</f>
        <v>5</v>
      </c>
      <c r="L98" s="31"/>
      <c r="M98" s="31"/>
      <c r="N98" s="31"/>
      <c r="O98" s="32"/>
    </row>
    <row r="99">
      <c r="G99" s="29" t="s">
        <v>65</v>
      </c>
      <c r="H99" s="27"/>
      <c r="I99" s="27"/>
      <c r="J99" s="28"/>
      <c r="K99" s="30">
        <f>HLOOKUP("uc_JPRatedAmps", Data!$A$1:$FZ$2, 2, FALSE)</f>
        <v>6</v>
      </c>
      <c r="L99" s="31"/>
      <c r="M99" s="31"/>
      <c r="N99" s="31"/>
      <c r="O99" s="32"/>
    </row>
    <row r="100">
      <c r="G100" s="26" t="s">
        <v>66</v>
      </c>
      <c r="H100" s="27"/>
      <c r="I100" s="27"/>
      <c r="J100" s="27"/>
      <c r="K100" s="27"/>
      <c r="L100" s="27"/>
      <c r="M100" s="27"/>
      <c r="N100" s="27"/>
      <c r="O100" s="28"/>
    </row>
    <row r="101">
      <c r="G101" s="29" t="s">
        <v>30</v>
      </c>
      <c r="H101" s="27"/>
      <c r="I101" s="27"/>
      <c r="J101" s="28"/>
      <c r="K101" s="30" t="str">
        <f>HLOOKUP("uc_JPControllerManufacturer", Data!$A$1:$FZ$2, 2, FALSE)</f>
        <v>gkiksjf</v>
      </c>
      <c r="L101" s="31"/>
      <c r="M101" s="31"/>
      <c r="N101" s="31"/>
      <c r="O101" s="32"/>
    </row>
    <row r="102">
      <c r="G102" s="29" t="s">
        <v>33</v>
      </c>
      <c r="H102" s="27"/>
      <c r="I102" s="27"/>
      <c r="J102" s="28"/>
      <c r="K102" s="30" t="str">
        <f>HLOOKUP("uc_JPControllerListed", Data!$A$1:$FZ$2, 2, FALSE)</f>
        <v>ULC</v>
      </c>
      <c r="L102" s="31"/>
      <c r="M102" s="31"/>
      <c r="N102" s="31"/>
      <c r="O102" s="32"/>
    </row>
    <row r="103">
      <c r="G103" s="29" t="s">
        <v>46</v>
      </c>
      <c r="H103" s="27"/>
      <c r="I103" s="27"/>
      <c r="J103" s="28"/>
      <c r="K103" s="30">
        <f>HLOOKUP("uc_JPControllerRatedHP", Data!$A$1:$FZ$2, 2, FALSE)</f>
        <v>1</v>
      </c>
      <c r="L103" s="31"/>
      <c r="M103" s="31"/>
      <c r="N103" s="31"/>
      <c r="O103" s="32"/>
    </row>
    <row r="104">
      <c r="G104" s="29" t="s">
        <v>53</v>
      </c>
      <c r="H104" s="27"/>
      <c r="I104" s="27"/>
      <c r="J104" s="28"/>
      <c r="K104" s="30">
        <f>HLOOKUP("uc_JPControllerPhase", Data!$A$1:$FZ$2, 2, FALSE)</f>
        <v>2</v>
      </c>
      <c r="L104" s="31"/>
      <c r="M104" s="31"/>
      <c r="N104" s="31"/>
      <c r="O104" s="32"/>
    </row>
    <row r="105">
      <c r="G105" s="29" t="s">
        <v>54</v>
      </c>
      <c r="H105" s="27"/>
      <c r="I105" s="27"/>
      <c r="J105" s="28"/>
      <c r="K105" s="30">
        <f>HLOOKUP("uc_JPControllerCycle", Data!$A$1:$FZ$2, 2, FALSE)</f>
        <v>3</v>
      </c>
      <c r="L105" s="31"/>
      <c r="M105" s="31"/>
      <c r="N105" s="31"/>
      <c r="O105" s="32"/>
    </row>
    <row r="106">
      <c r="G106" s="29" t="s">
        <v>51</v>
      </c>
      <c r="H106" s="27"/>
      <c r="I106" s="27"/>
      <c r="J106" s="28"/>
      <c r="K106" s="30">
        <f>HLOOKUP("uc_JPControllerRatedVoltage", Data!$A$1:$FZ$2, 2, FALSE)</f>
        <v>4</v>
      </c>
      <c r="L106" s="31"/>
      <c r="M106" s="31"/>
      <c r="N106" s="31"/>
      <c r="O106" s="32"/>
    </row>
    <row r="107">
      <c r="G107" s="29" t="s">
        <v>57</v>
      </c>
      <c r="H107" s="27"/>
      <c r="I107" s="27"/>
      <c r="J107" s="28"/>
      <c r="K107" s="30">
        <f>HLOOKUP("uc_JPControllerOnPSI", Data!$A$1:$FZ$2, 2, FALSE)</f>
        <v>5</v>
      </c>
      <c r="L107" s="31"/>
      <c r="M107" s="31"/>
      <c r="N107" s="31"/>
      <c r="O107" s="32"/>
    </row>
    <row r="108">
      <c r="G108" s="29" t="s">
        <v>58</v>
      </c>
      <c r="H108" s="27"/>
      <c r="I108" s="27"/>
      <c r="J108" s="28"/>
      <c r="K108" s="30">
        <f>HLOOKUP("uc_JPControllerOffPSI", Data!$A$1:$FZ$2, 2, FALSE)</f>
        <v>6</v>
      </c>
      <c r="L108" s="31"/>
      <c r="M108" s="31"/>
      <c r="N108" s="31"/>
      <c r="O108" s="32"/>
    </row>
    <row r="109">
      <c r="G109" s="26" t="s">
        <v>67</v>
      </c>
      <c r="H109" s="27"/>
      <c r="I109" s="27"/>
      <c r="J109" s="27"/>
      <c r="K109" s="27"/>
      <c r="L109" s="27"/>
      <c r="M109" s="27"/>
      <c r="N109" s="27"/>
      <c r="O109" s="28"/>
    </row>
    <row r="110" ht="55.5" customHeight="1">
      <c r="G110" s="29" t="s">
        <v>68</v>
      </c>
      <c r="H110" s="27"/>
      <c r="I110" s="27"/>
      <c r="J110" s="28"/>
      <c r="K110" s="30" t="str">
        <f>HLOOKUP("uc_Notes", Data!$A$1:$FZ$2, 2, FALSE)</f>
        <v>dfjsdfljsd</v>
      </c>
      <c r="L110" s="31"/>
      <c r="M110" s="31"/>
      <c r="N110" s="31"/>
      <c r="O110" s="32"/>
    </row>
    <row r="111" ht="114.0" customHeight="1"/>
    <row r="112" ht="114.0" customHeight="1"/>
    <row r="113" ht="141.0" customHeight="1"/>
    <row r="114" ht="141.0" customHeight="1"/>
    <row r="115" ht="195.0" customHeight="1"/>
    <row r="116" ht="219.0" customHeight="1"/>
    <row r="117">
      <c r="A117" s="17" t="s">
        <v>69</v>
      </c>
    </row>
    <row r="119">
      <c r="G119" s="24"/>
      <c r="H119" s="24"/>
      <c r="I119" s="24"/>
      <c r="J119" s="18" t="s">
        <v>17</v>
      </c>
      <c r="K119" s="22">
        <f>HLOOKUP("uc_ReportDate", Data!$A$1:$EE93, 2, FALSE)</f>
        <v>43865</v>
      </c>
      <c r="S119" s="1" t="s">
        <v>70</v>
      </c>
      <c r="U119" s="2">
        <f>COUNTA(Steps!A16:A995)</f>
        <v>6</v>
      </c>
    </row>
    <row r="120">
      <c r="G120" s="24"/>
      <c r="H120" s="24"/>
      <c r="I120" s="24"/>
      <c r="J120" s="18" t="s">
        <v>45</v>
      </c>
      <c r="K120" s="24" t="str">
        <f>HLOOKUP("uc_TestType", Data!$A$1:$EE94, 2, FALSE)</f>
        <v>Acceptance</v>
      </c>
    </row>
    <row r="121">
      <c r="G121" s="24"/>
      <c r="H121" s="24"/>
      <c r="I121" s="24"/>
      <c r="J121" s="18" t="s">
        <v>71</v>
      </c>
      <c r="K121" s="24" t="str">
        <f>HLOOKUP("uc_FireDepartmentAttendee", Data!$A$1:$EE95, 2, FALSE)</f>
        <v>him</v>
      </c>
    </row>
    <row r="122">
      <c r="G122" s="24"/>
      <c r="H122" s="24"/>
      <c r="I122" s="24"/>
      <c r="J122" s="18" t="s">
        <v>72</v>
      </c>
      <c r="K122" s="24" t="str">
        <f>HLOOKUP("uc_BuildingRepresentativeAttendee", Data!$A$1:$EE96, 2, FALSE)</f>
        <v>her</v>
      </c>
    </row>
    <row r="123">
      <c r="G123" s="24"/>
      <c r="H123" s="24"/>
      <c r="I123" s="24"/>
      <c r="J123" s="18" t="s">
        <v>73</v>
      </c>
      <c r="K123" s="24" t="str">
        <f>HLOOKUP("uc_TestingFirmAttendee", Data!$A$1:$EE97, 2, FALSE)</f>
        <v>them</v>
      </c>
    </row>
    <row r="124">
      <c r="G124" s="24"/>
      <c r="H124" s="24"/>
      <c r="I124" s="24"/>
      <c r="J124" s="18" t="s">
        <v>74</v>
      </c>
      <c r="K124" s="24" t="str">
        <f>HLOOKUP("uc_PumpManufacturerAttendee", Data!$A$1:$EE98, 2, FALSE)</f>
        <v>who</v>
      </c>
    </row>
    <row r="125">
      <c r="G125" s="24"/>
      <c r="H125" s="24"/>
      <c r="I125" s="24"/>
      <c r="J125" s="18" t="s">
        <v>75</v>
      </c>
      <c r="K125" s="24" t="str">
        <f>IFERROR(__xludf.DUMMYFUNCTION("QUERY(Steps!$A$16:$KK995, ""Select "" &amp; SUBSTITUTE(ADDRESS(1,MATCH(""uc_FlowDeviceUsed"", Steps!$A$15:$KK$15, 0),4),1,"""")&amp; "" LIMIT 1"")"),"1 1/2"" In-line Pitotless Nozzle")</f>
        <v>1 1/2" In-line Pitotless Nozzle</v>
      </c>
    </row>
    <row r="126">
      <c r="Q126" s="1"/>
    </row>
    <row r="127">
      <c r="A127" s="35"/>
      <c r="B127" s="36" t="s">
        <v>76</v>
      </c>
      <c r="C127" s="27"/>
      <c r="D127" s="27"/>
      <c r="E127" s="28"/>
      <c r="F127" s="36" t="s">
        <v>77</v>
      </c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36" t="s">
        <v>78</v>
      </c>
      <c r="R127" s="28"/>
      <c r="S127" s="37"/>
      <c r="T127" s="28"/>
      <c r="U127" s="36" t="s">
        <v>79</v>
      </c>
      <c r="V127" s="28"/>
    </row>
    <row r="128">
      <c r="A128" s="38" t="s">
        <v>80</v>
      </c>
      <c r="B128" s="38" t="s">
        <v>81</v>
      </c>
      <c r="C128" s="38" t="s">
        <v>82</v>
      </c>
      <c r="D128" s="38" t="s">
        <v>83</v>
      </c>
      <c r="E128" s="38" t="s">
        <v>84</v>
      </c>
      <c r="F128" s="38" t="s">
        <v>85</v>
      </c>
      <c r="G128" s="38">
        <v>1.0</v>
      </c>
      <c r="H128" s="38">
        <v>2.0</v>
      </c>
      <c r="I128" s="38">
        <v>3.0</v>
      </c>
      <c r="J128" s="38">
        <v>4.0</v>
      </c>
      <c r="K128" s="38">
        <v>5.0</v>
      </c>
      <c r="L128" s="38">
        <v>6.0</v>
      </c>
      <c r="M128" s="38">
        <v>7.0</v>
      </c>
      <c r="N128" s="38">
        <v>8.0</v>
      </c>
      <c r="O128" s="38">
        <v>9.0</v>
      </c>
      <c r="P128" s="38">
        <v>10.0</v>
      </c>
      <c r="Q128" s="38" t="s">
        <v>86</v>
      </c>
      <c r="R128" s="38" t="s">
        <v>87</v>
      </c>
      <c r="S128" s="38" t="s">
        <v>88</v>
      </c>
      <c r="T128" s="38" t="s">
        <v>89</v>
      </c>
      <c r="U128" s="38" t="s">
        <v>90</v>
      </c>
      <c r="V128" s="38" t="s">
        <v>91</v>
      </c>
    </row>
    <row r="129">
      <c r="A129" s="39">
        <v>1.0</v>
      </c>
      <c r="B129" s="40">
        <f>IFERROR(__xludf.DUMMYFUNCTION("iferror(QUERY(Steps!$A$16:$FZ995, ""Select "" &amp; SUBSTITUTE(ADDRESS(1,MATCH(""uc_RPM"", Steps!$A$15:$FZ$15, 0),4),1,"""") &amp; "" where "" &amp; SUBSTITUTE(ADDRESS(1,MATCH(""uc_StepNumber"", Steps!$A$15:$FZ$15, 0),4),1,"""") &amp; "" = "" &amp; $A129 ))"),3574.0)</f>
        <v>3574</v>
      </c>
      <c r="C129" s="41">
        <f>IFERROR(__xludf.DUMMYFUNCTION("iferror(QUERY(Steps!$A$16:$FZ995, ""Select "" &amp; SUBSTITUTE(ADDRESS(1,MATCH(""uc_Discharge"", Steps!$A$15:$FZ$15, 0),4),1,"""") &amp; "" where "" &amp; SUBSTITUTE(ADDRESS(1,MATCH(""uc_StepNumber"", Steps!$A$15:$FZ$15, 0),4),1,"""") &amp; ""  = "" &amp; $A129 ))"),164.0)</f>
        <v>164</v>
      </c>
      <c r="D129" s="41">
        <f>IFERROR(__xludf.DUMMYFUNCTION("iferror(QUERY(Steps!$A$16:$FZ995, ""Select "" &amp; SUBSTITUTE(ADDRESS(1,MATCH(""uc_Suction"", Steps!$A$15:$FZ$15, 0),4),1,"""") &amp; "" where "" &amp; SUBSTITUTE(ADDRESS(1,MATCH(""uc_StepNumber"", Steps!$A$15:$FZ$15, 0),4),1,"""") &amp; ""  = "" &amp; $A129 ))"),44.0)</f>
        <v>44</v>
      </c>
      <c r="E129" s="42">
        <f>IFERROR(__xludf.DUMMYFUNCTION("iferror(QUERY(Steps!$A$16:$FZ995, ""Select "" &amp; SUBSTITUTE(ADDRESS(1,MATCH(""uc_NET"", Steps!$A$15:$FZ$15, 0),4),1,"""") &amp; "" where "" &amp; SUBSTITUTE(ADDRESS(1,MATCH(""uc_StepNumber"", Steps!$A$15:$FZ$15, 0),4),1,"""") &amp; ""  = "" &amp; $A129 ))"),120.0)</f>
        <v>120</v>
      </c>
      <c r="F129" s="43" t="s">
        <v>92</v>
      </c>
      <c r="G129" s="44" t="str">
        <f>IFERROR(__xludf.DUMMYFUNCTION("iferror(QUERY(Steps!$A$16:$FZ995, ""Select "" &amp; SUBSTITUTE(ADDRESS(1,MATCH(""uc_Stream1PN"", Steps!$A$15:$FZ$15, 0),4),1,"""") &amp; "" where "" &amp; SUBSTITUTE(ADDRESS(1,MATCH(""uc_StepNumber"", Steps!$A$15:$FZ$15, 0),4),1,"""") &amp; ""  = "" &amp; $A129 ))"),"INPN1.5")</f>
        <v>INPN1.5</v>
      </c>
      <c r="H129" s="44" t="str">
        <f>IFERROR(__xludf.DUMMYFUNCTION("iferror(QUERY(Steps!$A$16:$FZ995, ""Select "" &amp; SUBSTITUTE(ADDRESS(1,MATCH(""uc_Stream2PN"", Steps!$A$15:$FZ$15, 0),4),1,"""") &amp; "" where "" &amp; SUBSTITUTE(ADDRESS(1,MATCH(""uc_StepNumber"", Steps!$A$15:$FZ$15, 0),4),1,"""") &amp; ""  = "" &amp; $A129 ))"),"INPN1.5")</f>
        <v>INPN1.5</v>
      </c>
      <c r="I129" s="45" t="str">
        <f>IFERROR(__xludf.DUMMYFUNCTION("iferror(QUERY(Steps!$A$16:$FZ995, ""Select `"" &amp; SUBSTITUTE(ADDRESS(1,MATCH(""uc_Stream3PN"", Steps!$A$15:$FZ$15, 0),4),1,"""") &amp; ""` where "" &amp; SUBSTITUTE(ADDRESS(1,MATCH(""uc_StepNumber"", Steps!$A$15:$FZ$15, 0),4),1,"""") &amp; ""  = "" &amp; $A129 ))"),"INPN1.5")</f>
        <v>INPN1.5</v>
      </c>
      <c r="J129" s="44" t="str">
        <f>IFERROR(__xludf.DUMMYFUNCTION("iferror(QUERY(Steps!$A$16:$FZ995, ""Select "" &amp; SUBSTITUTE(ADDRESS(1,MATCH(""uc_Stream4PN"", Steps!$A$15:$FZ$15, 0),4),1,"""") &amp; "" where "" &amp; SUBSTITUTE(ADDRESS(1,MATCH(""uc_StepNumber"", Steps!$A$15:$FZ$15, 0),4),1,"""") &amp; ""  = "" &amp; $A129 ))"),"INPN1.5")</f>
        <v>INPN1.5</v>
      </c>
      <c r="K129" s="44" t="str">
        <f>IFERROR(__xludf.DUMMYFUNCTION("IFERROR(QUERY(Steps!$A$16:$FZ995, ""Select "" &amp; SUBSTITUTE(ADDRESS(1,MATCH(""uc_Stream5PN"", Steps!$A$15:$FZ$15, 0),4),1,"""") &amp; "" where "" &amp; SUBSTITUTE(ADDRESS(1,MATCH(""uc_StepNumber"", Steps!$A$15:$FZ$15, 0),4),1,"""") &amp; ""  = "" &amp; $A129 ))"),"INPN1.5")</f>
        <v>INPN1.5</v>
      </c>
      <c r="L129" s="44" t="str">
        <f>IFERROR(__xludf.DUMMYFUNCTION("IFERROR(QUERY(Steps!$A$16:$FZ995, ""Select "" &amp; SUBSTITUTE(ADDRESS(1,MATCH(""uc_Stream6PN"", Steps!$A$15:$FZ$15, 0),4),1,"""") &amp; "" where "" &amp; SUBSTITUTE(ADDRESS(1,MATCH(""uc_StepNumber"", Steps!$A$15:$FZ$15, 0),4),1,"""") &amp; ""= "" &amp; $A129 ))"),"INPN1.5")</f>
        <v>INPN1.5</v>
      </c>
      <c r="M129" s="44" t="str">
        <f>IFERROR(__xludf.DUMMYFUNCTION("IFERROR(QUERY(Steps!$A$16:$FZ995, ""Select "" &amp; SUBSTITUTE(ADDRESS(1,MATCH(""uc_Stream7PN"", Steps!$A$15:$FZ$15, 0),4),1,"""") &amp; "" where "" &amp; SUBSTITUTE(ADDRESS(1,MATCH(""uc_StepNumber"", Steps!$A$15:$FZ$15, 0),4),1,"""") &amp; ""= "" &amp; $A129 ))"),"INPN1.5")</f>
        <v>INPN1.5</v>
      </c>
      <c r="N129" s="44" t="str">
        <f>IFERROR(__xludf.DUMMYFUNCTION("IFERROR(QUERY(Steps!$A$16:$FZ995, ""Select "" &amp; SUBSTITUTE(ADDRESS(1,MATCH(""uc_Stream8PN"", Steps!$A$15:$FZ$15, 0),4),1,"""") &amp; "" where "" &amp; SUBSTITUTE(ADDRESS(1,MATCH(""uc_StepNumber"", Steps!$A$15:$FZ$15, 0),4),1,"""") &amp; "" = "" &amp; $A129 ))"),"INPN1.5")</f>
        <v>INPN1.5</v>
      </c>
      <c r="O129" s="44" t="str">
        <f>IFERROR(__xludf.DUMMYFUNCTION("IFERROR(QUERY(Steps!$A$16:$FZ995, ""Select "" &amp; SUBSTITUTE(ADDRESS(1,MATCH(""uc_Stream9PN"", Steps!$A$15:$FZ$15, 0),4),1,"""") &amp; "" where "" &amp; SUBSTITUTE(ADDRESS(1,MATCH(""uc_StepNumber"", Steps!$A$15:$FZ$15, 0),4),1,"""") &amp; ""= "" &amp; $A129 ))"),"INPN1.5")</f>
        <v>INPN1.5</v>
      </c>
      <c r="P129" s="44" t="str">
        <f>IFERROR(__xludf.DUMMYFUNCTION("IFERROR(QUERY(Steps!$A$16:$FZ995, ""Select "" &amp; SUBSTITUTE(ADDRESS(1,MATCH(""uc_Stream10PN"", Steps!$A$15:$FZ$15, 0),4),1,"""") &amp; "" where "" &amp; SUBSTITUTE(ADDRESS(1,MATCH(""uc_StepNumber"", Steps!$A$15:$FZ$15, 0),4),1,"""") &amp; ""= "" &amp; $A129 ))"),"INPN1.5")</f>
        <v>INPN1.5</v>
      </c>
      <c r="Q129" s="46">
        <f>IFERROR(__xludf.DUMMYFUNCTION("IFERROR(QUERY(Steps!$A$16:$FZ995, ""Select "" &amp; SUBSTITUTE(ADDRESS(1,MATCH(""uc_FlowGPM"", Steps!$A$15:$FZ$15, 0),4),1,"""") &amp; "" where "" &amp; SUBSTITUTE(ADDRESS(1,MATCH(""uc_StepNumber"", Steps!$A$15:$FZ$15, 0),4),1,"""") &amp; ""= "" &amp; $A129 ))"),0.0)</f>
        <v>0</v>
      </c>
      <c r="R129" s="46">
        <f>IFERROR(__xludf.DUMMYFUNCTION("IFERROR(QUERY(Steps!$A$16:$FZ995, ""Select "" &amp; SUBSTITUTE(ADDRESS(1,MATCH(""uc_PercentRatedCapacity"", Steps!$A$15:$FZ$15, 0),4),1,"""") &amp; "" where "" &amp; SUBSTITUTE(ADDRESS(1,MATCH(""uc_StepNumber"", Steps!$A$15:$FZ$15, 0),4),1,"""") &amp; ""= "" &amp; $A129 ))"),0.0)</f>
        <v>0</v>
      </c>
      <c r="S129" s="47">
        <f>IFERROR(__xludf.DUMMYFUNCTION("IFERROR(QUERY(Steps!$A$16:$FZ995, ""Select "" &amp; SUBSTITUTE(ADDRESS(1,MATCH(""uc_VoltsLeg1"", Steps!$A$15:$FZ$15, 0),4),1,"""") &amp; "" where "" &amp; SUBSTITUTE(ADDRESS(1,MATCH(""uc_StepNumber"", Steps!$A$15:$FZ$15, 0),4),1,"""") &amp; ""= "" &amp; $A129 ))"),490.0)</f>
        <v>490</v>
      </c>
      <c r="T129" s="47">
        <f>IFERROR(__xludf.DUMMYFUNCTION("IFERROR(QUERY(Steps!$A$16:$FZ995, ""Select "" &amp; SUBSTITUTE(ADDRESS(1,MATCH(""uc_AmpsLeg1"", Steps!$A$15:$FZ$15, 0),4),1,"""") &amp; "" where "" &amp; SUBSTITUTE(ADDRESS(1,MATCH(""uc_StepNumber"", Steps!$A$15:$FZ$15, 0),4),1,"""") &amp; ""= "" &amp; $A129 ))"),76.0)</f>
        <v>76</v>
      </c>
      <c r="U129" s="46">
        <f>IFERROR(__xludf.DUMMYFUNCTION("IFERROR(QUERY(Steps!$A$16:$FZ995, ""Select "" &amp; SUBSTITUTE(ADDRESS(1,MATCH(""uc_CorrectedFlowPercent"", Steps!$A$15:$FZ$15, 0),4),1,"""") &amp; "" where "" &amp; SUBSTITUTE(ADDRESS(1,MATCH(""uc_StepNumber"", Steps!$A$15:$FZ$15, 0),4),1,"""") &amp; ""= "" &amp; $A129 ))"),0.0)</f>
        <v>0</v>
      </c>
      <c r="V129" s="46">
        <f>IFERROR(__xludf.DUMMYFUNCTION("IFERROR(QUERY(Steps!$A$16:$FZ995, ""Select "" &amp; SUBSTITUTE(ADDRESS(1,MATCH(""uc_CorrectedPressure"", Steps!$A$15:$FZ$15, 0),4),1,"""") &amp; "" where "" &amp; SUBSTITUTE(ADDRESS(1,MATCH(""uc_StepNumber"", Steps!$A$15:$FZ$15, 0),4),1,"""") &amp; ""= "" &amp; $A129 ))"),115.1)</f>
        <v>115.1</v>
      </c>
    </row>
    <row r="130">
      <c r="A130" s="48"/>
      <c r="B130" s="49"/>
      <c r="C130" s="50"/>
      <c r="D130" s="50"/>
      <c r="E130" s="50"/>
      <c r="F130" s="51" t="s">
        <v>93</v>
      </c>
      <c r="G130" s="52">
        <f>IFERROR(__xludf.DUMMYFUNCTION("IFERROR(QUERY(Steps!$A$16:$FZ995, ""Select "" &amp; SUBSTITUTE(ADDRESS(1,MATCH(""uc_Stream1PSI"", Steps!$A$15:$FZ$15, 0),4),1,"""") &amp; "" where "" &amp; SUBSTITUTE(ADDRESS(1,MATCH(""uc_StepNumber"", Steps!$A$15:$FZ$15, 0),4),1,"""") &amp; ""  = "" &amp; $A129 ))"),0.0)</f>
        <v>0</v>
      </c>
      <c r="H130" s="52">
        <f>IFERROR(__xludf.DUMMYFUNCTION("IFERROR(QUERY(Steps!$A$16:$FZ995, ""Select "" &amp; SUBSTITUTE(ADDRESS(1,MATCH(""uc_Stream2PSI"", Steps!$A$15:$FZ$15, 0),4),1,"""") &amp; "" where "" &amp; SUBSTITUTE(ADDRESS(1,MATCH(""uc_StepNumber"", Steps!$A$15:$FZ$15, 0),4),1,"""") &amp; ""  = "" &amp; $A129 ))"),0.0)</f>
        <v>0</v>
      </c>
      <c r="I130" s="52">
        <f>IFERROR(__xludf.DUMMYFUNCTION("IFERROR(QUERY(Steps!$A$16:$FZ995, ""Select "" &amp; SUBSTITUTE(ADDRESS(1,MATCH(""uc_Stream3PSI"", Steps!$A$15:$FZ$15, 0),4),1,"""") &amp; "" where "" &amp; SUBSTITUTE(ADDRESS(1,MATCH(""uc_StepNumber"", Steps!$A$15:$FZ$15, 0),4),1,"""") &amp; ""  = "" &amp; $A129 ))"),0.0)</f>
        <v>0</v>
      </c>
      <c r="J130" s="53" t="str">
        <f>IFERROR(__xludf.DUMMYFUNCTION("IFERROR(QUERY(Steps!$A$16:$FZ995, ""Select "" &amp; SUBSTITUTE(ADDRESS(1,MATCH(""uc_Stream4PSI"", Steps!$A$15:$FZ$15, 0),4),1,"""") &amp; "" where "" &amp; SUBSTITUTE(ADDRESS(1,MATCH(""uc_StepNumber"", Steps!$A$15:$FZ$15, 0),4),1,"""") &amp; ""  = "" &amp; $A129 ))"),"")</f>
        <v/>
      </c>
      <c r="K130" s="53" t="str">
        <f>IFERROR(__xludf.DUMMYFUNCTION("IFERROR(QUERY(Steps!$A$16:$FZ995, ""Select "" &amp; SUBSTITUTE(ADDRESS(1,MATCH(""uc_Stream5PSI"", Steps!$A$15:$FZ$15, 0),4),1,"""") &amp; "" where "" &amp; SUBSTITUTE(ADDRESS(1,MATCH(""uc_StepNumber"", Steps!$A$15:$FZ$15, 0),4),1,"""") &amp; ""  = "" &amp; $A129 ))"),"")</f>
        <v/>
      </c>
      <c r="L130" s="53" t="str">
        <f>IFERROR(__xludf.DUMMYFUNCTION("IFERROR(QUERY(Steps!$A$16:$FZ995, ""Select "" &amp; SUBSTITUTE(ADDRESS(1,MATCH(""uc_Stream6PSI"", Steps!$A$15:$FZ$15, 0),4),1,"""") &amp; "" where "" &amp; SUBSTITUTE(ADDRESS(1,MATCH(""uc_StepNumber"", Steps!$A$15:$FZ$15, 0),4),1,"""") &amp; ""= "" &amp; $A129 ))"),"")</f>
        <v/>
      </c>
      <c r="M130" s="53" t="str">
        <f>IFERROR(__xludf.DUMMYFUNCTION("IFERROR(QUERY(Steps!$A$16:$FZ995, ""Select "" &amp; SUBSTITUTE(ADDRESS(1,MATCH(""uc_Stream7PSI"", Steps!$A$15:$FZ$15, 0),4),1,"""") &amp; "" where "" &amp; SUBSTITUTE(ADDRESS(1,MATCH(""uc_StepNumber"", Steps!$A$15:$FZ$15, 0),4),1,"""") &amp; "" = "" &amp; $A129 ))"),"")</f>
        <v/>
      </c>
      <c r="N130" s="53" t="str">
        <f>IFERROR(__xludf.DUMMYFUNCTION("IFERROR(QUERY(Steps!$A$16:$FZ995, ""Select "" &amp; SUBSTITUTE(ADDRESS(1,MATCH(""uc_Stream8PSI"", Steps!$A$15:$FZ$15, 0),4),1,"""") &amp; "" where "" &amp; SUBSTITUTE(ADDRESS(1,MATCH(""uc_StepNumber"", Steps!$A$15:$FZ$15, 0),4),1,"""") &amp; ""= "" &amp; $A129 ))"),"")</f>
        <v/>
      </c>
      <c r="O130" s="53" t="str">
        <f>IFERROR(__xludf.DUMMYFUNCTION("IFERROR(QUERY(Steps!$A$16:$FZ995, ""Select "" &amp; SUBSTITUTE(ADDRESS(1,MATCH(""uc_Stream9PSI"", Steps!$A$15:$FZ$15, 0),4),1,"""") &amp; "" where "" &amp; SUBSTITUTE(ADDRESS(1,MATCH(""uc_StepNumber"", Steps!$A$15:$FZ$15, 0),4),1,"""") &amp; ""= "" &amp; $A129 ))"),"")</f>
        <v/>
      </c>
      <c r="P130" s="53" t="str">
        <f>IFERROR(__xludf.DUMMYFUNCTION("IFERROR(QUERY(Steps!$A$16:$FZ995, ""Select "" &amp; SUBSTITUTE(ADDRESS(1,MATCH(""uc_Stream10PSI"", Steps!$A$15:$FZ$15, 0),4),1,"""") &amp; "" where "" &amp; SUBSTITUTE(ADDRESS(1,MATCH(""uc_StepNumber"", Steps!$A$15:$FZ$15, 0),4),1,"""") &amp; ""= "" &amp; $A129 ))"),"")</f>
        <v/>
      </c>
      <c r="Q130" s="50"/>
      <c r="R130" s="50"/>
      <c r="S130" s="47">
        <f>IFERROR(__xludf.DUMMYFUNCTION("IFERROR(QUERY(Steps!$A$16:$FZ995, ""Select "" &amp; SUBSTITUTE(ADDRESS(1,MATCH(""uc_VoltsLeg2"", Steps!$A$15:$FZ$15, 0),4),1,"""") &amp; "" where "" &amp; SUBSTITUTE(ADDRESS(1,MATCH(""uc_StepNumber"", Steps!$A$15:$FZ$15, 0),4),1,"""") &amp; ""= "" &amp; $A129 ))"),495.0)</f>
        <v>495</v>
      </c>
      <c r="T130" s="47">
        <f>IFERROR(__xludf.DUMMYFUNCTION("IFERROR(QUERY(Steps!$A$16:$FZ995, ""Select "" &amp; SUBSTITUTE(ADDRESS(1,MATCH(""uc_AmpsLeg2"", Steps!$A$15:$FZ$15, 0),4),1,"""") &amp; "" where "" &amp; SUBSTITUTE(ADDRESS(1,MATCH(""uc_StepNumber"", Steps!$A$15:$FZ$15, 0),4),1,"""") &amp; ""= "" &amp; $A129 ))"),80.0)</f>
        <v>80</v>
      </c>
      <c r="U130" s="50"/>
      <c r="V130" s="50"/>
    </row>
    <row r="131">
      <c r="A131" s="54"/>
      <c r="B131" s="55"/>
      <c r="C131" s="56"/>
      <c r="D131" s="56"/>
      <c r="E131" s="56"/>
      <c r="F131" s="57" t="s">
        <v>94</v>
      </c>
      <c r="G131" s="58">
        <f>IFERROR(__xludf.DUMMYFUNCTION("IFERROR(QUERY(Steps!$A$16:$FZ995, ""Select "" &amp; SUBSTITUTE(ADDRESS(1,MATCH(""uc_Stream1GPM"", Steps!$A$15:$FZ$15, 0),4),1,"""") &amp; "" where "" &amp; SUBSTITUTE(ADDRESS(1,MATCH(""uc_StepNumber"", Steps!$A$15:$FZ$15, 0),4),1,"""") &amp; ""  = "" &amp; $A129 ))"),0.0)</f>
        <v>0</v>
      </c>
      <c r="H131" s="58">
        <f>IFERROR(__xludf.DUMMYFUNCTION("IFERROR(QUERY(Steps!$A$16:$FZ995, ""Select "" &amp; SUBSTITUTE(ADDRESS(1,MATCH(""uc_Stream2GPM"", Steps!$A$15:$FZ$15, 0),4),1,"""") &amp; "" where "" &amp; SUBSTITUTE(ADDRESS(1,MATCH(""uc_StepNumber"", Steps!$A$15:$FZ$15, 0),4),1,"""") &amp; ""  = "" &amp; $A129 ))"),0.0)</f>
        <v>0</v>
      </c>
      <c r="I131" s="58">
        <f>IFERROR(__xludf.DUMMYFUNCTION("IFERROR(QUERY(Steps!$A$16:$FZ995, ""Select "" &amp; SUBSTITUTE(ADDRESS(1,MATCH(""uc_Stream3GPM"", Steps!$A$15:$FZ$15, 0),4),1,"""") &amp; "" where "" &amp; SUBSTITUTE(ADDRESS(1,MATCH(""uc_StepNumber"", Steps!$A$15:$FZ$15, 0),4),1,"""") &amp; ""  = "" &amp; $A129 ))"),0.0)</f>
        <v>0</v>
      </c>
      <c r="J131" s="58" t="str">
        <f>IFERROR(__xludf.DUMMYFUNCTION("IFERROR(QUERY(Steps!$A$16:$FZ995, ""Select "" &amp; SUBSTITUTE(ADDRESS(1,MATCH(""uc_Stream4GPM"", Steps!$A$15:$FZ$15, 0),4),1,"""") &amp; "" where "" &amp; SUBSTITUTE(ADDRESS(1,MATCH(""uc_StepNumber"", Steps!$A$15:$FZ$15, 0),4),1,"""") &amp; ""  = "" &amp; $A129 ))"),"")</f>
        <v/>
      </c>
      <c r="K131" s="58" t="str">
        <f>IFERROR(__xludf.DUMMYFUNCTION("IFERROR(QUERY(Steps!$A$16:$FZ995, ""Select "" &amp; SUBSTITUTE(ADDRESS(1,MATCH(""uc_Stream5GPM"", Steps!$A$15:$FZ$15, 0),4),1,"""") &amp; "" where "" &amp; SUBSTITUTE(ADDRESS(1,MATCH(""uc_StepNumber"", Steps!$A$15:$FZ$15, 0),4),1,"""") &amp; ""  = "" &amp; $A129 ))"),"")</f>
        <v/>
      </c>
      <c r="L131" s="58" t="str">
        <f>IFERROR(__xludf.DUMMYFUNCTION("IFERROR(QUERY(Steps!$A$16:$FZ995, ""Select "" &amp; SUBSTITUTE(ADDRESS(1,MATCH(""uc_Stream6GPM"", Steps!$A$15:$FZ$15, 0),4),1,"""") &amp; "" where "" &amp; SUBSTITUTE(ADDRESS(1,MATCH(""uc_StepNumber"", Steps!$A$15:$FZ$15, 0),4),1,"""") &amp; ""= "" &amp; $A129 ))"),"")</f>
        <v/>
      </c>
      <c r="M131" s="58" t="str">
        <f>IFERROR(__xludf.DUMMYFUNCTION("IFERROR(QUERY(Steps!$A$16:$FZ995, ""Select "" &amp; SUBSTITUTE(ADDRESS(1,MATCH(""uc_Stream7GPM"", Steps!$A$15:$FZ$15, 0),4),1,"""") &amp; "" where "" &amp; SUBSTITUTE(ADDRESS(1,MATCH(""uc_StepNumber"", Steps!$A$15:$FZ$15, 0),4),1,"""") &amp; "" = "" &amp; $A129 ))"),"")</f>
        <v/>
      </c>
      <c r="N131" s="58" t="str">
        <f>IFERROR(__xludf.DUMMYFUNCTION("IFERROR(QUERY(Steps!$A$16:$FZ995, ""Select "" &amp; SUBSTITUTE(ADDRESS(1,MATCH(""uc_Stream8GPM"", Steps!$A$15:$FZ$15, 0),4),1,"""") &amp; "" where "" &amp; SUBSTITUTE(ADDRESS(1,MATCH(""uc_StepNumber"", Steps!$A$15:$FZ$15, 0),4),1,"""") &amp; ""= "" &amp; $A129 ))"),"")</f>
        <v/>
      </c>
      <c r="O131" s="58" t="str">
        <f>IFERROR(__xludf.DUMMYFUNCTION("IFERROR(QUERY(Steps!$A$16:$FZ995, ""Select "" &amp; SUBSTITUTE(ADDRESS(1,MATCH(""uc_Stream9GPM"", Steps!$A$15:$FZ$15, 0),4),1,"""") &amp; "" where "" &amp; SUBSTITUTE(ADDRESS(1,MATCH(""uc_StepNumber"", Steps!$A$15:$FZ$15, 0),4),1,"""") &amp; ""= "" &amp; $A129 ))"),"")</f>
        <v/>
      </c>
      <c r="P131" s="58" t="str">
        <f>IFERROR(__xludf.DUMMYFUNCTION("IFERROR(QUERY(Steps!$A$16:$FZ995, ""Select "" &amp; SUBSTITUTE(ADDRESS(1,MATCH(""uc_Stream10GPM"", Steps!$A$15:$FZ$15, 0),4),1,"""") &amp; "" where "" &amp; SUBSTITUTE(ADDRESS(1,MATCH(""uc_StepNumber"", Steps!$A$15:$FZ$15, 0),4),1,"""") &amp; ""= "" &amp; $A129 ))"),"")</f>
        <v/>
      </c>
      <c r="Q131" s="56"/>
      <c r="R131" s="56"/>
      <c r="S131" s="59">
        <f>IFERROR(__xludf.DUMMYFUNCTION("IFERROR(QUERY(Steps!$A$16:$FZ995, ""Select "" &amp; SUBSTITUTE(ADDRESS(1,MATCH(""uc_VoltsLeg3"", Steps!$A$15:$FZ$15, 0),4),1,"""") &amp; "" where "" &amp; SUBSTITUTE(ADDRESS(1,MATCH(""uc_StepNumber"", Steps!$A$15:$FZ$15, 0),4),1,"""") &amp; ""= "" &amp; $A129 ))"),493.0)</f>
        <v>493</v>
      </c>
      <c r="T131" s="59">
        <f>IFERROR(__xludf.DUMMYFUNCTION("IFERROR(QUERY(Steps!$A$16:$FZ995, ""Select "" &amp; SUBSTITUTE(ADDRESS(1,MATCH(""uc_AmpsLeg3"", Steps!$A$15:$FZ$15, 0),4),1,"""") &amp; "" where "" &amp; SUBSTITUTE(ADDRESS(1,MATCH(""uc_StepNumber"", Steps!$A$15:$FZ$15, 0),4),1,"""") &amp; ""= "" &amp; $A129 ))"),82.0)</f>
        <v>82</v>
      </c>
      <c r="U131" s="56"/>
      <c r="V131" s="56"/>
    </row>
    <row r="132">
      <c r="A132" s="60">
        <v>2.0</v>
      </c>
      <c r="B132" s="61">
        <f>IFERROR(__xludf.DUMMYFUNCTION("iferror(QUERY(Steps!$A$16:$FZ995, ""Select "" &amp; SUBSTITUTE(ADDRESS(1,MATCH(""uc_RPM"", Steps!$A$15:$FZ$15, 0),4),1,"""") &amp; "" where "" &amp; SUBSTITUTE(ADDRESS(1,MATCH(""uc_StepNumber"", Steps!$A$15:$FZ$15, 0),4),1,"""") &amp; "" = "" &amp; $A132 ))"),3570.0)</f>
        <v>3570</v>
      </c>
      <c r="C132" s="41">
        <f>IFERROR(__xludf.DUMMYFUNCTION("iferror(QUERY(Steps!$A$16:$FZ995, ""Select "" &amp; SUBSTITUTE(ADDRESS(1,MATCH(""uc_Discharge"", Steps!$A$15:$FZ$15, 0),4),1,"""") &amp; "" where "" &amp; SUBSTITUTE(ADDRESS(1,MATCH(""uc_StepNumber"", Steps!$A$15:$FZ$15, 0),4),1,"""") &amp; ""  = "" &amp; $A132 ))"),160.0)</f>
        <v>160</v>
      </c>
      <c r="D132" s="41">
        <f>IFERROR(__xludf.DUMMYFUNCTION("iferror(QUERY(Steps!$A$16:$FZ995, ""Select "" &amp; SUBSTITUTE(ADDRESS(1,MATCH(""uc_Suction"", Steps!$A$15:$FZ$15, 0),4),1,"""") &amp; "" where "" &amp; SUBSTITUTE(ADDRESS(1,MATCH(""uc_StepNumber"", Steps!$A$15:$FZ$15, 0),4),1,"""") &amp; ""  = "" &amp; $A132 ))"),44.0)</f>
        <v>44</v>
      </c>
      <c r="E132" s="46">
        <f>IFERROR(__xludf.DUMMYFUNCTION("iferror(QUERY(Steps!$A$16:$FZ995, ""Select "" &amp; SUBSTITUTE(ADDRESS(1,MATCH(""uc_NET"", Steps!$A$15:$FZ$15, 0),4),1,"""") &amp; "" where "" &amp; SUBSTITUTE(ADDRESS(1,MATCH(""uc_StepNumber"", Steps!$A$15:$FZ$15, 0),4),1,"""") &amp; ""  = "" &amp; $A132 ))"),116.0)</f>
        <v>116</v>
      </c>
      <c r="F132" s="43" t="s">
        <v>92</v>
      </c>
      <c r="G132" s="62" t="str">
        <f>IFERROR(__xludf.DUMMYFUNCTION("iferror(QUERY(Steps!$A$16:$FZ995, ""Select "" &amp; SUBSTITUTE(ADDRESS(1,MATCH(""uc_Stream1PN"", Steps!$A$15:$FZ$15, 0),4),1,"""") &amp; "" where "" &amp; SUBSTITUTE(ADDRESS(1,MATCH(""uc_StepNumber"", Steps!$A$15:$FZ$15, 0),4),1,"""") &amp; ""  = "" &amp; $A132 ))"),"")</f>
        <v/>
      </c>
      <c r="H132" s="62" t="str">
        <f>IFERROR(__xludf.DUMMYFUNCTION("iferror(QUERY(Steps!$A$16:$FZ995, ""Select "" &amp; SUBSTITUTE(ADDRESS(1,MATCH(""uc_Stream2PN"", Steps!$A$15:$FZ$15, 0),4),1,"""") &amp; "" where "" &amp; SUBSTITUTE(ADDRESS(1,MATCH(""uc_StepNumber"", Steps!$A$15:$FZ$15, 0),4),1,"""") &amp; ""  = "" &amp; $A132 ))"),"")</f>
        <v/>
      </c>
      <c r="I132" s="45" t="str">
        <f>IFERROR(__xludf.DUMMYFUNCTION("iferror(QUERY(Steps!$A$16:$FZ995, ""Select `"" &amp; SUBSTITUTE(ADDRESS(1,MATCH(""uc_Stream3PN"", Steps!$A$15:$FZ$15, 0),4),1,"""") &amp; ""` where "" &amp; SUBSTITUTE(ADDRESS(1,MATCH(""uc_StepNumber"", Steps!$A$15:$FZ$15, 0),4),1,"""") &amp; ""  = "" &amp; $A132 ))"),"")</f>
        <v/>
      </c>
      <c r="J132" s="62" t="str">
        <f>IFERROR(__xludf.DUMMYFUNCTION("iferror(QUERY(Steps!$A$16:$FZ995, ""Select "" &amp; SUBSTITUTE(ADDRESS(1,MATCH(""uc_Stream4PN"", Steps!$A$15:$FZ$15, 0),4),1,"""") &amp; "" where "" &amp; SUBSTITUTE(ADDRESS(1,MATCH(""uc_StepNumber"", Steps!$A$15:$FZ$15, 0),4),1,"""") &amp; ""  = "" &amp; $A132 ))"),"")</f>
        <v/>
      </c>
      <c r="K132" s="62" t="str">
        <f>IFERROR(__xludf.DUMMYFUNCTION("IFERROR(QUERY(Steps!$A$16:$FZ995, ""Select "" &amp; SUBSTITUTE(ADDRESS(1,MATCH(""uc_Stream5PN"", Steps!$A$15:$FZ$15, 0),4),1,"""") &amp; "" where "" &amp; SUBSTITUTE(ADDRESS(1,MATCH(""uc_StepNumber"", Steps!$A$15:$FZ$15, 0),4),1,"""") &amp; ""  = "" &amp; $A132 ))"),"")</f>
        <v/>
      </c>
      <c r="L132" s="62" t="str">
        <f>IFERROR(__xludf.DUMMYFUNCTION("IFERROR(QUERY(Steps!$A$16:$FZ995, ""Select "" &amp; SUBSTITUTE(ADDRESS(1,MATCH(""uc_Stream6PN"", Steps!$A$15:$FZ$15, 0),4),1,"""") &amp; "" where "" &amp; SUBSTITUTE(ADDRESS(1,MATCH(""uc_StepNumber"", Steps!$A$15:$FZ$15, 0),4),1,"""") &amp; ""= "" &amp; $A132 ))"),"")</f>
        <v/>
      </c>
      <c r="M132" s="62" t="str">
        <f>IFERROR(__xludf.DUMMYFUNCTION("IFERROR(QUERY(Steps!$A$16:$FZ995, ""Select "" &amp; SUBSTITUTE(ADDRESS(1,MATCH(""uc_Stream7PN"", Steps!$A$15:$FZ$15, 0),4),1,"""") &amp; "" where "" &amp; SUBSTITUTE(ADDRESS(1,MATCH(""uc_StepNumber"", Steps!$A$15:$FZ$15, 0),4),1,"""") &amp; ""= "" &amp; $A132 ))"),"")</f>
        <v/>
      </c>
      <c r="N132" s="62" t="str">
        <f>IFERROR(__xludf.DUMMYFUNCTION("IFERROR(QUERY(Steps!$A$16:$FZ995, ""Select "" &amp; SUBSTITUTE(ADDRESS(1,MATCH(""uc_Stream8PN"", Steps!$A$15:$FZ$15, 0),4),1,"""") &amp; "" where "" &amp; SUBSTITUTE(ADDRESS(1,MATCH(""uc_StepNumber"", Steps!$A$15:$FZ$15, 0),4),1,"""") &amp; "" = "" &amp; $A132 ))"),"")</f>
        <v/>
      </c>
      <c r="O132" s="62" t="str">
        <f>IFERROR(__xludf.DUMMYFUNCTION("IFERROR(QUERY(Steps!$A$16:$FZ995, ""Select "" &amp; SUBSTITUTE(ADDRESS(1,MATCH(""uc_Stream9PN"", Steps!$A$15:$FZ$15, 0),4),1,"""") &amp; "" where "" &amp; SUBSTITUTE(ADDRESS(1,MATCH(""uc_StepNumber"", Steps!$A$15:$FZ$15, 0),4),1,"""") &amp; ""= "" &amp; $A132 ))"),"")</f>
        <v/>
      </c>
      <c r="P132" s="62" t="str">
        <f>IFERROR(__xludf.DUMMYFUNCTION("IFERROR(QUERY(Steps!$A$16:$FZ995, ""Select "" &amp; SUBSTITUTE(ADDRESS(1,MATCH(""uc_Stream10PN"", Steps!$A$15:$FZ$15, 0),4),1,"""") &amp; "" where "" &amp; SUBSTITUTE(ADDRESS(1,MATCH(""uc_StepNumber"", Steps!$A$15:$FZ$15, 0),4),1,"""") &amp; ""= "" &amp; $A132 ))"),"")</f>
        <v/>
      </c>
      <c r="Q132" s="46">
        <f>IFERROR(__xludf.DUMMYFUNCTION("IFERROR(QUERY(Steps!$A$16:$FZ995, ""Select "" &amp; SUBSTITUTE(ADDRESS(1,MATCH(""uc_FlowGPM"", Steps!$A$15:$FZ$15, 0),4),1,"""") &amp; "" where "" &amp; SUBSTITUTE(ADDRESS(1,MATCH(""uc_StepNumber"", Steps!$A$15:$FZ$15, 0),4),1,"""") &amp; ""= "" &amp; $A132 ))"),519.0)</f>
        <v>519</v>
      </c>
      <c r="R132" s="46">
        <f>IFERROR(__xludf.DUMMYFUNCTION("IFERROR(QUERY(Steps!$A$16:$FZ995, ""Select "" &amp; SUBSTITUTE(ADDRESS(1,MATCH(""uc_PercentRatedCapacity"", Steps!$A$15:$FZ$15, 0),4),1,"""") &amp; "" where "" &amp; SUBSTITUTE(ADDRESS(1,MATCH(""uc_StepNumber"", Steps!$A$15:$FZ$15, 0),4),1,"""") &amp; ""= "" &amp; $A132 ))"),51.9)</f>
        <v>51.9</v>
      </c>
      <c r="S132" s="63">
        <f>IFERROR(__xludf.DUMMYFUNCTION("IFERROR(QUERY(Steps!$A$16:$FZ995, ""Select "" &amp; SUBSTITUTE(ADDRESS(1,MATCH(""uc_VoltsLeg1"", Steps!$A$15:$FZ$15, 0),4),1,"""") &amp; "" where "" &amp; SUBSTITUTE(ADDRESS(1,MATCH(""uc_StepNumber"", Steps!$A$15:$FZ$15, 0),4),1,"""") &amp; ""= "" &amp; $A132 ))"),487.0)</f>
        <v>487</v>
      </c>
      <c r="T132" s="63">
        <f>IFERROR(__xludf.DUMMYFUNCTION("IFERROR(QUERY(Steps!$A$16:$FZ995, ""Select "" &amp; SUBSTITUTE(ADDRESS(1,MATCH(""uc_AmpsLeg1"", Steps!$A$15:$FZ$15, 0),4),1,"""") &amp; "" where "" &amp; SUBSTITUTE(ADDRESS(1,MATCH(""uc_StepNumber"", Steps!$A$15:$FZ$15, 0),4),1,"""") &amp; ""= "" &amp; $A132 ))"),82.0)</f>
        <v>82</v>
      </c>
      <c r="U132" s="46">
        <f>IFERROR(__xludf.DUMMYFUNCTION("IFERROR(QUERY(Steps!$A$16:$FZ995, ""Select "" &amp; SUBSTITUTE(ADDRESS(1,MATCH(""uc_CorrectedFlowPercent"", Steps!$A$15:$FZ$15, 0),4),1,"""") &amp; "" where "" &amp; SUBSTITUTE(ADDRESS(1,MATCH(""uc_StepNumber"", Steps!$A$15:$FZ$15, 0),4),1,"""") &amp; ""= "" &amp; $A132 ))"),50.9)</f>
        <v>50.9</v>
      </c>
      <c r="V132" s="64">
        <f>IFERROR(__xludf.DUMMYFUNCTION("IFERROR(QUERY(Steps!$A$16:$FZ995, ""Select "" &amp; SUBSTITUTE(ADDRESS(1,MATCH(""uc_CorrectedPressure"", Steps!$A$15:$FZ$15, 0),4),1,"""") &amp; "" where "" &amp; SUBSTITUTE(ADDRESS(1,MATCH(""uc_StepNumber"", Steps!$A$15:$FZ$15, 0),4),1,"""") &amp; ""= "" &amp; $A132 ))"),111.5)</f>
        <v>111.5</v>
      </c>
    </row>
    <row r="133">
      <c r="A133" s="65"/>
      <c r="B133" s="66"/>
      <c r="C133" s="50"/>
      <c r="D133" s="50"/>
      <c r="E133" s="50"/>
      <c r="F133" s="51" t="s">
        <v>93</v>
      </c>
      <c r="G133" s="52">
        <f>IFERROR(__xludf.DUMMYFUNCTION("IFERROR(QUERY(Steps!$A$16:$FZ995, ""Select "" &amp; SUBSTITUTE(ADDRESS(1,MATCH(""uc_Stream1PSI"", Steps!$A$15:$FZ$15, 0),4),1,"""") &amp; "" where "" &amp; SUBSTITUTE(ADDRESS(1,MATCH(""uc_StepNumber"", Steps!$A$15:$FZ$15, 0),4),1,"""") &amp; ""  = "" &amp; $A132 ))"),8.0)</f>
        <v>8</v>
      </c>
      <c r="H133" s="52">
        <f>IFERROR(__xludf.DUMMYFUNCTION("IFERROR(QUERY(Steps!$A$16:$FZ995, ""Select "" &amp; SUBSTITUTE(ADDRESS(1,MATCH(""uc_Stream2PSI"", Steps!$A$15:$FZ$15, 0),4),1,"""") &amp; "" where "" &amp; SUBSTITUTE(ADDRESS(1,MATCH(""uc_StepNumber"", Steps!$A$15:$FZ$15, 0),4),1,"""") &amp; ""  = "" &amp; $A132 ))"),9.0)</f>
        <v>9</v>
      </c>
      <c r="I133" s="52" t="str">
        <f>IFERROR(__xludf.DUMMYFUNCTION("IFERROR(QUERY(Steps!$A$16:$FZ995, ""Select "" &amp; SUBSTITUTE(ADDRESS(1,MATCH(""uc_Stream3PSI"", Steps!$A$15:$FZ$15, 0),4),1,"""") &amp; "" where "" &amp; SUBSTITUTE(ADDRESS(1,MATCH(""uc_StepNumber"", Steps!$A$15:$FZ$15, 0),4),1,"""") &amp; ""  = "" &amp; $A132 ))"),"")</f>
        <v/>
      </c>
      <c r="J133" s="53" t="str">
        <f>IFERROR(__xludf.DUMMYFUNCTION("IFERROR(QUERY(Steps!$A$16:$FZ995, ""Select "" &amp; SUBSTITUTE(ADDRESS(1,MATCH(""uc_Stream4PSI"", Steps!$A$15:$FZ$15, 0),4),1,"""") &amp; "" where "" &amp; SUBSTITUTE(ADDRESS(1,MATCH(""uc_StepNumber"", Steps!$A$15:$FZ$15, 0),4),1,"""") &amp; ""  = "" &amp; $A132 ))"),"")</f>
        <v/>
      </c>
      <c r="K133" s="53" t="str">
        <f>IFERROR(__xludf.DUMMYFUNCTION("IFERROR(QUERY(Steps!$A$16:$FZ995, ""Select "" &amp; SUBSTITUTE(ADDRESS(1,MATCH(""uc_Stream5PSI"", Steps!$A$15:$FZ$15, 0),4),1,"""") &amp; "" where "" &amp; SUBSTITUTE(ADDRESS(1,MATCH(""uc_StepNumber"", Steps!$A$15:$FZ$15, 0),4),1,"""") &amp; ""  = "" &amp; $A132 ))"),"")</f>
        <v/>
      </c>
      <c r="L133" s="53" t="str">
        <f>IFERROR(__xludf.DUMMYFUNCTION("IFERROR(QUERY(Steps!$A$16:$FZ995, ""Select "" &amp; SUBSTITUTE(ADDRESS(1,MATCH(""uc_Stream6PSI"", Steps!$A$15:$FZ$15, 0),4),1,"""") &amp; "" where "" &amp; SUBSTITUTE(ADDRESS(1,MATCH(""uc_StepNumber"", Steps!$A$15:$FZ$15, 0),4),1,"""") &amp; ""= "" &amp; $A132 ))"),"")</f>
        <v/>
      </c>
      <c r="M133" s="53" t="str">
        <f>IFERROR(__xludf.DUMMYFUNCTION("IFERROR(QUERY(Steps!$A$16:$FZ995, ""Select "" &amp; SUBSTITUTE(ADDRESS(1,MATCH(""uc_Stream7PSI"", Steps!$A$15:$FZ$15, 0),4),1,"""") &amp; "" where "" &amp; SUBSTITUTE(ADDRESS(1,MATCH(""uc_StepNumber"", Steps!$A$15:$FZ$15, 0),4),1,"""") &amp; "" = "" &amp; $A132 ))"),"")</f>
        <v/>
      </c>
      <c r="N133" s="53" t="str">
        <f>IFERROR(__xludf.DUMMYFUNCTION("IFERROR(QUERY(Steps!$A$16:$FZ995, ""Select "" &amp; SUBSTITUTE(ADDRESS(1,MATCH(""uc_Stream8PSI"", Steps!$A$15:$FZ$15, 0),4),1,"""") &amp; "" where "" &amp; SUBSTITUTE(ADDRESS(1,MATCH(""uc_StepNumber"", Steps!$A$15:$FZ$15, 0),4),1,"""") &amp; ""= "" &amp; $A132 ))"),"")</f>
        <v/>
      </c>
      <c r="O133" s="53" t="str">
        <f>IFERROR(__xludf.DUMMYFUNCTION("IFERROR(QUERY(Steps!$A$16:$FZ995, ""Select "" &amp; SUBSTITUTE(ADDRESS(1,MATCH(""uc_Stream9PSI"", Steps!$A$15:$FZ$15, 0),4),1,"""") &amp; "" where "" &amp; SUBSTITUTE(ADDRESS(1,MATCH(""uc_StepNumber"", Steps!$A$15:$FZ$15, 0),4),1,"""") &amp; ""= "" &amp; $A132 ))"),"")</f>
        <v/>
      </c>
      <c r="P133" s="53" t="str">
        <f>IFERROR(__xludf.DUMMYFUNCTION("IFERROR(QUERY(Steps!$A$16:$FZ995, ""Select "" &amp; SUBSTITUTE(ADDRESS(1,MATCH(""uc_Stream10PSI"", Steps!$A$15:$FZ$15, 0),4),1,"""") &amp; "" where "" &amp; SUBSTITUTE(ADDRESS(1,MATCH(""uc_StepNumber"", Steps!$A$15:$FZ$15, 0),4),1,"""") &amp; ""= "" &amp; $A132 ))"),"")</f>
        <v/>
      </c>
      <c r="Q133" s="50"/>
      <c r="R133" s="50"/>
      <c r="S133" s="47">
        <f>IFERROR(__xludf.DUMMYFUNCTION("IFERROR(QUERY(Steps!$A$16:$FZ995, ""Select "" &amp; SUBSTITUTE(ADDRESS(1,MATCH(""uc_VoltsLeg2"", Steps!$A$15:$FZ$15, 0),4),1,"""") &amp; "" where "" &amp; SUBSTITUTE(ADDRESS(1,MATCH(""uc_StepNumber"", Steps!$A$15:$FZ$15, 0),4),1,"""") &amp; ""= "" &amp; $A132 ))"),491.0)</f>
        <v>491</v>
      </c>
      <c r="T133" s="47">
        <f>IFERROR(__xludf.DUMMYFUNCTION("IFERROR(QUERY(Steps!$A$16:$FZ995, ""Select "" &amp; SUBSTITUTE(ADDRESS(1,MATCH(""uc_AmpsLeg2"", Steps!$A$15:$FZ$15, 0),4),1,"""") &amp; "" where "" &amp; SUBSTITUTE(ADDRESS(1,MATCH(""uc_StepNumber"", Steps!$A$15:$FZ$15, 0),4),1,"""") &amp; ""= "" &amp; $A132 ))"),85.0)</f>
        <v>85</v>
      </c>
      <c r="U133" s="50"/>
      <c r="V133" s="67"/>
    </row>
    <row r="134">
      <c r="A134" s="68"/>
      <c r="B134" s="69"/>
      <c r="C134" s="56"/>
      <c r="D134" s="56"/>
      <c r="E134" s="56"/>
      <c r="F134" s="70" t="s">
        <v>94</v>
      </c>
      <c r="G134" s="71">
        <f>IFERROR(__xludf.DUMMYFUNCTION("IFERROR(QUERY(Steps!$A$16:$FZ995, ""Select "" &amp; SUBSTITUTE(ADDRESS(1,MATCH(""uc_Stream1GPM"", Steps!$A$15:$FZ$15, 0),4),1,"""") &amp; "" where "" &amp; SUBSTITUTE(ADDRESS(1,MATCH(""uc_StepNumber"", Steps!$A$15:$FZ$15, 0),4),1,"""") &amp; ""  = "" &amp; $A132 ))"),252.0)</f>
        <v>252</v>
      </c>
      <c r="H134" s="71">
        <f>IFERROR(__xludf.DUMMYFUNCTION("IFERROR(QUERY(Steps!$A$16:$FZ995, ""Select "" &amp; SUBSTITUTE(ADDRESS(1,MATCH(""uc_Stream2GPM"", Steps!$A$15:$FZ$15, 0),4),1,"""") &amp; "" where "" &amp; SUBSTITUTE(ADDRESS(1,MATCH(""uc_StepNumber"", Steps!$A$15:$FZ$15, 0),4),1,"""") &amp; ""  = "" &amp; $A132 ))"),267.0)</f>
        <v>267</v>
      </c>
      <c r="I134" s="71" t="str">
        <f>IFERROR(__xludf.DUMMYFUNCTION("IFERROR(QUERY(Steps!$A$16:$FZ995, ""Select "" &amp; SUBSTITUTE(ADDRESS(1,MATCH(""uc_Stream3GPM"", Steps!$A$15:$FZ$15, 0),4),1,"""") &amp; "" where "" &amp; SUBSTITUTE(ADDRESS(1,MATCH(""uc_StepNumber"", Steps!$A$15:$FZ$15, 0),4),1,"""") &amp; ""  = "" &amp; $A132 ))"),"")</f>
        <v/>
      </c>
      <c r="J134" s="71" t="str">
        <f>IFERROR(__xludf.DUMMYFUNCTION("IFERROR(QUERY(Steps!$A$16:$FZ995, ""Select "" &amp; SUBSTITUTE(ADDRESS(1,MATCH(""uc_Stream4GPM"", Steps!$A$15:$FZ$15, 0),4),1,"""") &amp; "" where "" &amp; SUBSTITUTE(ADDRESS(1,MATCH(""uc_StepNumber"", Steps!$A$15:$FZ$15, 0),4),1,"""") &amp; ""  = "" &amp; $A132 ))"),"")</f>
        <v/>
      </c>
      <c r="K134" s="71" t="str">
        <f>IFERROR(__xludf.DUMMYFUNCTION("IFERROR(QUERY(Steps!$A$16:$FZ995, ""Select "" &amp; SUBSTITUTE(ADDRESS(1,MATCH(""uc_Stream5GPM"", Steps!$A$15:$FZ$15, 0),4),1,"""") &amp; "" where "" &amp; SUBSTITUTE(ADDRESS(1,MATCH(""uc_StepNumber"", Steps!$A$15:$FZ$15, 0),4),1,"""") &amp; ""  = "" &amp; $A132 ))"),"")</f>
        <v/>
      </c>
      <c r="L134" s="71" t="str">
        <f>IFERROR(__xludf.DUMMYFUNCTION("IFERROR(QUERY(Steps!$A$16:$FZ995, ""Select "" &amp; SUBSTITUTE(ADDRESS(1,MATCH(""uc_Stream6GPM"", Steps!$A$15:$FZ$15, 0),4),1,"""") &amp; "" where "" &amp; SUBSTITUTE(ADDRESS(1,MATCH(""uc_StepNumber"", Steps!$A$15:$FZ$15, 0),4),1,"""") &amp; ""= "" &amp; $A132 ))"),"")</f>
        <v/>
      </c>
      <c r="M134" s="71" t="str">
        <f>IFERROR(__xludf.DUMMYFUNCTION("IFERROR(QUERY(Steps!$A$16:$FZ995, ""Select "" &amp; SUBSTITUTE(ADDRESS(1,MATCH(""uc_Stream7GPM"", Steps!$A$15:$FZ$15, 0),4),1,"""") &amp; "" where "" &amp; SUBSTITUTE(ADDRESS(1,MATCH(""uc_StepNumber"", Steps!$A$15:$FZ$15, 0),4),1,"""") &amp; "" = "" &amp; $A132 ))"),"")</f>
        <v/>
      </c>
      <c r="N134" s="71" t="str">
        <f>IFERROR(__xludf.DUMMYFUNCTION("IFERROR(QUERY(Steps!$A$16:$FZ995, ""Select "" &amp; SUBSTITUTE(ADDRESS(1,MATCH(""uc_Stream8GPM"", Steps!$A$15:$FZ$15, 0),4),1,"""") &amp; "" where "" &amp; SUBSTITUTE(ADDRESS(1,MATCH(""uc_StepNumber"", Steps!$A$15:$FZ$15, 0),4),1,"""") &amp; ""= "" &amp; $A132 ))"),"")</f>
        <v/>
      </c>
      <c r="O134" s="71" t="str">
        <f>IFERROR(__xludf.DUMMYFUNCTION("IFERROR(QUERY(Steps!$A$16:$FZ995, ""Select "" &amp; SUBSTITUTE(ADDRESS(1,MATCH(""uc_Stream9GPM"", Steps!$A$15:$FZ$15, 0),4),1,"""") &amp; "" where "" &amp; SUBSTITUTE(ADDRESS(1,MATCH(""uc_StepNumber"", Steps!$A$15:$FZ$15, 0),4),1,"""") &amp; ""= "" &amp; $A132 ))"),"")</f>
        <v/>
      </c>
      <c r="P134" s="71" t="str">
        <f>IFERROR(__xludf.DUMMYFUNCTION("IFERROR(QUERY(Steps!$A$16:$FZ995, ""Select "" &amp; SUBSTITUTE(ADDRESS(1,MATCH(""uc_Stream10GPM"", Steps!$A$15:$FZ$15, 0),4),1,"""") &amp; "" where "" &amp; SUBSTITUTE(ADDRESS(1,MATCH(""uc_StepNumber"", Steps!$A$15:$FZ$15, 0),4),1,"""") &amp; ""= "" &amp; $A132 ))"),"")</f>
        <v/>
      </c>
      <c r="Q134" s="56"/>
      <c r="R134" s="56"/>
      <c r="S134" s="72">
        <f>IFERROR(__xludf.DUMMYFUNCTION("IFERROR(QUERY(Steps!$A$16:$FZ995, ""Select "" &amp; SUBSTITUTE(ADDRESS(1,MATCH(""uc_VoltsLeg3"", Steps!$A$15:$FZ$15, 0),4),1,"""") &amp; "" where "" &amp; SUBSTITUTE(ADDRESS(1,MATCH(""uc_StepNumber"", Steps!$A$15:$FZ$15, 0),4),1,"""") &amp; ""= "" &amp; $A132 ))"),488.0)</f>
        <v>488</v>
      </c>
      <c r="T134" s="72">
        <f>IFERROR(__xludf.DUMMYFUNCTION("IFERROR(QUERY(Steps!$A$16:$FZ995, ""Select "" &amp; SUBSTITUTE(ADDRESS(1,MATCH(""uc_AmpsLeg3"", Steps!$A$15:$FZ$15, 0),4),1,"""") &amp; "" where "" &amp; SUBSTITUTE(ADDRESS(1,MATCH(""uc_StepNumber"", Steps!$A$15:$FZ$15, 0),4),1,"""") &amp; ""= "" &amp; $A132 ))"),87.0)</f>
        <v>87</v>
      </c>
      <c r="U134" s="56"/>
      <c r="V134" s="73"/>
    </row>
    <row r="135">
      <c r="A135" s="74">
        <v>3.0</v>
      </c>
      <c r="B135" s="61">
        <f>IFERROR(__xludf.DUMMYFUNCTION("iferror(QUERY(Steps!$A$16:$FZ995, ""Select "" &amp; SUBSTITUTE(ADDRESS(1,MATCH(""uc_RPM"", Steps!$A$15:$FZ$15, 0),4),1,"""") &amp; "" where "" &amp; SUBSTITUTE(ADDRESS(1,MATCH(""uc_StepNumber"", Steps!$A$15:$FZ$15, 0),4),1,"""") &amp; "" = "" &amp; $A135 ))"),3566.0)</f>
        <v>3566</v>
      </c>
      <c r="C135" s="41">
        <f>IFERROR(__xludf.DUMMYFUNCTION("iferror(QUERY(Steps!$A$16:$FZ995, ""Select "" &amp; SUBSTITUTE(ADDRESS(1,MATCH(""uc_Discharge"", Steps!$A$15:$FZ$15, 0),4),1,"""") &amp; "" where "" &amp; SUBSTITUTE(ADDRESS(1,MATCH(""uc_StepNumber"", Steps!$A$15:$FZ$15, 0),4),1,"""") &amp; ""  = "" &amp; $A135 ))"),155.0)</f>
        <v>155</v>
      </c>
      <c r="D135" s="41">
        <f>IFERROR(__xludf.DUMMYFUNCTION("iferror(QUERY(Steps!$A$16:$FZ995, ""Select "" &amp; SUBSTITUTE(ADDRESS(1,MATCH(""uc_Suction"", Steps!$A$15:$FZ$15, 0),4),1,"""") &amp; "" where "" &amp; SUBSTITUTE(ADDRESS(1,MATCH(""uc_StepNumber"", Steps!$A$15:$FZ$15, 0),4),1,"""") &amp; ""  = "" &amp; $A135 ))"),44.0)</f>
        <v>44</v>
      </c>
      <c r="E135" s="46">
        <f>IFERROR(__xludf.DUMMYFUNCTION("iferror(QUERY(Steps!$A$16:$FZ995, ""Select "" &amp; SUBSTITUTE(ADDRESS(1,MATCH(""uc_NET"", Steps!$A$15:$FZ$15, 0),4),1,"""") &amp; "" where "" &amp; SUBSTITUTE(ADDRESS(1,MATCH(""uc_StepNumber"", Steps!$A$15:$FZ$15, 0),4),1,"""") &amp; ""  = "" &amp; $A135 ))"),111.0)</f>
        <v>111</v>
      </c>
      <c r="F135" s="43" t="s">
        <v>92</v>
      </c>
      <c r="G135" s="62" t="str">
        <f>IFERROR(__xludf.DUMMYFUNCTION("iferror(QUERY(Steps!$A$16:$FZ995, ""Select "" &amp; SUBSTITUTE(ADDRESS(1,MATCH(""uc_Stream1PN"", Steps!$A$15:$FZ$15, 0),4),1,"""") &amp; "" where "" &amp; SUBSTITUTE(ADDRESS(1,MATCH(""uc_StepNumber"", Steps!$A$15:$FZ$15, 0),4),1,"""") &amp; ""  = "" &amp; $A135 ))"),"")</f>
        <v/>
      </c>
      <c r="H135" s="75" t="str">
        <f>IFERROR(__xludf.DUMMYFUNCTION("iferror(QUERY(Steps!$A$16:$FZ995, ""Select "" &amp; SUBSTITUTE(ADDRESS(1,MATCH(""uc_Stream2PN"", Steps!$A$15:$FZ$15, 0),4),1,"""") &amp; "" where "" &amp; SUBSTITUTE(ADDRESS(1,MATCH(""uc_StepNumber"", Steps!$A$15:$FZ$15, 0),4),1,"""") &amp; ""  = "" &amp; $A135 ))"),"")</f>
        <v/>
      </c>
      <c r="I135" s="45" t="str">
        <f>IFERROR(__xludf.DUMMYFUNCTION("iferror(QUERY(Steps!$A$16:$FZ995, ""Select `"" &amp; SUBSTITUTE(ADDRESS(1,MATCH(""uc_Stream3PN"", Steps!$A$15:$FZ$15, 0),4),1,"""") &amp; ""` where "" &amp; SUBSTITUTE(ADDRESS(1,MATCH(""uc_StepNumber"", Steps!$A$15:$FZ$15, 0),4),1,"""") &amp; ""  = "" &amp; $A135 ))"),"")</f>
        <v/>
      </c>
      <c r="J135" s="75" t="str">
        <f>IFERROR(__xludf.DUMMYFUNCTION("iferror(QUERY(Steps!$A$16:$FZ995, ""Select "" &amp; SUBSTITUTE(ADDRESS(1,MATCH(""uc_Stream4PN"", Steps!$A$15:$FZ$15, 0),4),1,"""") &amp; "" where "" &amp; SUBSTITUTE(ADDRESS(1,MATCH(""uc_StepNumber"", Steps!$A$15:$FZ$15, 0),4),1,"""") &amp; ""  = "" &amp; $A135 ))"),"")</f>
        <v/>
      </c>
      <c r="K135" s="75" t="str">
        <f>IFERROR(__xludf.DUMMYFUNCTION("IFERROR(QUERY(Steps!$A$16:$FZ995, ""Select "" &amp; SUBSTITUTE(ADDRESS(1,MATCH(""uc_Stream5PN"", Steps!$A$15:$FZ$15, 0),4),1,"""") &amp; "" where "" &amp; SUBSTITUTE(ADDRESS(1,MATCH(""uc_StepNumber"", Steps!$A$15:$FZ$15, 0),4),1,"""") &amp; ""  = "" &amp; $A135 ))"),"")</f>
        <v/>
      </c>
      <c r="L135" s="75" t="str">
        <f>IFERROR(__xludf.DUMMYFUNCTION("IFERROR(QUERY(Steps!$A$16:$FZ995, ""Select "" &amp; SUBSTITUTE(ADDRESS(1,MATCH(""uc_Stream6PN"", Steps!$A$15:$FZ$15, 0),4),1,"""") &amp; "" where "" &amp; SUBSTITUTE(ADDRESS(1,MATCH(""uc_StepNumber"", Steps!$A$15:$FZ$15, 0),4),1,"""") &amp; ""= "" &amp; $A135 ))"),"")</f>
        <v/>
      </c>
      <c r="M135" s="75" t="str">
        <f>IFERROR(__xludf.DUMMYFUNCTION("IFERROR(QUERY(Steps!$A$16:$FZ995, ""Select "" &amp; SUBSTITUTE(ADDRESS(1,MATCH(""uc_Stream7PN"", Steps!$A$15:$FZ$15, 0),4),1,"""") &amp; "" where "" &amp; SUBSTITUTE(ADDRESS(1,MATCH(""uc_StepNumber"", Steps!$A$15:$FZ$15, 0),4),1,"""") &amp; ""= "" &amp; $A135 ))"),"")</f>
        <v/>
      </c>
      <c r="N135" s="75" t="str">
        <f>IFERROR(__xludf.DUMMYFUNCTION("IFERROR(QUERY(Steps!$A$16:$FZ995, ""Select "" &amp; SUBSTITUTE(ADDRESS(1,MATCH(""uc_Stream8PN"", Steps!$A$15:$FZ$15, 0),4),1,"""") &amp; "" where "" &amp; SUBSTITUTE(ADDRESS(1,MATCH(""uc_StepNumber"", Steps!$A$15:$FZ$15, 0),4),1,"""") &amp; "" = "" &amp; $A135 ))"),"")</f>
        <v/>
      </c>
      <c r="O135" s="75" t="str">
        <f>IFERROR(__xludf.DUMMYFUNCTION("IFERROR(QUERY(Steps!$A$16:$FZ995, ""Select "" &amp; SUBSTITUTE(ADDRESS(1,MATCH(""uc_Stream9PN"", Steps!$A$15:$FZ$15, 0),4),1,"""") &amp; "" where "" &amp; SUBSTITUTE(ADDRESS(1,MATCH(""uc_StepNumber"", Steps!$A$15:$FZ$15, 0),4),1,"""") &amp; ""= "" &amp; $A135 ))"),"")</f>
        <v/>
      </c>
      <c r="P135" s="75" t="str">
        <f>IFERROR(__xludf.DUMMYFUNCTION("IFERROR(QUERY(Steps!$A$16:$FZ995, ""Select "" &amp; SUBSTITUTE(ADDRESS(1,MATCH(""uc_Stream10PN"", Steps!$A$15:$FZ$15, 0),4),1,"""") &amp; "" where "" &amp; SUBSTITUTE(ADDRESS(1,MATCH(""uc_StepNumber"", Steps!$A$15:$FZ$15, 0),4),1,"""") &amp; ""= "" &amp; $A135 ))"),"")</f>
        <v/>
      </c>
      <c r="Q135" s="46">
        <f>IFERROR(__xludf.DUMMYFUNCTION("IFERROR(QUERY(Steps!$A$16:$FZ995, ""Select "" &amp; SUBSTITUTE(ADDRESS(1,MATCH(""uc_FlowGPM"", Steps!$A$15:$FZ$15, 0),4),1,"""") &amp; "" where "" &amp; SUBSTITUTE(ADDRESS(1,MATCH(""uc_StepNumber"", Steps!$A$15:$FZ$15, 0),4),1,"""") &amp; ""= "" &amp; $A135 ))"),755.5)</f>
        <v>755.5</v>
      </c>
      <c r="R135" s="46">
        <f>IFERROR(__xludf.DUMMYFUNCTION("IFERROR(QUERY(Steps!$A$16:$FZ995, ""Select "" &amp; SUBSTITUTE(ADDRESS(1,MATCH(""uc_PercentRatedCapacity"", Steps!$A$15:$FZ$15, 0),4),1,"""") &amp; "" where "" &amp; SUBSTITUTE(ADDRESS(1,MATCH(""uc_StepNumber"", Steps!$A$15:$FZ$15, 0),4),1,"""") &amp; ""= "" &amp; $A135 ))"),75.6)</f>
        <v>75.6</v>
      </c>
      <c r="S135" s="63">
        <f>IFERROR(__xludf.DUMMYFUNCTION("IFERROR(QUERY(Steps!$A$16:$FZ995, ""Select "" &amp; SUBSTITUTE(ADDRESS(1,MATCH(""uc_VoltsLeg1"", Steps!$A$15:$FZ$15, 0),4),1,"""") &amp; "" where "" &amp; SUBSTITUTE(ADDRESS(1,MATCH(""uc_StepNumber"", Steps!$A$15:$FZ$15, 0),4),1,"""") &amp; ""= "" &amp; $A135 ))"),486.0)</f>
        <v>486</v>
      </c>
      <c r="T135" s="63">
        <f>IFERROR(__xludf.DUMMYFUNCTION("IFERROR(QUERY(Steps!$A$16:$FZ995, ""Select "" &amp; SUBSTITUTE(ADDRESS(1,MATCH(""uc_AmpsLeg1"", Steps!$A$15:$FZ$15, 0),4),1,"""") &amp; "" where "" &amp; SUBSTITUTE(ADDRESS(1,MATCH(""uc_StepNumber"", Steps!$A$15:$FZ$15, 0),4),1,"""") &amp; ""= "" &amp; $A135 ))"),88.0)</f>
        <v>88</v>
      </c>
      <c r="U135" s="46">
        <f>IFERROR(__xludf.DUMMYFUNCTION("IFERROR(QUERY(Steps!$A$16:$FZ995, ""Select "" &amp; SUBSTITUTE(ADDRESS(1,MATCH(""uc_CorrectedFlowPercent"", Steps!$A$15:$FZ$15, 0),4),1,"""") &amp; "" where "" &amp; SUBSTITUTE(ADDRESS(1,MATCH(""uc_StepNumber"", Steps!$A$15:$FZ$15, 0),4),1,"""") &amp; ""= "" &amp; $A135 ))"),74.2)</f>
        <v>74.2</v>
      </c>
      <c r="V135" s="64">
        <f>IFERROR(__xludf.DUMMYFUNCTION("IFERROR(QUERY(Steps!$A$16:$FZ995, ""Select "" &amp; SUBSTITUTE(ADDRESS(1,MATCH(""uc_CorrectedPressure"", Steps!$A$15:$FZ$15, 0),4),1,"""") &amp; "" where "" &amp; SUBSTITUTE(ADDRESS(1,MATCH(""uc_StepNumber"", Steps!$A$15:$FZ$15, 0),4),1,"""") &amp; ""= "" &amp; $A135 ))"),106.9)</f>
        <v>106.9</v>
      </c>
    </row>
    <row r="136">
      <c r="A136" s="66"/>
      <c r="B136" s="66"/>
      <c r="C136" s="50"/>
      <c r="D136" s="50"/>
      <c r="E136" s="50"/>
      <c r="F136" s="51" t="s">
        <v>93</v>
      </c>
      <c r="G136" s="52">
        <f>IFERROR(__xludf.DUMMYFUNCTION("IFERROR(QUERY(Steps!$A$16:$FZ995, ""Select "" &amp; SUBSTITUTE(ADDRESS(1,MATCH(""uc_Stream1PSI"", Steps!$A$15:$FZ$15, 0),4),1,"""") &amp; "" where "" &amp; SUBSTITUTE(ADDRESS(1,MATCH(""uc_StepNumber"", Steps!$A$15:$FZ$15, 0),4),1,"""") &amp; ""  = "" &amp; $A135 ))"),18.0)</f>
        <v>18</v>
      </c>
      <c r="H136" s="52">
        <f>IFERROR(__xludf.DUMMYFUNCTION("IFERROR(QUERY(Steps!$A$16:$FZ995, ""Select "" &amp; SUBSTITUTE(ADDRESS(1,MATCH(""uc_Stream2PSI"", Steps!$A$15:$FZ$15, 0),4),1,"""") &amp; "" where "" &amp; SUBSTITUTE(ADDRESS(1,MATCH(""uc_StepNumber"", Steps!$A$15:$FZ$15, 0),4),1,"""") &amp; ""  = "" &amp; $A135 ))"),18.0)</f>
        <v>18</v>
      </c>
      <c r="I136" s="52" t="str">
        <f>IFERROR(__xludf.DUMMYFUNCTION("IFERROR(QUERY(Steps!$A$16:$FZ995, ""Select "" &amp; SUBSTITUTE(ADDRESS(1,MATCH(""uc_Stream3PSI"", Steps!$A$15:$FZ$15, 0),4),1,"""") &amp; "" where "" &amp; SUBSTITUTE(ADDRESS(1,MATCH(""uc_StepNumber"", Steps!$A$15:$FZ$15, 0),4),1,"""") &amp; ""  = "" &amp; $A135 ))"),"")</f>
        <v/>
      </c>
      <c r="J136" s="53" t="str">
        <f>IFERROR(__xludf.DUMMYFUNCTION("IFERROR(QUERY(Steps!$A$16:$FZ995, ""Select "" &amp; SUBSTITUTE(ADDRESS(1,MATCH(""uc_Stream4PSI"", Steps!$A$15:$FZ$15, 0),4),1,"""") &amp; "" where "" &amp; SUBSTITUTE(ADDRESS(1,MATCH(""uc_StepNumber"", Steps!$A$15:$FZ$15, 0),4),1,"""") &amp; ""  = "" &amp; $A135 ))"),"")</f>
        <v/>
      </c>
      <c r="K136" s="53" t="str">
        <f>IFERROR(__xludf.DUMMYFUNCTION("IFERROR(QUERY(Steps!$A$16:$FZ995, ""Select "" &amp; SUBSTITUTE(ADDRESS(1,MATCH(""uc_Stream5PSI"", Steps!$A$15:$FZ$15, 0),4),1,"""") &amp; "" where "" &amp; SUBSTITUTE(ADDRESS(1,MATCH(""uc_StepNumber"", Steps!$A$15:$FZ$15, 0),4),1,"""") &amp; ""  = "" &amp; $A135 ))"),"")</f>
        <v/>
      </c>
      <c r="L136" s="53" t="str">
        <f>IFERROR(__xludf.DUMMYFUNCTION("IFERROR(QUERY(Steps!$A$16:$FZ995, ""Select "" &amp; SUBSTITUTE(ADDRESS(1,MATCH(""uc_Stream6PSI"", Steps!$A$15:$FZ$15, 0),4),1,"""") &amp; "" where "" &amp; SUBSTITUTE(ADDRESS(1,MATCH(""uc_StepNumber"", Steps!$A$15:$FZ$15, 0),4),1,"""") &amp; ""= "" &amp; $A135 ))"),"")</f>
        <v/>
      </c>
      <c r="M136" s="53" t="str">
        <f>IFERROR(__xludf.DUMMYFUNCTION("IFERROR(QUERY(Steps!$A$16:$FZ995, ""Select "" &amp; SUBSTITUTE(ADDRESS(1,MATCH(""uc_Stream7PSI"", Steps!$A$15:$FZ$15, 0),4),1,"""") &amp; "" where "" &amp; SUBSTITUTE(ADDRESS(1,MATCH(""uc_StepNumber"", Steps!$A$15:$FZ$15, 0),4),1,"""") &amp; "" = "" &amp; $A135 ))"),"")</f>
        <v/>
      </c>
      <c r="N136" s="53" t="str">
        <f>IFERROR(__xludf.DUMMYFUNCTION("IFERROR(QUERY(Steps!$A$16:$FZ995, ""Select "" &amp; SUBSTITUTE(ADDRESS(1,MATCH(""uc_Stream8PSI"", Steps!$A$15:$FZ$15, 0),4),1,"""") &amp; "" where "" &amp; SUBSTITUTE(ADDRESS(1,MATCH(""uc_StepNumber"", Steps!$A$15:$FZ$15, 0),4),1,"""") &amp; ""= "" &amp; $A135 ))"),"")</f>
        <v/>
      </c>
      <c r="O136" s="53" t="str">
        <f>IFERROR(__xludf.DUMMYFUNCTION("IFERROR(QUERY(Steps!$A$16:$FZ995, ""Select "" &amp; SUBSTITUTE(ADDRESS(1,MATCH(""uc_Stream9PSI"", Steps!$A$15:$FZ$15, 0),4),1,"""") &amp; "" where "" &amp; SUBSTITUTE(ADDRESS(1,MATCH(""uc_StepNumber"", Steps!$A$15:$FZ$15, 0),4),1,"""") &amp; ""= "" &amp; $A135 ))"),"")</f>
        <v/>
      </c>
      <c r="P136" s="53" t="str">
        <f>IFERROR(__xludf.DUMMYFUNCTION("IFERROR(QUERY(Steps!$A$16:$FZ995, ""Select "" &amp; SUBSTITUTE(ADDRESS(1,MATCH(""uc_Stream10PSI"", Steps!$A$15:$FZ$15, 0),4),1,"""") &amp; "" where "" &amp; SUBSTITUTE(ADDRESS(1,MATCH(""uc_StepNumber"", Steps!$A$15:$FZ$15, 0),4),1,"""") &amp; ""= "" &amp; $A135 ))"),"")</f>
        <v/>
      </c>
      <c r="Q136" s="50"/>
      <c r="R136" s="50"/>
      <c r="S136" s="47">
        <f>IFERROR(__xludf.DUMMYFUNCTION("IFERROR(QUERY(Steps!$A$16:$FZ995, ""Select "" &amp; SUBSTITUTE(ADDRESS(1,MATCH(""uc_VoltsLeg2"", Steps!$A$15:$FZ$15, 0),4),1,"""") &amp; "" where "" &amp; SUBSTITUTE(ADDRESS(1,MATCH(""uc_StepNumber"", Steps!$A$15:$FZ$15, 0),4),1,"""") &amp; ""= "" &amp; $A135 ))"),489.0)</f>
        <v>489</v>
      </c>
      <c r="T136" s="47">
        <f>IFERROR(__xludf.DUMMYFUNCTION("IFERROR(QUERY(Steps!$A$16:$FZ995, ""Select "" &amp; SUBSTITUTE(ADDRESS(1,MATCH(""uc_AmpsLeg2"", Steps!$A$15:$FZ$15, 0),4),1,"""") &amp; "" where "" &amp; SUBSTITUTE(ADDRESS(1,MATCH(""uc_StepNumber"", Steps!$A$15:$FZ$15, 0),4),1,"""") &amp; ""= "" &amp; $A135 ))"),92.0)</f>
        <v>92</v>
      </c>
      <c r="U136" s="50"/>
      <c r="V136" s="67"/>
    </row>
    <row r="137">
      <c r="A137" s="69"/>
      <c r="B137" s="69"/>
      <c r="C137" s="56"/>
      <c r="D137" s="56"/>
      <c r="E137" s="56"/>
      <c r="F137" s="70" t="s">
        <v>94</v>
      </c>
      <c r="G137" s="71">
        <f>IFERROR(__xludf.DUMMYFUNCTION("IFERROR(QUERY(Steps!$A$16:$FZ995, ""Select "" &amp; SUBSTITUTE(ADDRESS(1,MATCH(""uc_Stream1GPM"", Steps!$A$15:$FZ$15, 0),4),1,"""") &amp; "" where "" &amp; SUBSTITUTE(ADDRESS(1,MATCH(""uc_StepNumber"", Steps!$A$15:$FZ$15, 0),4),1,"""") &amp; ""  = "" &amp; $A135 ))"),377.8)</f>
        <v>377.8</v>
      </c>
      <c r="H137" s="71">
        <f>IFERROR(__xludf.DUMMYFUNCTION("IFERROR(QUERY(Steps!$A$16:$FZ995, ""Select "" &amp; SUBSTITUTE(ADDRESS(1,MATCH(""uc_Stream2GPM"", Steps!$A$15:$FZ$15, 0),4),1,"""") &amp; "" where "" &amp; SUBSTITUTE(ADDRESS(1,MATCH(""uc_StepNumber"", Steps!$A$15:$FZ$15, 0),4),1,"""") &amp; ""  = "" &amp; $A135 ))"),378.0)</f>
        <v>378</v>
      </c>
      <c r="I137" s="71" t="str">
        <f>IFERROR(__xludf.DUMMYFUNCTION("IFERROR(QUERY(Steps!$A$16:$FZ995, ""Select "" &amp; SUBSTITUTE(ADDRESS(1,MATCH(""uc_Stream3GPM"", Steps!$A$15:$FZ$15, 0),4),1,"""") &amp; "" where "" &amp; SUBSTITUTE(ADDRESS(1,MATCH(""uc_StepNumber"", Steps!$A$15:$FZ$15, 0),4),1,"""") &amp; ""  = "" &amp; $A135 ))"),"")</f>
        <v/>
      </c>
      <c r="J137" s="71" t="str">
        <f>IFERROR(__xludf.DUMMYFUNCTION("IFERROR(QUERY(Steps!$A$16:$FZ995, ""Select "" &amp; SUBSTITUTE(ADDRESS(1,MATCH(""uc_Stream4GPM"", Steps!$A$15:$FZ$15, 0),4),1,"""") &amp; "" where "" &amp; SUBSTITUTE(ADDRESS(1,MATCH(""uc_StepNumber"", Steps!$A$15:$FZ$15, 0),4),1,"""") &amp; ""  = "" &amp; $A135 ))"),"")</f>
        <v/>
      </c>
      <c r="K137" s="71" t="str">
        <f>IFERROR(__xludf.DUMMYFUNCTION("IFERROR(QUERY(Steps!$A$16:$FZ995, ""Select "" &amp; SUBSTITUTE(ADDRESS(1,MATCH(""uc_Stream5GPM"", Steps!$A$15:$FZ$15, 0),4),1,"""") &amp; "" where "" &amp; SUBSTITUTE(ADDRESS(1,MATCH(""uc_StepNumber"", Steps!$A$15:$FZ$15, 0),4),1,"""") &amp; ""  = "" &amp; $A135 ))"),"")</f>
        <v/>
      </c>
      <c r="L137" s="71" t="str">
        <f>IFERROR(__xludf.DUMMYFUNCTION("IFERROR(QUERY(Steps!$A$16:$FZ995, ""Select "" &amp; SUBSTITUTE(ADDRESS(1,MATCH(""uc_Stream6GPM"", Steps!$A$15:$FZ$15, 0),4),1,"""") &amp; "" where "" &amp; SUBSTITUTE(ADDRESS(1,MATCH(""uc_StepNumber"", Steps!$A$15:$FZ$15, 0),4),1,"""") &amp; ""= "" &amp; $A135 ))"),"")</f>
        <v/>
      </c>
      <c r="M137" s="71" t="str">
        <f>IFERROR(__xludf.DUMMYFUNCTION("IFERROR(QUERY(Steps!$A$16:$FZ995, ""Select "" &amp; SUBSTITUTE(ADDRESS(1,MATCH(""uc_Stream7GPM"", Steps!$A$15:$FZ$15, 0),4),1,"""") &amp; "" where "" &amp; SUBSTITUTE(ADDRESS(1,MATCH(""uc_StepNumber"", Steps!$A$15:$FZ$15, 0),4),1,"""") &amp; "" = "" &amp; $A135 ))"),"")</f>
        <v/>
      </c>
      <c r="N137" s="71" t="str">
        <f>IFERROR(__xludf.DUMMYFUNCTION("IFERROR(QUERY(Steps!$A$16:$FZ995, ""Select "" &amp; SUBSTITUTE(ADDRESS(1,MATCH(""uc_Stream8GPM"", Steps!$A$15:$FZ$15, 0),4),1,"""") &amp; "" where "" &amp; SUBSTITUTE(ADDRESS(1,MATCH(""uc_StepNumber"", Steps!$A$15:$FZ$15, 0),4),1,"""") &amp; ""= "" &amp; $A135 ))"),"")</f>
        <v/>
      </c>
      <c r="O137" s="71" t="str">
        <f>IFERROR(__xludf.DUMMYFUNCTION("IFERROR(QUERY(Steps!$A$16:$FZ995, ""Select "" &amp; SUBSTITUTE(ADDRESS(1,MATCH(""uc_Stream9GPM"", Steps!$A$15:$FZ$15, 0),4),1,"""") &amp; "" where "" &amp; SUBSTITUTE(ADDRESS(1,MATCH(""uc_StepNumber"", Steps!$A$15:$FZ$15, 0),4),1,"""") &amp; ""= "" &amp; $A135 ))"),"")</f>
        <v/>
      </c>
      <c r="P137" s="71" t="str">
        <f>IFERROR(__xludf.DUMMYFUNCTION("IFERROR(QUERY(Steps!$A$16:$FZ995, ""Select "" &amp; SUBSTITUTE(ADDRESS(1,MATCH(""uc_Stream10GPM"", Steps!$A$15:$FZ$15, 0),4),1,"""") &amp; "" where "" &amp; SUBSTITUTE(ADDRESS(1,MATCH(""uc_StepNumber"", Steps!$A$15:$FZ$15, 0),4),1,"""") &amp; ""= "" &amp; $A135 ))"),"")</f>
        <v/>
      </c>
      <c r="Q137" s="56"/>
      <c r="R137" s="56"/>
      <c r="S137" s="72">
        <f>IFERROR(__xludf.DUMMYFUNCTION("IFERROR(QUERY(Steps!$A$16:$FZ995, ""Select "" &amp; SUBSTITUTE(ADDRESS(1,MATCH(""uc_VoltsLeg3"", Steps!$A$15:$FZ$15, 0),4),1,"""") &amp; "" where "" &amp; SUBSTITUTE(ADDRESS(1,MATCH(""uc_StepNumber"", Steps!$A$15:$FZ$15, 0),4),1,"""") &amp; ""= "" &amp; $A135 ))"),485.0)</f>
        <v>485</v>
      </c>
      <c r="T137" s="72">
        <f>IFERROR(__xludf.DUMMYFUNCTION("IFERROR(QUERY(Steps!$A$16:$FZ995, ""Select "" &amp; SUBSTITUTE(ADDRESS(1,MATCH(""uc_AmpsLeg3"", Steps!$A$15:$FZ$15, 0),4),1,"""") &amp; "" where "" &amp; SUBSTITUTE(ADDRESS(1,MATCH(""uc_StepNumber"", Steps!$A$15:$FZ$15, 0),4),1,"""") &amp; ""= "" &amp; $A135 ))"),95.0)</f>
        <v>95</v>
      </c>
      <c r="U137" s="56"/>
      <c r="V137" s="73"/>
    </row>
    <row r="138">
      <c r="A138" s="74">
        <v>4.0</v>
      </c>
      <c r="B138" s="61">
        <f>IFERROR(__xludf.DUMMYFUNCTION("iferror(QUERY(Steps!$A$16:$FZ995, ""Select "" &amp; SUBSTITUTE(ADDRESS(1,MATCH(""uc_RPM"", Steps!$A$15:$FZ$15, 0),4),1,"""") &amp; "" where "" &amp; SUBSTITUTE(ADDRESS(1,MATCH(""uc_StepNumber"", Steps!$A$15:$FZ$15, 0),4),1,"""") &amp; "" = "" &amp; $A138 ))"),3561.0)</f>
        <v>3561</v>
      </c>
      <c r="C138" s="41">
        <f>IFERROR(__xludf.DUMMYFUNCTION("iferror(QUERY(Steps!$A$16:$FZ995, ""Select "" &amp; SUBSTITUTE(ADDRESS(1,MATCH(""uc_Discharge"", Steps!$A$15:$FZ$15, 0),4),1,"""") &amp; "" where "" &amp; SUBSTITUTE(ADDRESS(1,MATCH(""uc_StepNumber"", Steps!$A$15:$FZ$15, 0),4),1,"""") &amp; ""  = "" &amp; $A138 ))"),144.0)</f>
        <v>144</v>
      </c>
      <c r="D138" s="41">
        <f>IFERROR(__xludf.DUMMYFUNCTION("iferror(QUERY(Steps!$A$16:$FZ995, ""Select "" &amp; SUBSTITUTE(ADDRESS(1,MATCH(""uc_Suction"", Steps!$A$15:$FZ$15, 0),4),1,"""") &amp; "" where "" &amp; SUBSTITUTE(ADDRESS(1,MATCH(""uc_StepNumber"", Steps!$A$15:$FZ$15, 0),4),1,"""") &amp; ""  = "" &amp; $A138 ))"),42.0)</f>
        <v>42</v>
      </c>
      <c r="E138" s="46">
        <f>IFERROR(__xludf.DUMMYFUNCTION("iferror(QUERY(Steps!$A$16:$FZ995, ""Select "" &amp; SUBSTITUTE(ADDRESS(1,MATCH(""uc_NET"", Steps!$A$15:$FZ$15, 0),4),1,"""") &amp; "" where "" &amp; SUBSTITUTE(ADDRESS(1,MATCH(""uc_StepNumber"", Steps!$A$15:$FZ$15, 0),4),1,"""") &amp; ""  = "" &amp; $A138 ))"),102.0)</f>
        <v>102</v>
      </c>
      <c r="F138" s="43" t="s">
        <v>92</v>
      </c>
      <c r="G138" s="62" t="str">
        <f>IFERROR(__xludf.DUMMYFUNCTION("iferror(QUERY(Steps!$A$16:$FZ995, ""Select "" &amp; SUBSTITUTE(ADDRESS(1,MATCH(""uc_Stream1PN"", Steps!$A$15:$FZ$15, 0),4),1,"""") &amp; "" where "" &amp; SUBSTITUTE(ADDRESS(1,MATCH(""uc_StepNumber"", Steps!$A$15:$FZ$15, 0),4),1,"""") &amp; ""  = "" &amp; $A138 ))"),"")</f>
        <v/>
      </c>
      <c r="H138" s="75" t="str">
        <f>IFERROR(__xludf.DUMMYFUNCTION("iferror(QUERY(Steps!$A$16:$FZ995, ""Select "" &amp; SUBSTITUTE(ADDRESS(1,MATCH(""uc_Stream2PN"", Steps!$A$15:$FZ$15, 0),4),1,"""") &amp; "" where "" &amp; SUBSTITUTE(ADDRESS(1,MATCH(""uc_StepNumber"", Steps!$A$15:$FZ$15, 0),4),1,"""") &amp; ""  = "" &amp; $A138 ))"),"")</f>
        <v/>
      </c>
      <c r="I138" s="45" t="str">
        <f>IFERROR(__xludf.DUMMYFUNCTION("iferror(QUERY(Steps!$A$16:$FZ995, ""Select `"" &amp; SUBSTITUTE(ADDRESS(1,MATCH(""uc_Stream3PN"", Steps!$A$15:$FZ$15, 0),4),1,"""") &amp; ""` where "" &amp; SUBSTITUTE(ADDRESS(1,MATCH(""uc_StepNumber"", Steps!$A$15:$FZ$15, 0),4),1,"""") &amp; ""  = "" &amp; $A138 ))"),"")</f>
        <v/>
      </c>
      <c r="J138" s="75" t="str">
        <f>IFERROR(__xludf.DUMMYFUNCTION("iferror(QUERY(Steps!$A$16:$FZ995, ""Select "" &amp; SUBSTITUTE(ADDRESS(1,MATCH(""uc_Stream4PN"", Steps!$A$15:$FZ$15, 0),4),1,"""") &amp; "" where "" &amp; SUBSTITUTE(ADDRESS(1,MATCH(""uc_StepNumber"", Steps!$A$15:$FZ$15, 0),4),1,"""") &amp; ""  = "" &amp; $A138 ))"),"")</f>
        <v/>
      </c>
      <c r="K138" s="75" t="str">
        <f>IFERROR(__xludf.DUMMYFUNCTION("IFERROR(QUERY(Steps!$A$16:$FZ995, ""Select "" &amp; SUBSTITUTE(ADDRESS(1,MATCH(""uc_Stream5PN"", Steps!$A$15:$FZ$15, 0),4),1,"""") &amp; "" where "" &amp; SUBSTITUTE(ADDRESS(1,MATCH(""uc_StepNumber"", Steps!$A$15:$FZ$15, 0),4),1,"""") &amp; ""  = "" &amp; $A138 ))"),"")</f>
        <v/>
      </c>
      <c r="L138" s="75" t="str">
        <f>IFERROR(__xludf.DUMMYFUNCTION("IFERROR(QUERY(Steps!$A$16:$FZ995, ""Select "" &amp; SUBSTITUTE(ADDRESS(1,MATCH(""uc_Stream6PN"", Steps!$A$15:$FZ$15, 0),4),1,"""") &amp; "" where "" &amp; SUBSTITUTE(ADDRESS(1,MATCH(""uc_StepNumber"", Steps!$A$15:$FZ$15, 0),4),1,"""") &amp; ""= "" &amp; $A138 ))"),"")</f>
        <v/>
      </c>
      <c r="M138" s="75" t="str">
        <f>IFERROR(__xludf.DUMMYFUNCTION("IFERROR(QUERY(Steps!$A$16:$FZ995, ""Select "" &amp; SUBSTITUTE(ADDRESS(1,MATCH(""uc_Stream7PN"", Steps!$A$15:$FZ$15, 0),4),1,"""") &amp; "" where "" &amp; SUBSTITUTE(ADDRESS(1,MATCH(""uc_StepNumber"", Steps!$A$15:$FZ$15, 0),4),1,"""") &amp; ""= "" &amp; $A138 ))"),"")</f>
        <v/>
      </c>
      <c r="N138" s="75" t="str">
        <f>IFERROR(__xludf.DUMMYFUNCTION("IFERROR(QUERY(Steps!$A$16:$FZ995, ""Select "" &amp; SUBSTITUTE(ADDRESS(1,MATCH(""uc_Stream8PN"", Steps!$A$15:$FZ$15, 0),4),1,"""") &amp; "" where "" &amp; SUBSTITUTE(ADDRESS(1,MATCH(""uc_StepNumber"", Steps!$A$15:$FZ$15, 0),4),1,"""") &amp; "" = "" &amp; $A138 ))"),"")</f>
        <v/>
      </c>
      <c r="O138" s="75" t="str">
        <f>IFERROR(__xludf.DUMMYFUNCTION("IFERROR(QUERY(Steps!$A$16:$FZ995, ""Select "" &amp; SUBSTITUTE(ADDRESS(1,MATCH(""uc_Stream9PN"", Steps!$A$15:$FZ$15, 0),4),1,"""") &amp; "" where "" &amp; SUBSTITUTE(ADDRESS(1,MATCH(""uc_StepNumber"", Steps!$A$15:$FZ$15, 0),4),1,"""") &amp; ""= "" &amp; $A138 ))"),"")</f>
        <v/>
      </c>
      <c r="P138" s="75" t="str">
        <f>IFERROR(__xludf.DUMMYFUNCTION("IFERROR(QUERY(Steps!$A$16:$FZ995, ""Select "" &amp; SUBSTITUTE(ADDRESS(1,MATCH(""uc_Stream10PN"", Steps!$A$15:$FZ$15, 0),4),1,"""") &amp; "" where "" &amp; SUBSTITUTE(ADDRESS(1,MATCH(""uc_StepNumber"", Steps!$A$15:$FZ$15, 0),4),1,"""") &amp; ""= "" &amp; $A138 ))"),"")</f>
        <v/>
      </c>
      <c r="Q138" s="46">
        <f>IFERROR(__xludf.DUMMYFUNCTION("IFERROR(QUERY(Steps!$A$16:$FZ995, ""Select "" &amp; SUBSTITUTE(ADDRESS(1,MATCH(""uc_FlowGPM"", Steps!$A$15:$FZ$15, 0),4),1,"""") &amp; "" where "" &amp; SUBSTITUTE(ADDRESS(1,MATCH(""uc_StepNumber"", Steps!$A$15:$FZ$15, 0),4),1,"""") &amp; ""= "" &amp; $A138 ))"),1030.7)</f>
        <v>1030.7</v>
      </c>
      <c r="R138" s="46">
        <f>IFERROR(__xludf.DUMMYFUNCTION("IFERROR(QUERY(Steps!$A$16:$FZ995, ""Select "" &amp; SUBSTITUTE(ADDRESS(1,MATCH(""uc_PercentRatedCapacity"", Steps!$A$15:$FZ$15, 0),4),1,"""") &amp; "" where "" &amp; SUBSTITUTE(ADDRESS(1,MATCH(""uc_StepNumber"", Steps!$A$15:$FZ$15, 0),4),1,"""") &amp; ""= "" &amp; $A138 ))"),103.1)</f>
        <v>103.1</v>
      </c>
      <c r="S138" s="63">
        <f>IFERROR(__xludf.DUMMYFUNCTION("IFERROR(QUERY(Steps!$A$16:$FZ995, ""Select "" &amp; SUBSTITUTE(ADDRESS(1,MATCH(""uc_VoltsLeg1"", Steps!$A$15:$FZ$15, 0),4),1,"""") &amp; "" where "" &amp; SUBSTITUTE(ADDRESS(1,MATCH(""uc_StepNumber"", Steps!$A$15:$FZ$15, 0),4),1,"""") &amp; ""= "" &amp; $A138 ))"),484.0)</f>
        <v>484</v>
      </c>
      <c r="T138" s="63">
        <f>IFERROR(__xludf.DUMMYFUNCTION("IFERROR(QUERY(Steps!$A$16:$FZ995, ""Select "" &amp; SUBSTITUTE(ADDRESS(1,MATCH(""uc_AmpsLeg1"", Steps!$A$15:$FZ$15, 0),4),1,"""") &amp; "" where "" &amp; SUBSTITUTE(ADDRESS(1,MATCH(""uc_StepNumber"", Steps!$A$15:$FZ$15, 0),4),1,"""") &amp; ""= "" &amp; $A138 ))"),95.0)</f>
        <v>95</v>
      </c>
      <c r="U138" s="46">
        <f>IFERROR(__xludf.DUMMYFUNCTION("IFERROR(QUERY(Steps!$A$16:$FZ995, ""Select "" &amp; SUBSTITUTE(ADDRESS(1,MATCH(""uc_CorrectedFlowPercent"", Steps!$A$15:$FZ$15, 0),4),1,"""") &amp; "" where "" &amp; SUBSTITUTE(ADDRESS(1,MATCH(""uc_StepNumber"", Steps!$A$15:$FZ$15, 0),4),1,"""") &amp; ""= "" &amp; $A138 ))"),101.3)</f>
        <v>101.3</v>
      </c>
      <c r="V138" s="64">
        <f>IFERROR(__xludf.DUMMYFUNCTION("IFERROR(QUERY(Steps!$A$16:$FZ995, ""Select "" &amp; SUBSTITUTE(ADDRESS(1,MATCH(""uc_CorrectedPressure"", Steps!$A$15:$FZ$15, 0),4),1,"""") &amp; "" where "" &amp; SUBSTITUTE(ADDRESS(1,MATCH(""uc_StepNumber"", Steps!$A$15:$FZ$15, 0),4),1,"""") &amp; ""= "" &amp; $A138 ))"),98.5)</f>
        <v>98.5</v>
      </c>
    </row>
    <row r="139">
      <c r="A139" s="66"/>
      <c r="B139" s="66"/>
      <c r="C139" s="50"/>
      <c r="D139" s="50"/>
      <c r="E139" s="50"/>
      <c r="F139" s="51" t="s">
        <v>93</v>
      </c>
      <c r="G139" s="52">
        <f>IFERROR(__xludf.DUMMYFUNCTION("IFERROR(QUERY(Steps!$A$16:$FZ995, ""Select "" &amp; SUBSTITUTE(ADDRESS(1,MATCH(""uc_Stream1PSI"", Steps!$A$15:$FZ$15, 0),4),1,"""") &amp; "" where "" &amp; SUBSTITUTE(ADDRESS(1,MATCH(""uc_StepNumber"", Steps!$A$15:$FZ$15, 0),4),1,"""") &amp; ""  = "" &amp; $A138 ))"),33.0)</f>
        <v>33</v>
      </c>
      <c r="H139" s="52">
        <f>IFERROR(__xludf.DUMMYFUNCTION("IFERROR(QUERY(Steps!$A$16:$FZ995, ""Select "" &amp; SUBSTITUTE(ADDRESS(1,MATCH(""uc_Stream2PSI"", Steps!$A$15:$FZ$15, 0),4),1,"""") &amp; "" where "" &amp; SUBSTITUTE(ADDRESS(1,MATCH(""uc_StepNumber"", Steps!$A$15:$FZ$15, 0),4),1,"""") &amp; ""  = "" &amp; $A138 ))"),34.0)</f>
        <v>34</v>
      </c>
      <c r="I139" s="52" t="str">
        <f>IFERROR(__xludf.DUMMYFUNCTION("IFERROR(QUERY(Steps!$A$16:$FZ995, ""Select "" &amp; SUBSTITUTE(ADDRESS(1,MATCH(""uc_Stream3PSI"", Steps!$A$15:$FZ$15, 0),4),1,"""") &amp; "" where "" &amp; SUBSTITUTE(ADDRESS(1,MATCH(""uc_StepNumber"", Steps!$A$15:$FZ$15, 0),4),1,"""") &amp; ""  = "" &amp; $A138 ))"),"")</f>
        <v/>
      </c>
      <c r="J139" s="53" t="str">
        <f>IFERROR(__xludf.DUMMYFUNCTION("IFERROR(QUERY(Steps!$A$16:$FZ995, ""Select "" &amp; SUBSTITUTE(ADDRESS(1,MATCH(""uc_Stream4PSI"", Steps!$A$15:$FZ$15, 0),4),1,"""") &amp; "" where "" &amp; SUBSTITUTE(ADDRESS(1,MATCH(""uc_StepNumber"", Steps!$A$15:$FZ$15, 0),4),1,"""") &amp; ""  = "" &amp; $A138 ))"),"")</f>
        <v/>
      </c>
      <c r="K139" s="53" t="str">
        <f>IFERROR(__xludf.DUMMYFUNCTION("IFERROR(QUERY(Steps!$A$16:$FZ995, ""Select "" &amp; SUBSTITUTE(ADDRESS(1,MATCH(""uc_Stream5PSI"", Steps!$A$15:$FZ$15, 0),4),1,"""") &amp; "" where "" &amp; SUBSTITUTE(ADDRESS(1,MATCH(""uc_StepNumber"", Steps!$A$15:$FZ$15, 0),4),1,"""") &amp; ""  = "" &amp; $A138 ))"),"")</f>
        <v/>
      </c>
      <c r="L139" s="53" t="str">
        <f>IFERROR(__xludf.DUMMYFUNCTION("IFERROR(QUERY(Steps!$A$16:$FZ995, ""Select "" &amp; SUBSTITUTE(ADDRESS(1,MATCH(""uc_Stream6PSI"", Steps!$A$15:$FZ$15, 0),4),1,"""") &amp; "" where "" &amp; SUBSTITUTE(ADDRESS(1,MATCH(""uc_StepNumber"", Steps!$A$15:$FZ$15, 0),4),1,"""") &amp; ""= "" &amp; $A138 ))"),"")</f>
        <v/>
      </c>
      <c r="M139" s="53" t="str">
        <f>IFERROR(__xludf.DUMMYFUNCTION("IFERROR(QUERY(Steps!$A$16:$FZ995, ""Select "" &amp; SUBSTITUTE(ADDRESS(1,MATCH(""uc_Stream7PSI"", Steps!$A$15:$FZ$15, 0),4),1,"""") &amp; "" where "" &amp; SUBSTITUTE(ADDRESS(1,MATCH(""uc_StepNumber"", Steps!$A$15:$FZ$15, 0),4),1,"""") &amp; "" = "" &amp; $A138 ))"),"")</f>
        <v/>
      </c>
      <c r="N139" s="53" t="str">
        <f>IFERROR(__xludf.DUMMYFUNCTION("IFERROR(QUERY(Steps!$A$16:$FZ995, ""Select "" &amp; SUBSTITUTE(ADDRESS(1,MATCH(""uc_Stream8PSI"", Steps!$A$15:$FZ$15, 0),4),1,"""") &amp; "" where "" &amp; SUBSTITUTE(ADDRESS(1,MATCH(""uc_StepNumber"", Steps!$A$15:$FZ$15, 0),4),1,"""") &amp; ""= "" &amp; $A138 ))"),"")</f>
        <v/>
      </c>
      <c r="O139" s="53" t="str">
        <f>IFERROR(__xludf.DUMMYFUNCTION("IFERROR(QUERY(Steps!$A$16:$FZ995, ""Select "" &amp; SUBSTITUTE(ADDRESS(1,MATCH(""uc_Stream9PSI"", Steps!$A$15:$FZ$15, 0),4),1,"""") &amp; "" where "" &amp; SUBSTITUTE(ADDRESS(1,MATCH(""uc_StepNumber"", Steps!$A$15:$FZ$15, 0),4),1,"""") &amp; ""= "" &amp; $A138 ))"),"")</f>
        <v/>
      </c>
      <c r="P139" s="53" t="str">
        <f>IFERROR(__xludf.DUMMYFUNCTION("IFERROR(QUERY(Steps!$A$16:$FZ995, ""Select "" &amp; SUBSTITUTE(ADDRESS(1,MATCH(""uc_Stream10PSI"", Steps!$A$15:$FZ$15, 0),4),1,"""") &amp; "" where "" &amp; SUBSTITUTE(ADDRESS(1,MATCH(""uc_StepNumber"", Steps!$A$15:$FZ$15, 0),4),1,"""") &amp; ""= "" &amp; $A138 ))"),"")</f>
        <v/>
      </c>
      <c r="Q139" s="50"/>
      <c r="R139" s="50"/>
      <c r="S139" s="47">
        <f>IFERROR(__xludf.DUMMYFUNCTION("IFERROR(QUERY(Steps!$A$16:$FZ995, ""Select "" &amp; SUBSTITUTE(ADDRESS(1,MATCH(""uc_VoltsLeg2"", Steps!$A$15:$FZ$15, 0),4),1,"""") &amp; "" where "" &amp; SUBSTITUTE(ADDRESS(1,MATCH(""uc_StepNumber"", Steps!$A$15:$FZ$15, 0),4),1,"""") &amp; ""= "" &amp; $A138 ))"),487.0)</f>
        <v>487</v>
      </c>
      <c r="T139" s="47">
        <f>IFERROR(__xludf.DUMMYFUNCTION("IFERROR(QUERY(Steps!$A$16:$FZ995, ""Select "" &amp; SUBSTITUTE(ADDRESS(1,MATCH(""uc_AmpsLeg2"", Steps!$A$15:$FZ$15, 0),4),1,"""") &amp; "" where "" &amp; SUBSTITUTE(ADDRESS(1,MATCH(""uc_StepNumber"", Steps!$A$15:$FZ$15, 0),4),1,"""") &amp; ""= "" &amp; $A138 ))"),99.0)</f>
        <v>99</v>
      </c>
      <c r="U139" s="50"/>
      <c r="V139" s="67"/>
    </row>
    <row r="140">
      <c r="A140" s="69"/>
      <c r="B140" s="69"/>
      <c r="C140" s="56"/>
      <c r="D140" s="56"/>
      <c r="E140" s="56"/>
      <c r="F140" s="70" t="s">
        <v>94</v>
      </c>
      <c r="G140" s="71">
        <f>IFERROR(__xludf.DUMMYFUNCTION("IFERROR(QUERY(Steps!$A$16:$FZ995, ""Select "" &amp; SUBSTITUTE(ADDRESS(1,MATCH(""uc_Stream1GPM"", Steps!$A$15:$FZ$15, 0),4),1,"""") &amp; "" where "" &amp; SUBSTITUTE(ADDRESS(1,MATCH(""uc_StepNumber"", Steps!$A$15:$FZ$15, 0),4),1,"""") &amp; ""  = "" &amp; $A138 ))"),511.5)</f>
        <v>511.5</v>
      </c>
      <c r="H140" s="71">
        <f>IFERROR(__xludf.DUMMYFUNCTION("IFERROR(QUERY(Steps!$A$16:$FZ995, ""Select "" &amp; SUBSTITUTE(ADDRESS(1,MATCH(""uc_Stream2GPM"", Steps!$A$15:$FZ$15, 0),4),1,"""") &amp; "" where "" &amp; SUBSTITUTE(ADDRESS(1,MATCH(""uc_StepNumber"", Steps!$A$15:$FZ$15, 0),4),1,"""") &amp; ""  = "" &amp; $A138 ))"),519.2)</f>
        <v>519.2</v>
      </c>
      <c r="I140" s="71" t="str">
        <f>IFERROR(__xludf.DUMMYFUNCTION("IFERROR(QUERY(Steps!$A$16:$FZ995, ""Select "" &amp; SUBSTITUTE(ADDRESS(1,MATCH(""uc_Stream3GPM"", Steps!$A$15:$FZ$15, 0),4),1,"""") &amp; "" where "" &amp; SUBSTITUTE(ADDRESS(1,MATCH(""uc_StepNumber"", Steps!$A$15:$FZ$15, 0),4),1,"""") &amp; ""  = "" &amp; $A138 ))"),"")</f>
        <v/>
      </c>
      <c r="J140" s="71" t="str">
        <f>IFERROR(__xludf.DUMMYFUNCTION("IFERROR(QUERY(Steps!$A$16:$FZ995, ""Select "" &amp; SUBSTITUTE(ADDRESS(1,MATCH(""uc_Stream4GPM"", Steps!$A$15:$FZ$15, 0),4),1,"""") &amp; "" where "" &amp; SUBSTITUTE(ADDRESS(1,MATCH(""uc_StepNumber"", Steps!$A$15:$FZ$15, 0),4),1,"""") &amp; ""  = "" &amp; $A138 ))"),"")</f>
        <v/>
      </c>
      <c r="K140" s="71" t="str">
        <f>IFERROR(__xludf.DUMMYFUNCTION("IFERROR(QUERY(Steps!$A$16:$FZ995, ""Select "" &amp; SUBSTITUTE(ADDRESS(1,MATCH(""uc_Stream5GPM"", Steps!$A$15:$FZ$15, 0),4),1,"""") &amp; "" where "" &amp; SUBSTITUTE(ADDRESS(1,MATCH(""uc_StepNumber"", Steps!$A$15:$FZ$15, 0),4),1,"""") &amp; ""  = "" &amp; $A138 ))"),"")</f>
        <v/>
      </c>
      <c r="L140" s="71" t="str">
        <f>IFERROR(__xludf.DUMMYFUNCTION("IFERROR(QUERY(Steps!$A$16:$FZ995, ""Select "" &amp; SUBSTITUTE(ADDRESS(1,MATCH(""uc_Stream6GPM"", Steps!$A$15:$FZ$15, 0),4),1,"""") &amp; "" where "" &amp; SUBSTITUTE(ADDRESS(1,MATCH(""uc_StepNumber"", Steps!$A$15:$FZ$15, 0),4),1,"""") &amp; ""= "" &amp; $A138 ))"),"")</f>
        <v/>
      </c>
      <c r="M140" s="71" t="str">
        <f>IFERROR(__xludf.DUMMYFUNCTION("IFERROR(QUERY(Steps!$A$16:$FZ995, ""Select "" &amp; SUBSTITUTE(ADDRESS(1,MATCH(""uc_Stream7GPM"", Steps!$A$15:$FZ$15, 0),4),1,"""") &amp; "" where "" &amp; SUBSTITUTE(ADDRESS(1,MATCH(""uc_StepNumber"", Steps!$A$15:$FZ$15, 0),4),1,"""") &amp; "" = "" &amp; $A138 ))"),"")</f>
        <v/>
      </c>
      <c r="N140" s="71" t="str">
        <f>IFERROR(__xludf.DUMMYFUNCTION("IFERROR(QUERY(Steps!$A$16:$FZ995, ""Select "" &amp; SUBSTITUTE(ADDRESS(1,MATCH(""uc_Stream8GPM"", Steps!$A$15:$FZ$15, 0),4),1,"""") &amp; "" where "" &amp; SUBSTITUTE(ADDRESS(1,MATCH(""uc_StepNumber"", Steps!$A$15:$FZ$15, 0),4),1,"""") &amp; ""= "" &amp; $A138 ))"),"")</f>
        <v/>
      </c>
      <c r="O140" s="71" t="str">
        <f>IFERROR(__xludf.DUMMYFUNCTION("IFERROR(QUERY(Steps!$A$16:$FZ995, ""Select "" &amp; SUBSTITUTE(ADDRESS(1,MATCH(""uc_Stream9GPM"", Steps!$A$15:$FZ$15, 0),4),1,"""") &amp; "" where "" &amp; SUBSTITUTE(ADDRESS(1,MATCH(""uc_StepNumber"", Steps!$A$15:$FZ$15, 0),4),1,"""") &amp; ""= "" &amp; $A138 ))"),"")</f>
        <v/>
      </c>
      <c r="P140" s="71" t="str">
        <f>IFERROR(__xludf.DUMMYFUNCTION("IFERROR(QUERY(Steps!$A$16:$FZ995, ""Select "" &amp; SUBSTITUTE(ADDRESS(1,MATCH(""uc_Stream10GPM"", Steps!$A$15:$FZ$15, 0),4),1,"""") &amp; "" where "" &amp; SUBSTITUTE(ADDRESS(1,MATCH(""uc_StepNumber"", Steps!$A$15:$FZ$15, 0),4),1,"""") &amp; ""= "" &amp; $A138 ))"),"")</f>
        <v/>
      </c>
      <c r="Q140" s="56"/>
      <c r="R140" s="56"/>
      <c r="S140" s="72">
        <f>IFERROR(__xludf.DUMMYFUNCTION("IFERROR(QUERY(Steps!$A$16:$FZ995, ""Select "" &amp; SUBSTITUTE(ADDRESS(1,MATCH(""uc_VoltsLeg3"", Steps!$A$15:$FZ$15, 0),4),1,"""") &amp; "" where "" &amp; SUBSTITUTE(ADDRESS(1,MATCH(""uc_StepNumber"", Steps!$A$15:$FZ$15, 0),4),1,"""") &amp; ""= "" &amp; $A138 ))"),485.0)</f>
        <v>485</v>
      </c>
      <c r="T140" s="72">
        <f>IFERROR(__xludf.DUMMYFUNCTION("IFERROR(QUERY(Steps!$A$16:$FZ995, ""Select "" &amp; SUBSTITUTE(ADDRESS(1,MATCH(""uc_AmpsLeg3"", Steps!$A$15:$FZ$15, 0),4),1,"""") &amp; "" where "" &amp; SUBSTITUTE(ADDRESS(1,MATCH(""uc_StepNumber"", Steps!$A$15:$FZ$15, 0),4),1,"""") &amp; ""= "" &amp; $A138 ))"),101.0)</f>
        <v>101</v>
      </c>
      <c r="U140" s="56"/>
      <c r="V140" s="73"/>
    </row>
    <row r="141">
      <c r="A141" s="74">
        <v>5.0</v>
      </c>
      <c r="B141" s="61">
        <f>IFERROR(__xludf.DUMMYFUNCTION("iferror(QUERY(Steps!$A$16:$FZ995, ""Select "" &amp; SUBSTITUTE(ADDRESS(1,MATCH(""uc_RPM"", Steps!$A$15:$FZ$15, 0),4),1,"""") &amp; "" where "" &amp; SUBSTITUTE(ADDRESS(1,MATCH(""uc_StepNumber"", Steps!$A$15:$FZ$15, 0),4),1,"""") &amp; "" = "" &amp; $A141 ))"),3561.0)</f>
        <v>3561</v>
      </c>
      <c r="C141" s="41">
        <f>IFERROR(__xludf.DUMMYFUNCTION("iferror(QUERY(Steps!$A$16:$FZ995, ""Select "" &amp; SUBSTITUTE(ADDRESS(1,MATCH(""uc_Discharge"", Steps!$A$15:$FZ$15, 0),4),1,"""") &amp; "" where "" &amp; SUBSTITUTE(ADDRESS(1,MATCH(""uc_StepNumber"", Steps!$A$15:$FZ$15, 0),4),1,"""") &amp; ""  = "" &amp; $A141 ))"),114.0)</f>
        <v>114</v>
      </c>
      <c r="D141" s="41">
        <f>IFERROR(__xludf.DUMMYFUNCTION("iferror(QUERY(Steps!$A$16:$FZ995, ""Select "" &amp; SUBSTITUTE(ADDRESS(1,MATCH(""uc_Suction"", Steps!$A$15:$FZ$15, 0),4),1,"""") &amp; "" where "" &amp; SUBSTITUTE(ADDRESS(1,MATCH(""uc_StepNumber"", Steps!$A$15:$FZ$15, 0),4),1,"""") &amp; ""  = "" &amp; $A141 ))"),36.0)</f>
        <v>36</v>
      </c>
      <c r="E141" s="46">
        <f>IFERROR(__xludf.DUMMYFUNCTION("iferror(QUERY(Steps!$A$16:$FZ995, ""Select "" &amp; SUBSTITUTE(ADDRESS(1,MATCH(""uc_NET"", Steps!$A$15:$FZ$15, 0),4),1,"""") &amp; "" where "" &amp; SUBSTITUTE(ADDRESS(1,MATCH(""uc_StepNumber"", Steps!$A$15:$FZ$15, 0),4),1,"""") &amp; ""  = "" &amp; $A141 ))"),78.0)</f>
        <v>78</v>
      </c>
      <c r="F141" s="43" t="s">
        <v>92</v>
      </c>
      <c r="G141" s="62" t="str">
        <f>IFERROR(__xludf.DUMMYFUNCTION("iferror(QUERY(Steps!$A$16:$FZ995, ""Select "" &amp; SUBSTITUTE(ADDRESS(1,MATCH(""uc_Stream1PN"", Steps!$A$15:$FZ$15, 0),4),1,"""") &amp; "" where "" &amp; SUBSTITUTE(ADDRESS(1,MATCH(""uc_StepNumber"", Steps!$A$15:$FZ$15, 0),4),1,"""") &amp; ""  = "" &amp; $A141 ))"),"")</f>
        <v/>
      </c>
      <c r="H141" s="75" t="str">
        <f>IFERROR(__xludf.DUMMYFUNCTION("iferror(QUERY(Steps!$A$16:$FZ995, ""Select "" &amp; SUBSTITUTE(ADDRESS(1,MATCH(""uc_Stream2PN"", Steps!$A$15:$FZ$15, 0),4),1,"""") &amp; "" where "" &amp; SUBSTITUTE(ADDRESS(1,MATCH(""uc_StepNumber"", Steps!$A$15:$FZ$15, 0),4),1,"""") &amp; ""  = "" &amp; $A141 ))"),"")</f>
        <v/>
      </c>
      <c r="I141" s="45" t="str">
        <f>IFERROR(__xludf.DUMMYFUNCTION("iferror(QUERY(Steps!$A$16:$FZ995, ""Select `"" &amp; SUBSTITUTE(ADDRESS(1,MATCH(""uc_Stream3PN"", Steps!$A$15:$FZ$15, 0),4),1,"""") &amp; ""` where "" &amp; SUBSTITUTE(ADDRESS(1,MATCH(""uc_StepNumber"", Steps!$A$15:$FZ$15, 0),4),1,"""") &amp; ""  = "" &amp; $A141 ))"),"")</f>
        <v/>
      </c>
      <c r="J141" s="75" t="str">
        <f>IFERROR(__xludf.DUMMYFUNCTION("iferror(QUERY(Steps!$A$16:$FZ995, ""Select "" &amp; SUBSTITUTE(ADDRESS(1,MATCH(""uc_Stream4PN"", Steps!$A$15:$FZ$15, 0),4),1,"""") &amp; "" where "" &amp; SUBSTITUTE(ADDRESS(1,MATCH(""uc_StepNumber"", Steps!$A$15:$FZ$15, 0),4),1,"""") &amp; ""  = "" &amp; $A141 ))"),"")</f>
        <v/>
      </c>
      <c r="K141" s="75" t="str">
        <f>IFERROR(__xludf.DUMMYFUNCTION("IFERROR(QUERY(Steps!$A$16:$FZ995, ""Select "" &amp; SUBSTITUTE(ADDRESS(1,MATCH(""uc_Stream5PN"", Steps!$A$15:$FZ$15, 0),4),1,"""") &amp; "" where "" &amp; SUBSTITUTE(ADDRESS(1,MATCH(""uc_StepNumber"", Steps!$A$15:$FZ$15, 0),4),1,"""") &amp; ""  = "" &amp; $A141 ))"),"")</f>
        <v/>
      </c>
      <c r="L141" s="75" t="str">
        <f>IFERROR(__xludf.DUMMYFUNCTION("IFERROR(QUERY(Steps!$A$16:$FZ995, ""Select "" &amp; SUBSTITUTE(ADDRESS(1,MATCH(""uc_Stream6PN"", Steps!$A$15:$FZ$15, 0),4),1,"""") &amp; "" where "" &amp; SUBSTITUTE(ADDRESS(1,MATCH(""uc_StepNumber"", Steps!$A$15:$FZ$15, 0),4),1,"""") &amp; ""= "" &amp; $A141 ))"),"")</f>
        <v/>
      </c>
      <c r="M141" s="75" t="str">
        <f>IFERROR(__xludf.DUMMYFUNCTION("IFERROR(QUERY(Steps!$A$16:$FZ995, ""Select "" &amp; SUBSTITUTE(ADDRESS(1,MATCH(""uc_Stream7PN"", Steps!$A$15:$FZ$15, 0),4),1,"""") &amp; "" where "" &amp; SUBSTITUTE(ADDRESS(1,MATCH(""uc_StepNumber"", Steps!$A$15:$FZ$15, 0),4),1,"""") &amp; ""= "" &amp; $A141 ))"),"")</f>
        <v/>
      </c>
      <c r="N141" s="75" t="str">
        <f>IFERROR(__xludf.DUMMYFUNCTION("IFERROR(QUERY(Steps!$A$16:$FZ995, ""Select "" &amp; SUBSTITUTE(ADDRESS(1,MATCH(""uc_Stream8PN"", Steps!$A$15:$FZ$15, 0),4),1,"""") &amp; "" where "" &amp; SUBSTITUTE(ADDRESS(1,MATCH(""uc_StepNumber"", Steps!$A$15:$FZ$15, 0),4),1,"""") &amp; "" = "" &amp; $A141 ))"),"")</f>
        <v/>
      </c>
      <c r="O141" s="75" t="str">
        <f>IFERROR(__xludf.DUMMYFUNCTION("IFERROR(QUERY(Steps!$A$16:$FZ995, ""Select "" &amp; SUBSTITUTE(ADDRESS(1,MATCH(""uc_Stream9PN"", Steps!$A$15:$FZ$15, 0),4),1,"""") &amp; "" where "" &amp; SUBSTITUTE(ADDRESS(1,MATCH(""uc_StepNumber"", Steps!$A$15:$FZ$15, 0),4),1,"""") &amp; ""= "" &amp; $A141 ))"),"")</f>
        <v/>
      </c>
      <c r="P141" s="75" t="str">
        <f>IFERROR(__xludf.DUMMYFUNCTION("IFERROR(QUERY(Steps!$A$16:$FZ995, ""Select "" &amp; SUBSTITUTE(ADDRESS(1,MATCH(""uc_Stream10PN"", Steps!$A$15:$FZ$15, 0),4),1,"""") &amp; "" where "" &amp; SUBSTITUTE(ADDRESS(1,MATCH(""uc_StepNumber"", Steps!$A$15:$FZ$15, 0),4),1,"""") &amp; ""= "" &amp; $A141 ))"),"")</f>
        <v/>
      </c>
      <c r="Q141" s="46">
        <f>IFERROR(__xludf.DUMMYFUNCTION("IFERROR(QUERY(Steps!$A$16:$FZ995, ""Select "" &amp; SUBSTITUTE(ADDRESS(1,MATCH(""uc_FlowGPM"", Steps!$A$15:$FZ$15, 0),4),1,"""") &amp; "" where "" &amp; SUBSTITUTE(ADDRESS(1,MATCH(""uc_StepNumber"", Steps!$A$15:$FZ$15, 0),4),1,"""") &amp; ""= "" &amp; $A141 ))"),1387.8)</f>
        <v>1387.8</v>
      </c>
      <c r="R141" s="46">
        <f>IFERROR(__xludf.DUMMYFUNCTION("IFERROR(QUERY(Steps!$A$16:$FZ995, ""Select "" &amp; SUBSTITUTE(ADDRESS(1,MATCH(""uc_PercentRatedCapacity"", Steps!$A$15:$FZ$15, 0),4),1,"""") &amp; "" where "" &amp; SUBSTITUTE(ADDRESS(1,MATCH(""uc_StepNumber"", Steps!$A$15:$FZ$15, 0),4),1,"""") &amp; ""= "" &amp; $A141 ))"),138.8)</f>
        <v>138.8</v>
      </c>
      <c r="S141" s="63">
        <f>IFERROR(__xludf.DUMMYFUNCTION("IFERROR(QUERY(Steps!$A$16:$FZ995, ""Select "" &amp; SUBSTITUTE(ADDRESS(1,MATCH(""uc_VoltsLeg1"", Steps!$A$15:$FZ$15, 0),4),1,"""") &amp; "" where "" &amp; SUBSTITUTE(ADDRESS(1,MATCH(""uc_StepNumber"", Steps!$A$15:$FZ$15, 0),4),1,"""") &amp; ""= "" &amp; $A141 ))"),483.0)</f>
        <v>483</v>
      </c>
      <c r="T141" s="63">
        <f>IFERROR(__xludf.DUMMYFUNCTION("IFERROR(QUERY(Steps!$A$16:$FZ995, ""Select "" &amp; SUBSTITUTE(ADDRESS(1,MATCH(""uc_AmpsLeg1"", Steps!$A$15:$FZ$15, 0),4),1,"""") &amp; "" where "" &amp; SUBSTITUTE(ADDRESS(1,MATCH(""uc_StepNumber"", Steps!$A$15:$FZ$15, 0),4),1,"""") &amp; ""= "" &amp; $A141 ))"),94.0)</f>
        <v>94</v>
      </c>
      <c r="U141" s="46">
        <f>IFERROR(__xludf.DUMMYFUNCTION("IFERROR(QUERY(Steps!$A$16:$FZ995, ""Select "" &amp; SUBSTITUTE(ADDRESS(1,MATCH(""uc_CorrectedFlowPercent"", Steps!$A$15:$FZ$15, 0),4),1,"""") &amp; "" where "" &amp; SUBSTITUTE(ADDRESS(1,MATCH(""uc_StepNumber"", Steps!$A$15:$FZ$15, 0),4),1,"""") &amp; ""= "" &amp; $A141 ))"),136.4)</f>
        <v>136.4</v>
      </c>
      <c r="V141" s="64">
        <f>IFERROR(__xludf.DUMMYFUNCTION("IFERROR(QUERY(Steps!$A$16:$FZ995, ""Select "" &amp; SUBSTITUTE(ADDRESS(1,MATCH(""uc_CorrectedPressure"", Steps!$A$15:$FZ$15, 0),4),1,"""") &amp; "" where "" &amp; SUBSTITUTE(ADDRESS(1,MATCH(""uc_StepNumber"", Steps!$A$15:$FZ$15, 0),4),1,"""") &amp; ""= "" &amp; $A141 ))"),75.4)</f>
        <v>75.4</v>
      </c>
    </row>
    <row r="142">
      <c r="A142" s="66"/>
      <c r="B142" s="66"/>
      <c r="C142" s="50"/>
      <c r="D142" s="50"/>
      <c r="E142" s="50"/>
      <c r="F142" s="51" t="s">
        <v>93</v>
      </c>
      <c r="G142" s="52">
        <f>IFERROR(__xludf.DUMMYFUNCTION("IFERROR(QUERY(Steps!$A$16:$FZ995, ""Select "" &amp; SUBSTITUTE(ADDRESS(1,MATCH(""uc_Stream1PSI"", Steps!$A$15:$FZ$15, 0),4),1,"""") &amp; "" where "" &amp; SUBSTITUTE(ADDRESS(1,MATCH(""uc_StepNumber"", Steps!$A$15:$FZ$15, 0),4),1,"""") &amp; ""  = "" &amp; $A141 ))"),26.0)</f>
        <v>26</v>
      </c>
      <c r="H142" s="52">
        <f>IFERROR(__xludf.DUMMYFUNCTION("IFERROR(QUERY(Steps!$A$16:$FZ995, ""Select "" &amp; SUBSTITUTE(ADDRESS(1,MATCH(""uc_Stream2PSI"", Steps!$A$15:$FZ$15, 0),4),1,"""") &amp; "" where "" &amp; SUBSTITUTE(ADDRESS(1,MATCH(""uc_StepNumber"", Steps!$A$15:$FZ$15, 0),4),1,"""") &amp; ""  = "" &amp; $A141 ))"),27.0)</f>
        <v>27</v>
      </c>
      <c r="I142" s="52">
        <f>IFERROR(__xludf.DUMMYFUNCTION("IFERROR(QUERY(Steps!$A$16:$FZ995, ""Select "" &amp; SUBSTITUTE(ADDRESS(1,MATCH(""uc_Stream3PSI"", Steps!$A$15:$FZ$15, 0),4),1,"""") &amp; "" where "" &amp; SUBSTITUTE(ADDRESS(1,MATCH(""uc_StepNumber"", Steps!$A$15:$FZ$15, 0),4),1,"""") &amp; ""  = "" &amp; $A141 ))"),28.0)</f>
        <v>28</v>
      </c>
      <c r="J142" s="53" t="str">
        <f>IFERROR(__xludf.DUMMYFUNCTION("IFERROR(QUERY(Steps!$A$16:$FZ995, ""Select "" &amp; SUBSTITUTE(ADDRESS(1,MATCH(""uc_Stream4PSI"", Steps!$A$15:$FZ$15, 0),4),1,"""") &amp; "" where "" &amp; SUBSTITUTE(ADDRESS(1,MATCH(""uc_StepNumber"", Steps!$A$15:$FZ$15, 0),4),1,"""") &amp; ""  = "" &amp; $A141 ))"),"")</f>
        <v/>
      </c>
      <c r="K142" s="53" t="str">
        <f>IFERROR(__xludf.DUMMYFUNCTION("IFERROR(QUERY(Steps!$A$16:$FZ995, ""Select "" &amp; SUBSTITUTE(ADDRESS(1,MATCH(""uc_Stream5PSI"", Steps!$A$15:$FZ$15, 0),4),1,"""") &amp; "" where "" &amp; SUBSTITUTE(ADDRESS(1,MATCH(""uc_StepNumber"", Steps!$A$15:$FZ$15, 0),4),1,"""") &amp; ""  = "" &amp; $A141 ))"),"")</f>
        <v/>
      </c>
      <c r="L142" s="53" t="str">
        <f>IFERROR(__xludf.DUMMYFUNCTION("IFERROR(QUERY(Steps!$A$16:$FZ995, ""Select "" &amp; SUBSTITUTE(ADDRESS(1,MATCH(""uc_Stream6PSI"", Steps!$A$15:$FZ$15, 0),4),1,"""") &amp; "" where "" &amp; SUBSTITUTE(ADDRESS(1,MATCH(""uc_StepNumber"", Steps!$A$15:$FZ$15, 0),4),1,"""") &amp; ""= "" &amp; $A141 ))"),"")</f>
        <v/>
      </c>
      <c r="M142" s="53" t="str">
        <f>IFERROR(__xludf.DUMMYFUNCTION("IFERROR(QUERY(Steps!$A$16:$FZ995, ""Select "" &amp; SUBSTITUTE(ADDRESS(1,MATCH(""uc_Stream7PSI"", Steps!$A$15:$FZ$15, 0),4),1,"""") &amp; "" where "" &amp; SUBSTITUTE(ADDRESS(1,MATCH(""uc_StepNumber"", Steps!$A$15:$FZ$15, 0),4),1,"""") &amp; "" = "" &amp; $A141 ))"),"")</f>
        <v/>
      </c>
      <c r="N142" s="53" t="str">
        <f>IFERROR(__xludf.DUMMYFUNCTION("IFERROR(QUERY(Steps!$A$16:$FZ995, ""Select "" &amp; SUBSTITUTE(ADDRESS(1,MATCH(""uc_Stream8PSI"", Steps!$A$15:$FZ$15, 0),4),1,"""") &amp; "" where "" &amp; SUBSTITUTE(ADDRESS(1,MATCH(""uc_StepNumber"", Steps!$A$15:$FZ$15, 0),4),1,"""") &amp; ""= "" &amp; $A141 ))"),"")</f>
        <v/>
      </c>
      <c r="O142" s="53" t="str">
        <f>IFERROR(__xludf.DUMMYFUNCTION("IFERROR(QUERY(Steps!$A$16:$FZ995, ""Select "" &amp; SUBSTITUTE(ADDRESS(1,MATCH(""uc_Stream9PSI"", Steps!$A$15:$FZ$15, 0),4),1,"""") &amp; "" where "" &amp; SUBSTITUTE(ADDRESS(1,MATCH(""uc_StepNumber"", Steps!$A$15:$FZ$15, 0),4),1,"""") &amp; ""= "" &amp; $A141 ))"),"")</f>
        <v/>
      </c>
      <c r="P142" s="53" t="str">
        <f>IFERROR(__xludf.DUMMYFUNCTION("IFERROR(QUERY(Steps!$A$16:$FZ995, ""Select "" &amp; SUBSTITUTE(ADDRESS(1,MATCH(""uc_Stream10PSI"", Steps!$A$15:$FZ$15, 0),4),1,"""") &amp; "" where "" &amp; SUBSTITUTE(ADDRESS(1,MATCH(""uc_StepNumber"", Steps!$A$15:$FZ$15, 0),4),1,"""") &amp; ""= "" &amp; $A141 ))"),"")</f>
        <v/>
      </c>
      <c r="Q142" s="50"/>
      <c r="R142" s="50"/>
      <c r="S142" s="47">
        <f>IFERROR(__xludf.DUMMYFUNCTION("IFERROR(QUERY(Steps!$A$16:$FZ995, ""Select "" &amp; SUBSTITUTE(ADDRESS(1,MATCH(""uc_VoltsLeg2"", Steps!$A$15:$FZ$15, 0),4),1,"""") &amp; "" where "" &amp; SUBSTITUTE(ADDRESS(1,MATCH(""uc_StepNumber"", Steps!$A$15:$FZ$15, 0),4),1,"""") &amp; ""= "" &amp; $A141 ))"),487.0)</f>
        <v>487</v>
      </c>
      <c r="T142" s="47">
        <f>IFERROR(__xludf.DUMMYFUNCTION("IFERROR(QUERY(Steps!$A$16:$FZ995, ""Select "" &amp; SUBSTITUTE(ADDRESS(1,MATCH(""uc_AmpsLeg2"", Steps!$A$15:$FZ$15, 0),4),1,"""") &amp; "" where "" &amp; SUBSTITUTE(ADDRESS(1,MATCH(""uc_StepNumber"", Steps!$A$15:$FZ$15, 0),4),1,"""") &amp; ""= "" &amp; $A141 ))"),98.0)</f>
        <v>98</v>
      </c>
      <c r="U142" s="50"/>
      <c r="V142" s="67"/>
    </row>
    <row r="143">
      <c r="A143" s="69"/>
      <c r="B143" s="69"/>
      <c r="C143" s="56"/>
      <c r="D143" s="56"/>
      <c r="E143" s="56"/>
      <c r="F143" s="70" t="s">
        <v>94</v>
      </c>
      <c r="G143" s="71">
        <f>IFERROR(__xludf.DUMMYFUNCTION("IFERROR(QUERY(Steps!$A$16:$FZ995, ""Select "" &amp; SUBSTITUTE(ADDRESS(1,MATCH(""uc_Stream1GPM"", Steps!$A$15:$FZ$15, 0),4),1,"""") &amp; "" where "" &amp; SUBSTITUTE(ADDRESS(1,MATCH(""uc_StepNumber"", Steps!$A$15:$FZ$15, 0),4),1,"""") &amp; ""  = "" &amp; $A141 ))"),454.0)</f>
        <v>454</v>
      </c>
      <c r="H143" s="71">
        <f>IFERROR(__xludf.DUMMYFUNCTION("IFERROR(QUERY(Steps!$A$16:$FZ995, ""Select "" &amp; SUBSTITUTE(ADDRESS(1,MATCH(""uc_Stream2GPM"", Steps!$A$15:$FZ$15, 0),4),1,"""") &amp; "" where "" &amp; SUBSTITUTE(ADDRESS(1,MATCH(""uc_StepNumber"", Steps!$A$15:$FZ$15, 0),4),1,"""") &amp; ""  = "" &amp; $A141 ))"),462.7)</f>
        <v>462.7</v>
      </c>
      <c r="I143" s="71">
        <f>IFERROR(__xludf.DUMMYFUNCTION("IFERROR(QUERY(Steps!$A$16:$FZ995, ""Select "" &amp; SUBSTITUTE(ADDRESS(1,MATCH(""uc_Stream3GPM"", Steps!$A$15:$FZ$15, 0),4),1,"""") &amp; "" where "" &amp; SUBSTITUTE(ADDRESS(1,MATCH(""uc_StepNumber"", Steps!$A$15:$FZ$15, 0),4),1,"""") &amp; ""  = "" &amp; $A141 ))"),471.2)</f>
        <v>471.2</v>
      </c>
      <c r="J143" s="71" t="str">
        <f>IFERROR(__xludf.DUMMYFUNCTION("IFERROR(QUERY(Steps!$A$16:$FZ995, ""Select "" &amp; SUBSTITUTE(ADDRESS(1,MATCH(""uc_Stream4GPM"", Steps!$A$15:$FZ$15, 0),4),1,"""") &amp; "" where "" &amp; SUBSTITUTE(ADDRESS(1,MATCH(""uc_StepNumber"", Steps!$A$15:$FZ$15, 0),4),1,"""") &amp; ""  = "" &amp; $A141 ))"),"")</f>
        <v/>
      </c>
      <c r="K143" s="71" t="str">
        <f>IFERROR(__xludf.DUMMYFUNCTION("IFERROR(QUERY(Steps!$A$16:$FZ995, ""Select "" &amp; SUBSTITUTE(ADDRESS(1,MATCH(""uc_Stream5GPM"", Steps!$A$15:$FZ$15, 0),4),1,"""") &amp; "" where "" &amp; SUBSTITUTE(ADDRESS(1,MATCH(""uc_StepNumber"", Steps!$A$15:$FZ$15, 0),4),1,"""") &amp; ""  = "" &amp; $A141 ))"),"")</f>
        <v/>
      </c>
      <c r="L143" s="71" t="str">
        <f>IFERROR(__xludf.DUMMYFUNCTION("IFERROR(QUERY(Steps!$A$16:$FZ995, ""Select "" &amp; SUBSTITUTE(ADDRESS(1,MATCH(""uc_Stream6GPM"", Steps!$A$15:$FZ$15, 0),4),1,"""") &amp; "" where "" &amp; SUBSTITUTE(ADDRESS(1,MATCH(""uc_StepNumber"", Steps!$A$15:$FZ$15, 0),4),1,"""") &amp; ""= "" &amp; $A141 ))"),"")</f>
        <v/>
      </c>
      <c r="M143" s="71" t="str">
        <f>IFERROR(__xludf.DUMMYFUNCTION("IFERROR(QUERY(Steps!$A$16:$FZ995, ""Select "" &amp; SUBSTITUTE(ADDRESS(1,MATCH(""uc_Stream7GPM"", Steps!$A$15:$FZ$15, 0),4),1,"""") &amp; "" where "" &amp; SUBSTITUTE(ADDRESS(1,MATCH(""uc_StepNumber"", Steps!$A$15:$FZ$15, 0),4),1,"""") &amp; "" = "" &amp; $A141 ))"),"")</f>
        <v/>
      </c>
      <c r="N143" s="71" t="str">
        <f>IFERROR(__xludf.DUMMYFUNCTION("IFERROR(QUERY(Steps!$A$16:$FZ995, ""Select "" &amp; SUBSTITUTE(ADDRESS(1,MATCH(""uc_Stream8GPM"", Steps!$A$15:$FZ$15, 0),4),1,"""") &amp; "" where "" &amp; SUBSTITUTE(ADDRESS(1,MATCH(""uc_StepNumber"", Steps!$A$15:$FZ$15, 0),4),1,"""") &amp; ""= "" &amp; $A141 ))"),"")</f>
        <v/>
      </c>
      <c r="O143" s="71" t="str">
        <f>IFERROR(__xludf.DUMMYFUNCTION("IFERROR(QUERY(Steps!$A$16:$FZ995, ""Select "" &amp; SUBSTITUTE(ADDRESS(1,MATCH(""uc_Stream9GPM"", Steps!$A$15:$FZ$15, 0),4),1,"""") &amp; "" where "" &amp; SUBSTITUTE(ADDRESS(1,MATCH(""uc_StepNumber"", Steps!$A$15:$FZ$15, 0),4),1,"""") &amp; ""= "" &amp; $A141 ))"),"")</f>
        <v/>
      </c>
      <c r="P143" s="71" t="str">
        <f>IFERROR(__xludf.DUMMYFUNCTION("IFERROR(QUERY(Steps!$A$16:$FZ995, ""Select "" &amp; SUBSTITUTE(ADDRESS(1,MATCH(""uc_Stream10GPM"", Steps!$A$15:$FZ$15, 0),4),1,"""") &amp; "" where "" &amp; SUBSTITUTE(ADDRESS(1,MATCH(""uc_StepNumber"", Steps!$A$15:$FZ$15, 0),4),1,"""") &amp; ""= "" &amp; $A141 ))"),"")</f>
        <v/>
      </c>
      <c r="Q143" s="56"/>
      <c r="R143" s="56"/>
      <c r="S143" s="72">
        <f>IFERROR(__xludf.DUMMYFUNCTION("IFERROR(QUERY(Steps!$A$16:$FZ995, ""Select "" &amp; SUBSTITUTE(ADDRESS(1,MATCH(""uc_VoltsLeg3"", Steps!$A$15:$FZ$15, 0),4),1,"""") &amp; "" where "" &amp; SUBSTITUTE(ADDRESS(1,MATCH(""uc_StepNumber"", Steps!$A$15:$FZ$15, 0),4),1,"""") &amp; ""= "" &amp; $A141 ))"),185.0)</f>
        <v>185</v>
      </c>
      <c r="T143" s="72">
        <f>IFERROR(__xludf.DUMMYFUNCTION("IFERROR(QUERY(Steps!$A$16:$FZ995, ""Select "" &amp; SUBSTITUTE(ADDRESS(1,MATCH(""uc_AmpsLeg3"", Steps!$A$15:$FZ$15, 0),4),1,"""") &amp; "" where "" &amp; SUBSTITUTE(ADDRESS(1,MATCH(""uc_StepNumber"", Steps!$A$15:$FZ$15, 0),4),1,"""") &amp; ""= "" &amp; $A141 ))"),100.0)</f>
        <v>100</v>
      </c>
      <c r="U143" s="56"/>
      <c r="V143" s="73"/>
    </row>
    <row r="144">
      <c r="A144" s="74">
        <v>6.0</v>
      </c>
      <c r="B144" s="61">
        <f>IFERROR(__xludf.DUMMYFUNCTION("iferror(QUERY(Steps!$A$16:$FZ995, ""Select "" &amp; SUBSTITUTE(ADDRESS(1,MATCH(""uc_RPM"", Steps!$A$15:$FZ$15, 0),4),1,"""") &amp; "" where "" &amp; SUBSTITUTE(ADDRESS(1,MATCH(""uc_StepNumber"", Steps!$A$15:$FZ$15, 0),4),1,"""") &amp; "" = "" &amp; $A144 ))"),3563.0)</f>
        <v>3563</v>
      </c>
      <c r="C144" s="41">
        <f>IFERROR(__xludf.DUMMYFUNCTION("iferror(QUERY(Steps!$A$16:$FZ995, ""Select "" &amp; SUBSTITUTE(ADDRESS(1,MATCH(""uc_Discharge"", Steps!$A$15:$FZ$15, 0),4),1,"""") &amp; "" where "" &amp; SUBSTITUTE(ADDRESS(1,MATCH(""uc_StepNumber"", Steps!$A$15:$FZ$15, 0),4),1,"""") &amp; ""  = "" &amp; $A144 ))"),99.0)</f>
        <v>99</v>
      </c>
      <c r="D144" s="41">
        <f>IFERROR(__xludf.DUMMYFUNCTION("iferror(QUERY(Steps!$A$16:$FZ995, ""Select "" &amp; SUBSTITUTE(ADDRESS(1,MATCH(""uc_Suction"", Steps!$A$15:$FZ$15, 0),4),1,"""") &amp; "" where "" &amp; SUBSTITUTE(ADDRESS(1,MATCH(""uc_StepNumber"", Steps!$A$15:$FZ$15, 0),4),1,"""") &amp; ""  = "" &amp; $A144 ))"),34.0)</f>
        <v>34</v>
      </c>
      <c r="E144" s="46">
        <f>IFERROR(__xludf.DUMMYFUNCTION("iferror(QUERY(Steps!$A$16:$FZ995, ""Select "" &amp; SUBSTITUTE(ADDRESS(1,MATCH(""uc_NET"", Steps!$A$15:$FZ$15, 0),4),1,"""") &amp; "" where "" &amp; SUBSTITUTE(ADDRESS(1,MATCH(""uc_StepNumber"", Steps!$A$15:$FZ$15, 0),4),1,"""") &amp; ""  = "" &amp; $A144 ))"),65.0)</f>
        <v>65</v>
      </c>
      <c r="F144" s="43" t="s">
        <v>92</v>
      </c>
      <c r="G144" s="62" t="str">
        <f>IFERROR(__xludf.DUMMYFUNCTION("iferror(QUERY(Steps!$A$16:$FZ995, ""Select "" &amp; SUBSTITUTE(ADDRESS(1,MATCH(""uc_Stream1PN"", Steps!$A$15:$FZ$15, 0),4),1,"""") &amp; "" where "" &amp; SUBSTITUTE(ADDRESS(1,MATCH(""uc_StepNumber"", Steps!$A$15:$FZ$15, 0),4),1,"""") &amp; ""  = "" &amp; $A144 ))"),"")</f>
        <v/>
      </c>
      <c r="H144" s="75" t="str">
        <f>IFERROR(__xludf.DUMMYFUNCTION("iferror(QUERY(Steps!$A$16:$FZ995, ""Select "" &amp; SUBSTITUTE(ADDRESS(1,MATCH(""uc_Stream2PN"", Steps!$A$15:$FZ$15, 0),4),1,"""") &amp; "" where "" &amp; SUBSTITUTE(ADDRESS(1,MATCH(""uc_StepNumber"", Steps!$A$15:$FZ$15, 0),4),1,"""") &amp; ""  = "" &amp; $A144 ))"),"")</f>
        <v/>
      </c>
      <c r="I144" s="45" t="str">
        <f>IFERROR(__xludf.DUMMYFUNCTION("iferror(QUERY(Steps!$A$16:$FZ995, ""Select `"" &amp; SUBSTITUTE(ADDRESS(1,MATCH(""uc_Stream3PN"", Steps!$A$15:$FZ$15, 0),4),1,"""") &amp; ""` where "" &amp; SUBSTITUTE(ADDRESS(1,MATCH(""uc_StepNumber"", Steps!$A$15:$FZ$15, 0),4),1,"""") &amp; ""  = "" &amp; $A144 ))"),"")</f>
        <v/>
      </c>
      <c r="J144" s="75" t="str">
        <f>IFERROR(__xludf.DUMMYFUNCTION("iferror(QUERY(Steps!$A$16:$FZ995, ""Select "" &amp; SUBSTITUTE(ADDRESS(1,MATCH(""uc_Stream4PN"", Steps!$A$15:$FZ$15, 0),4),1,"""") &amp; "" where "" &amp; SUBSTITUTE(ADDRESS(1,MATCH(""uc_StepNumber"", Steps!$A$15:$FZ$15, 0),4),1,"""") &amp; ""  = "" &amp; $A144 ))"),"")</f>
        <v/>
      </c>
      <c r="K144" s="75" t="str">
        <f>IFERROR(__xludf.DUMMYFUNCTION("IFERROR(QUERY(Steps!$A$16:$FZ995, ""Select "" &amp; SUBSTITUTE(ADDRESS(1,MATCH(""uc_Stream5PN"", Steps!$A$15:$FZ$15, 0),4),1,"""") &amp; "" where "" &amp; SUBSTITUTE(ADDRESS(1,MATCH(""uc_StepNumber"", Steps!$A$15:$FZ$15, 0),4),1,"""") &amp; ""  = "" &amp; $A144 ))"),"")</f>
        <v/>
      </c>
      <c r="L144" s="75" t="str">
        <f>IFERROR(__xludf.DUMMYFUNCTION("IFERROR(QUERY(Steps!$A$16:$FZ995, ""Select "" &amp; SUBSTITUTE(ADDRESS(1,MATCH(""uc_Stream6PN"", Steps!$A$15:$FZ$15, 0),4),1,"""") &amp; "" where "" &amp; SUBSTITUTE(ADDRESS(1,MATCH(""uc_StepNumber"", Steps!$A$15:$FZ$15, 0),4),1,"""") &amp; ""= "" &amp; $A144 ))"),"")</f>
        <v/>
      </c>
      <c r="M144" s="75" t="str">
        <f>IFERROR(__xludf.DUMMYFUNCTION("IFERROR(QUERY(Steps!$A$16:$FZ995, ""Select "" &amp; SUBSTITUTE(ADDRESS(1,MATCH(""uc_Stream7PN"", Steps!$A$15:$FZ$15, 0),4),1,"""") &amp; "" where "" &amp; SUBSTITUTE(ADDRESS(1,MATCH(""uc_StepNumber"", Steps!$A$15:$FZ$15, 0),4),1,"""") &amp; ""= "" &amp; $A144 ))"),"")</f>
        <v/>
      </c>
      <c r="N144" s="75" t="str">
        <f>IFERROR(__xludf.DUMMYFUNCTION("IFERROR(QUERY(Steps!$A$16:$FZ995, ""Select "" &amp; SUBSTITUTE(ADDRESS(1,MATCH(""uc_Stream8PN"", Steps!$A$15:$FZ$15, 0),4),1,"""") &amp; "" where "" &amp; SUBSTITUTE(ADDRESS(1,MATCH(""uc_StepNumber"", Steps!$A$15:$FZ$15, 0),4),1,"""") &amp; "" = "" &amp; $A144 ))"),"")</f>
        <v/>
      </c>
      <c r="O144" s="75" t="str">
        <f>IFERROR(__xludf.DUMMYFUNCTION("IFERROR(QUERY(Steps!$A$16:$FZ995, ""Select "" &amp; SUBSTITUTE(ADDRESS(1,MATCH(""uc_Stream9PN"", Steps!$A$15:$FZ$15, 0),4),1,"""") &amp; "" where "" &amp; SUBSTITUTE(ADDRESS(1,MATCH(""uc_StepNumber"", Steps!$A$15:$FZ$15, 0),4),1,"""") &amp; ""= "" &amp; $A144 ))"),"")</f>
        <v/>
      </c>
      <c r="P144" s="75" t="str">
        <f>IFERROR(__xludf.DUMMYFUNCTION("IFERROR(QUERY(Steps!$A$16:$FZ995, ""Select "" &amp; SUBSTITUTE(ADDRESS(1,MATCH(""uc_Stream10PN"", Steps!$A$15:$FZ$15, 0),4),1,"""") &amp; "" where "" &amp; SUBSTITUTE(ADDRESS(1,MATCH(""uc_StepNumber"", Steps!$A$15:$FZ$15, 0),4),1,"""") &amp; ""= "" &amp; $A144 ))"),"")</f>
        <v/>
      </c>
      <c r="Q144" s="46">
        <f>IFERROR(__xludf.DUMMYFUNCTION("IFERROR(QUERY(Steps!$A$16:$FZ995, ""Select "" &amp; SUBSTITUTE(ADDRESS(1,MATCH(""uc_FlowGPM"", Steps!$A$15:$FZ$15, 0),4),1,"""") &amp; "" where "" &amp; SUBSTITUTE(ADDRESS(1,MATCH(""uc_StepNumber"", Steps!$A$15:$FZ$15, 0),4),1,"""") &amp; ""= "" &amp; $A144 ))"),1534.4)</f>
        <v>1534.4</v>
      </c>
      <c r="R144" s="46">
        <f>IFERROR(__xludf.DUMMYFUNCTION("IFERROR(QUERY(Steps!$A$16:$FZ995, ""Select "" &amp; SUBSTITUTE(ADDRESS(1,MATCH(""uc_PercentRatedCapacity"", Steps!$A$15:$FZ$15, 0),4),1,"""") &amp; "" where "" &amp; SUBSTITUTE(ADDRESS(1,MATCH(""uc_StepNumber"", Steps!$A$15:$FZ$15, 0),4),1,"""") &amp; ""= "" &amp; $A144 ))"),153.4)</f>
        <v>153.4</v>
      </c>
      <c r="S144" s="63">
        <f>IFERROR(__xludf.DUMMYFUNCTION("IFERROR(QUERY(Steps!$A$16:$FZ995, ""Select "" &amp; SUBSTITUTE(ADDRESS(1,MATCH(""uc_VoltsLeg1"", Steps!$A$15:$FZ$15, 0),4),1,"""") &amp; "" where "" &amp; SUBSTITUTE(ADDRESS(1,MATCH(""uc_StepNumber"", Steps!$A$15:$FZ$15, 0),4),1,"""") &amp; ""= "" &amp; $A144 ))"),483.0)</f>
        <v>483</v>
      </c>
      <c r="T144" s="63">
        <f>IFERROR(__xludf.DUMMYFUNCTION("IFERROR(QUERY(Steps!$A$16:$FZ995, ""Select "" &amp; SUBSTITUTE(ADDRESS(1,MATCH(""uc_AmpsLeg1"", Steps!$A$15:$FZ$15, 0),4),1,"""") &amp; "" where "" &amp; SUBSTITUTE(ADDRESS(1,MATCH(""uc_StepNumber"", Steps!$A$15:$FZ$15, 0),4),1,"""") &amp; ""= "" &amp; $A144 ))"),94.0)</f>
        <v>94</v>
      </c>
      <c r="U144" s="46">
        <f>IFERROR(__xludf.DUMMYFUNCTION("IFERROR(QUERY(Steps!$A$16:$FZ995, ""Select "" &amp; SUBSTITUTE(ADDRESS(1,MATCH(""uc_CorrectedFlowPercent"", Steps!$A$15:$FZ$15, 0),4),1,"""") &amp; "" where "" &amp; SUBSTITUTE(ADDRESS(1,MATCH(""uc_StepNumber"", Steps!$A$15:$FZ$15, 0),4),1,"""") &amp; ""= "" &amp; $A144 ))"),150.7)</f>
        <v>150.7</v>
      </c>
      <c r="V144" s="64">
        <f>IFERROR(__xludf.DUMMYFUNCTION("IFERROR(QUERY(Steps!$A$16:$FZ995, ""Select "" &amp; SUBSTITUTE(ADDRESS(1,MATCH(""uc_CorrectedPressure"", Steps!$A$15:$FZ$15, 0),4),1,"""") &amp; "" where "" &amp; SUBSTITUTE(ADDRESS(1,MATCH(""uc_StepNumber"", Steps!$A$15:$FZ$15, 0),4),1,"""") &amp; ""= "" &amp; $A144 ))"),62.7)</f>
        <v>62.7</v>
      </c>
    </row>
    <row r="145">
      <c r="A145" s="66"/>
      <c r="B145" s="66"/>
      <c r="C145" s="50"/>
      <c r="D145" s="50"/>
      <c r="E145" s="50"/>
      <c r="F145" s="51" t="s">
        <v>93</v>
      </c>
      <c r="G145" s="52">
        <f>IFERROR(__xludf.DUMMYFUNCTION("IFERROR(QUERY(Steps!$A$16:$FZ995, ""Select "" &amp; SUBSTITUTE(ADDRESS(1,MATCH(""uc_Stream1PSI"", Steps!$A$15:$FZ$15, 0),4),1,"""") &amp; "" where "" &amp; SUBSTITUTE(ADDRESS(1,MATCH(""uc_StepNumber"", Steps!$A$15:$FZ$15, 0),4),1,"""") &amp; ""  = "" &amp; $A144 ))"),32.0)</f>
        <v>32</v>
      </c>
      <c r="H145" s="52">
        <f>IFERROR(__xludf.DUMMYFUNCTION("IFERROR(QUERY(Steps!$A$16:$FZ995, ""Select "" &amp; SUBSTITUTE(ADDRESS(1,MATCH(""uc_Stream2PSI"", Steps!$A$15:$FZ$15, 0),4),1,"""") &amp; "" where "" &amp; SUBSTITUTE(ADDRESS(1,MATCH(""uc_StepNumber"", Steps!$A$15:$FZ$15, 0),4),1,"""") &amp; ""  = "" &amp; $A144 ))"),33.0)</f>
        <v>33</v>
      </c>
      <c r="I145" s="52">
        <f>IFERROR(__xludf.DUMMYFUNCTION("IFERROR(QUERY(Steps!$A$16:$FZ995, ""Select "" &amp; SUBSTITUTE(ADDRESS(1,MATCH(""uc_Stream3PSI"", Steps!$A$15:$FZ$15, 0),4),1,"""") &amp; "" where "" &amp; SUBSTITUTE(ADDRESS(1,MATCH(""uc_StepNumber"", Steps!$A$15:$FZ$15, 0),4),1,"""") &amp; ""  = "" &amp; $A144 ))"),34.0)</f>
        <v>34</v>
      </c>
      <c r="J145" s="53" t="str">
        <f>IFERROR(__xludf.DUMMYFUNCTION("IFERROR(QUERY(Steps!$A$16:$FZ995, ""Select "" &amp; SUBSTITUTE(ADDRESS(1,MATCH(""uc_Stream4PSI"", Steps!$A$15:$FZ$15, 0),4),1,"""") &amp; "" where "" &amp; SUBSTITUTE(ADDRESS(1,MATCH(""uc_StepNumber"", Steps!$A$15:$FZ$15, 0),4),1,"""") &amp; ""  = "" &amp; $A144 ))"),"")</f>
        <v/>
      </c>
      <c r="K145" s="53" t="str">
        <f>IFERROR(__xludf.DUMMYFUNCTION("IFERROR(QUERY(Steps!$A$16:$FZ995, ""Select "" &amp; SUBSTITUTE(ADDRESS(1,MATCH(""uc_Stream5PSI"", Steps!$A$15:$FZ$15, 0),4),1,"""") &amp; "" where "" &amp; SUBSTITUTE(ADDRESS(1,MATCH(""uc_StepNumber"", Steps!$A$15:$FZ$15, 0),4),1,"""") &amp; ""  = "" &amp; $A144 ))"),"")</f>
        <v/>
      </c>
      <c r="L145" s="53" t="str">
        <f>IFERROR(__xludf.DUMMYFUNCTION("IFERROR(QUERY(Steps!$A$16:$FZ995, ""Select "" &amp; SUBSTITUTE(ADDRESS(1,MATCH(""uc_Stream6PSI"", Steps!$A$15:$FZ$15, 0),4),1,"""") &amp; "" where "" &amp; SUBSTITUTE(ADDRESS(1,MATCH(""uc_StepNumber"", Steps!$A$15:$FZ$15, 0),4),1,"""") &amp; ""= "" &amp; $A144 ))"),"")</f>
        <v/>
      </c>
      <c r="M145" s="53" t="str">
        <f>IFERROR(__xludf.DUMMYFUNCTION("IFERROR(QUERY(Steps!$A$16:$FZ995, ""Select "" &amp; SUBSTITUTE(ADDRESS(1,MATCH(""uc_Stream7PSI"", Steps!$A$15:$FZ$15, 0),4),1,"""") &amp; "" where "" &amp; SUBSTITUTE(ADDRESS(1,MATCH(""uc_StepNumber"", Steps!$A$15:$FZ$15, 0),4),1,"""") &amp; "" = "" &amp; $A144 ))"),"")</f>
        <v/>
      </c>
      <c r="N145" s="53" t="str">
        <f>IFERROR(__xludf.DUMMYFUNCTION("IFERROR(QUERY(Steps!$A$16:$FZ995, ""Select "" &amp; SUBSTITUTE(ADDRESS(1,MATCH(""uc_Stream8PSI"", Steps!$A$15:$FZ$15, 0),4),1,"""") &amp; "" where "" &amp; SUBSTITUTE(ADDRESS(1,MATCH(""uc_StepNumber"", Steps!$A$15:$FZ$15, 0),4),1,"""") &amp; ""= "" &amp; $A144 ))"),"")</f>
        <v/>
      </c>
      <c r="O145" s="53" t="str">
        <f>IFERROR(__xludf.DUMMYFUNCTION("IFERROR(QUERY(Steps!$A$16:$FZ995, ""Select "" &amp; SUBSTITUTE(ADDRESS(1,MATCH(""uc_Stream9PSI"", Steps!$A$15:$FZ$15, 0),4),1,"""") &amp; "" where "" &amp; SUBSTITUTE(ADDRESS(1,MATCH(""uc_StepNumber"", Steps!$A$15:$FZ$15, 0),4),1,"""") &amp; ""= "" &amp; $A144 ))"),"")</f>
        <v/>
      </c>
      <c r="P145" s="53" t="str">
        <f>IFERROR(__xludf.DUMMYFUNCTION("IFERROR(QUERY(Steps!$A$16:$FZ995, ""Select "" &amp; SUBSTITUTE(ADDRESS(1,MATCH(""uc_Stream10PSI"", Steps!$A$15:$FZ$15, 0),4),1,"""") &amp; "" where "" &amp; SUBSTITUTE(ADDRESS(1,MATCH(""uc_StepNumber"", Steps!$A$15:$FZ$15, 0),4),1,"""") &amp; ""= "" &amp; $A144 ))"),"")</f>
        <v/>
      </c>
      <c r="Q145" s="50"/>
      <c r="R145" s="50"/>
      <c r="S145" s="47">
        <f>IFERROR(__xludf.DUMMYFUNCTION("IFERROR(QUERY(Steps!$A$16:$FZ995, ""Select "" &amp; SUBSTITUTE(ADDRESS(1,MATCH(""uc_VoltsLeg2"", Steps!$A$15:$FZ$15, 0),4),1,"""") &amp; "" where "" &amp; SUBSTITUTE(ADDRESS(1,MATCH(""uc_StepNumber"", Steps!$A$15:$FZ$15, 0),4),1,"""") &amp; ""= "" &amp; $A144 ))"),487.0)</f>
        <v>487</v>
      </c>
      <c r="T145" s="47">
        <f>IFERROR(__xludf.DUMMYFUNCTION("IFERROR(QUERY(Steps!$A$16:$FZ995, ""Select "" &amp; SUBSTITUTE(ADDRESS(1,MATCH(""uc_AmpsLeg2"", Steps!$A$15:$FZ$15, 0),4),1,"""") &amp; "" where "" &amp; SUBSTITUTE(ADDRESS(1,MATCH(""uc_StepNumber"", Steps!$A$15:$FZ$15, 0),4),1,"""") &amp; ""= "" &amp; $A144 ))"),98.0)</f>
        <v>98</v>
      </c>
      <c r="U145" s="50"/>
      <c r="V145" s="67"/>
    </row>
    <row r="146">
      <c r="A146" s="69"/>
      <c r="B146" s="69"/>
      <c r="C146" s="56"/>
      <c r="D146" s="56"/>
      <c r="E146" s="56"/>
      <c r="F146" s="70" t="s">
        <v>94</v>
      </c>
      <c r="G146" s="71">
        <f>IFERROR(__xludf.DUMMYFUNCTION("IFERROR(QUERY(Steps!$A$16:$FZ995, ""Select "" &amp; SUBSTITUTE(ADDRESS(1,MATCH(""uc_Stream1GPM"", Steps!$A$15:$FZ$15, 0),4),1,"""") &amp; "" where "" &amp; SUBSTITUTE(ADDRESS(1,MATCH(""uc_StepNumber"", Steps!$A$15:$FZ$15, 0),4),1,"""") &amp; ""  = "" &amp; $A144 ))"),503.7)</f>
        <v>503.7</v>
      </c>
      <c r="H146" s="71">
        <f>IFERROR(__xludf.DUMMYFUNCTION("IFERROR(QUERY(Steps!$A$16:$FZ995, ""Select "" &amp; SUBSTITUTE(ADDRESS(1,MATCH(""uc_Stream2GPM"", Steps!$A$15:$FZ$15, 0),4),1,"""") &amp; "" where "" &amp; SUBSTITUTE(ADDRESS(1,MATCH(""uc_StepNumber"", Steps!$A$15:$FZ$15, 0),4),1,"""") &amp; ""  = "" &amp; $A144 ))"),511.5)</f>
        <v>511.5</v>
      </c>
      <c r="I146" s="71">
        <f>IFERROR(__xludf.DUMMYFUNCTION("IFERROR(QUERY(Steps!$A$16:$FZ995, ""Select "" &amp; SUBSTITUTE(ADDRESS(1,MATCH(""uc_Stream3GPM"", Steps!$A$15:$FZ$15, 0),4),1,"""") &amp; "" where "" &amp; SUBSTITUTE(ADDRESS(1,MATCH(""uc_StepNumber"", Steps!$A$15:$FZ$15, 0),4),1,"""") &amp; ""  = "" &amp; $A144 ))"),519.2)</f>
        <v>519.2</v>
      </c>
      <c r="J146" s="71" t="str">
        <f>IFERROR(__xludf.DUMMYFUNCTION("IFERROR(QUERY(Steps!$A$16:$FZ995, ""Select "" &amp; SUBSTITUTE(ADDRESS(1,MATCH(""uc_Stream4GPM"", Steps!$A$15:$FZ$15, 0),4),1,"""") &amp; "" where "" &amp; SUBSTITUTE(ADDRESS(1,MATCH(""uc_StepNumber"", Steps!$A$15:$FZ$15, 0),4),1,"""") &amp; ""  = "" &amp; $A144 ))"),"")</f>
        <v/>
      </c>
      <c r="K146" s="71" t="str">
        <f>IFERROR(__xludf.DUMMYFUNCTION("IFERROR(QUERY(Steps!$A$16:$FZ995, ""Select "" &amp; SUBSTITUTE(ADDRESS(1,MATCH(""uc_Stream5GPM"", Steps!$A$15:$FZ$15, 0),4),1,"""") &amp; "" where "" &amp; SUBSTITUTE(ADDRESS(1,MATCH(""uc_StepNumber"", Steps!$A$15:$FZ$15, 0),4),1,"""") &amp; ""  = "" &amp; $A144 ))"),"")</f>
        <v/>
      </c>
      <c r="L146" s="71" t="str">
        <f>IFERROR(__xludf.DUMMYFUNCTION("IFERROR(QUERY(Steps!$A$16:$FZ995, ""Select "" &amp; SUBSTITUTE(ADDRESS(1,MATCH(""uc_Stream6GPM"", Steps!$A$15:$FZ$15, 0),4),1,"""") &amp; "" where "" &amp; SUBSTITUTE(ADDRESS(1,MATCH(""uc_StepNumber"", Steps!$A$15:$FZ$15, 0),4),1,"""") &amp; ""= "" &amp; $A144 ))"),"")</f>
        <v/>
      </c>
      <c r="M146" s="71" t="str">
        <f>IFERROR(__xludf.DUMMYFUNCTION("IFERROR(QUERY(Steps!$A$16:$FZ995, ""Select "" &amp; SUBSTITUTE(ADDRESS(1,MATCH(""uc_Stream7GPM"", Steps!$A$15:$FZ$15, 0),4),1,"""") &amp; "" where "" &amp; SUBSTITUTE(ADDRESS(1,MATCH(""uc_StepNumber"", Steps!$A$15:$FZ$15, 0),4),1,"""") &amp; "" = "" &amp; $A144 ))"),"")</f>
        <v/>
      </c>
      <c r="N146" s="71" t="str">
        <f>IFERROR(__xludf.DUMMYFUNCTION("IFERROR(QUERY(Steps!$A$16:$FZ995, ""Select "" &amp; SUBSTITUTE(ADDRESS(1,MATCH(""uc_Stream8GPM"", Steps!$A$15:$FZ$15, 0),4),1,"""") &amp; "" where "" &amp; SUBSTITUTE(ADDRESS(1,MATCH(""uc_StepNumber"", Steps!$A$15:$FZ$15, 0),4),1,"""") &amp; ""= "" &amp; $A144 ))"),"")</f>
        <v/>
      </c>
      <c r="O146" s="71" t="str">
        <f>IFERROR(__xludf.DUMMYFUNCTION("IFERROR(QUERY(Steps!$A$16:$FZ995, ""Select "" &amp; SUBSTITUTE(ADDRESS(1,MATCH(""uc_Stream9GPM"", Steps!$A$15:$FZ$15, 0),4),1,"""") &amp; "" where "" &amp; SUBSTITUTE(ADDRESS(1,MATCH(""uc_StepNumber"", Steps!$A$15:$FZ$15, 0),4),1,"""") &amp; ""= "" &amp; $A144 ))"),"")</f>
        <v/>
      </c>
      <c r="P146" s="71" t="str">
        <f>IFERROR(__xludf.DUMMYFUNCTION("IFERROR(QUERY(Steps!$A$16:$FZ995, ""Select "" &amp; SUBSTITUTE(ADDRESS(1,MATCH(""uc_Stream10GPM"", Steps!$A$15:$FZ$15, 0),4),1,"""") &amp; "" where "" &amp; SUBSTITUTE(ADDRESS(1,MATCH(""uc_StepNumber"", Steps!$A$15:$FZ$15, 0),4),1,"""") &amp; ""= "" &amp; $A144 ))"),"")</f>
        <v/>
      </c>
      <c r="Q146" s="56"/>
      <c r="R146" s="56"/>
      <c r="S146" s="72">
        <f>IFERROR(__xludf.DUMMYFUNCTION("IFERROR(QUERY(Steps!$A$16:$FZ995, ""Select "" &amp; SUBSTITUTE(ADDRESS(1,MATCH(""uc_VoltsLeg3"", Steps!$A$15:$FZ$15, 0),4),1,"""") &amp; "" where "" &amp; SUBSTITUTE(ADDRESS(1,MATCH(""uc_StepNumber"", Steps!$A$15:$FZ$15, 0),4),1,"""") &amp; ""= "" &amp; $A144 ))"),485.0)</f>
        <v>485</v>
      </c>
      <c r="T146" s="72">
        <f>IFERROR(__xludf.DUMMYFUNCTION("IFERROR(QUERY(Steps!$A$16:$FZ995, ""Select "" &amp; SUBSTITUTE(ADDRESS(1,MATCH(""uc_AmpsLeg3"", Steps!$A$15:$FZ$15, 0),4),1,"""") &amp; "" where "" &amp; SUBSTITUTE(ADDRESS(1,MATCH(""uc_StepNumber"", Steps!$A$15:$FZ$15, 0),4),1,"""") &amp; ""= "" &amp; $A144 ))"),100.0)</f>
        <v>100</v>
      </c>
      <c r="U146" s="56"/>
      <c r="V146" s="73"/>
    </row>
    <row r="147">
      <c r="A147" s="74">
        <v>7.0</v>
      </c>
      <c r="B147" s="61" t="str">
        <f>IFERROR(__xludf.DUMMYFUNCTION("iferror(QUERY(Steps!$A$16:$FZ995, ""Select "" &amp; SUBSTITUTE(ADDRESS(1,MATCH(""uc_RPM"", Steps!$A$15:$FZ$15, 0),4),1,"""") &amp; "" where "" &amp; SUBSTITUTE(ADDRESS(1,MATCH(""uc_StepNumber"", Steps!$A$15:$FZ$15, 0),4),1,"""") &amp; "" = "" &amp; $A147 ))"),"")</f>
        <v/>
      </c>
      <c r="C147" s="41" t="str">
        <f>IFERROR(__xludf.DUMMYFUNCTION("iferror(QUERY(Steps!$A$16:$FZ995, ""Select "" &amp; SUBSTITUTE(ADDRESS(1,MATCH(""uc_Discharge"", Steps!$A$15:$FZ$15, 0),4),1,"""") &amp; "" where "" &amp; SUBSTITUTE(ADDRESS(1,MATCH(""uc_StepNumber"", Steps!$A$15:$FZ$15, 0),4),1,"""") &amp; ""  = "" &amp; $A147 ))"),"")</f>
        <v/>
      </c>
      <c r="D147" s="41" t="str">
        <f>IFERROR(__xludf.DUMMYFUNCTION("iferror(QUERY(Steps!$A$16:$FZ995, ""Select "" &amp; SUBSTITUTE(ADDRESS(1,MATCH(""uc_Suction"", Steps!$A$15:$FZ$15, 0),4),1,"""") &amp; "" where "" &amp; SUBSTITUTE(ADDRESS(1,MATCH(""uc_StepNumber"", Steps!$A$15:$FZ$15, 0),4),1,"""") &amp; ""  = "" &amp; $A147 ))"),"")</f>
        <v/>
      </c>
      <c r="E147" s="46" t="str">
        <f>IFERROR(__xludf.DUMMYFUNCTION("iferror(QUERY(Steps!$A$16:$FZ995, ""Select "" &amp; SUBSTITUTE(ADDRESS(1,MATCH(""uc_NET"", Steps!$A$15:$FZ$15, 0),4),1,"""") &amp; "" where "" &amp; SUBSTITUTE(ADDRESS(1,MATCH(""uc_StepNumber"", Steps!$A$15:$FZ$15, 0),4),1,"""") &amp; ""  = "" &amp; $A147 ))"),"")</f>
        <v/>
      </c>
      <c r="F147" s="43" t="s">
        <v>92</v>
      </c>
      <c r="G147" s="62" t="str">
        <f>IFERROR(__xludf.DUMMYFUNCTION("iferror(QUERY(Steps!$A$16:$FZ995, ""Select "" &amp; SUBSTITUTE(ADDRESS(1,MATCH(""uc_Stream1PN"", Steps!$A$15:$FZ$15, 0),4),1,"""") &amp; "" where "" &amp; SUBSTITUTE(ADDRESS(1,MATCH(""uc_StepNumber"", Steps!$A$15:$FZ$15, 0),4),1,"""") &amp; ""  = "" &amp; $A147 ))"),"")</f>
        <v/>
      </c>
      <c r="H147" s="75" t="str">
        <f>IFERROR(__xludf.DUMMYFUNCTION("iferror(QUERY(Steps!$A$16:$FZ995, ""Select "" &amp; SUBSTITUTE(ADDRESS(1,MATCH(""uc_Stream2PN"", Steps!$A$15:$FZ$15, 0),4),1,"""") &amp; "" where "" &amp; SUBSTITUTE(ADDRESS(1,MATCH(""uc_StepNumber"", Steps!$A$15:$FZ$15, 0),4),1,"""") &amp; ""  = "" &amp; $A147 ))"),"")</f>
        <v/>
      </c>
      <c r="I147" s="45" t="str">
        <f>IFERROR(__xludf.DUMMYFUNCTION("iferror(QUERY(Steps!$A$16:$FZ995, ""Select `"" &amp; SUBSTITUTE(ADDRESS(1,MATCH(""uc_Stream3PN"", Steps!$A$15:$FZ$15, 0),4),1,"""") &amp; ""` where "" &amp; SUBSTITUTE(ADDRESS(1,MATCH(""uc_StepNumber"", Steps!$A$15:$FZ$15, 0),4),1,"""") &amp; ""  = "" &amp; $A147 ))"),"")</f>
        <v/>
      </c>
      <c r="J147" s="75" t="str">
        <f>IFERROR(__xludf.DUMMYFUNCTION("iferror(QUERY(Steps!$A$16:$FZ995, ""Select "" &amp; SUBSTITUTE(ADDRESS(1,MATCH(""uc_Stream4PN"", Steps!$A$15:$FZ$15, 0),4),1,"""") &amp; "" where "" &amp; SUBSTITUTE(ADDRESS(1,MATCH(""uc_StepNumber"", Steps!$A$15:$FZ$15, 0),4),1,"""") &amp; ""  = "" &amp; $A147 ))"),"")</f>
        <v/>
      </c>
      <c r="K147" s="75" t="str">
        <f>IFERROR(__xludf.DUMMYFUNCTION("IFERROR(QUERY(Steps!$A$16:$FZ995, ""Select "" &amp; SUBSTITUTE(ADDRESS(1,MATCH(""uc_Stream5PN"", Steps!$A$15:$FZ$15, 0),4),1,"""") &amp; "" where "" &amp; SUBSTITUTE(ADDRESS(1,MATCH(""uc_StepNumber"", Steps!$A$15:$FZ$15, 0),4),1,"""") &amp; ""  = "" &amp; $A147 ))"),"")</f>
        <v/>
      </c>
      <c r="L147" s="75" t="str">
        <f>IFERROR(__xludf.DUMMYFUNCTION("IFERROR(QUERY(Steps!$A$16:$FZ995, ""Select "" &amp; SUBSTITUTE(ADDRESS(1,MATCH(""uc_Stream6PN"", Steps!$A$15:$FZ$15, 0),4),1,"""") &amp; "" where "" &amp; SUBSTITUTE(ADDRESS(1,MATCH(""uc_StepNumber"", Steps!$A$15:$FZ$15, 0),4),1,"""") &amp; ""= "" &amp; $A147 ))"),"")</f>
        <v/>
      </c>
      <c r="M147" s="75" t="str">
        <f>IFERROR(__xludf.DUMMYFUNCTION("IFERROR(QUERY(Steps!$A$16:$FZ995, ""Select "" &amp; SUBSTITUTE(ADDRESS(1,MATCH(""uc_Stream7PN"", Steps!$A$15:$FZ$15, 0),4),1,"""") &amp; "" where "" &amp; SUBSTITUTE(ADDRESS(1,MATCH(""uc_StepNumber"", Steps!$A$15:$FZ$15, 0),4),1,"""") &amp; ""= "" &amp; $A147 ))"),"")</f>
        <v/>
      </c>
      <c r="N147" s="75" t="str">
        <f>IFERROR(__xludf.DUMMYFUNCTION("IFERROR(QUERY(Steps!$A$16:$FZ995, ""Select "" &amp; SUBSTITUTE(ADDRESS(1,MATCH(""uc_Stream8PN"", Steps!$A$15:$FZ$15, 0),4),1,"""") &amp; "" where "" &amp; SUBSTITUTE(ADDRESS(1,MATCH(""uc_StepNumber"", Steps!$A$15:$FZ$15, 0),4),1,"""") &amp; "" = "" &amp; $A147 ))"),"")</f>
        <v/>
      </c>
      <c r="O147" s="75" t="str">
        <f>IFERROR(__xludf.DUMMYFUNCTION("IFERROR(QUERY(Steps!$A$16:$FZ995, ""Select "" &amp; SUBSTITUTE(ADDRESS(1,MATCH(""uc_Stream9PN"", Steps!$A$15:$FZ$15, 0),4),1,"""") &amp; "" where "" &amp; SUBSTITUTE(ADDRESS(1,MATCH(""uc_StepNumber"", Steps!$A$15:$FZ$15, 0),4),1,"""") &amp; ""= "" &amp; $A147 ))"),"")</f>
        <v/>
      </c>
      <c r="P147" s="75" t="str">
        <f>IFERROR(__xludf.DUMMYFUNCTION("IFERROR(QUERY(Steps!$A$16:$FZ995, ""Select "" &amp; SUBSTITUTE(ADDRESS(1,MATCH(""uc_Stream10PN"", Steps!$A$15:$FZ$15, 0),4),1,"""") &amp; "" where "" &amp; SUBSTITUTE(ADDRESS(1,MATCH(""uc_StepNumber"", Steps!$A$15:$FZ$15, 0),4),1,"""") &amp; ""= "" &amp; $A147 ))"),"")</f>
        <v/>
      </c>
      <c r="Q147" s="46" t="str">
        <f>IFERROR(__xludf.DUMMYFUNCTION("IFERROR(QUERY(Steps!$A$16:$FZ995, ""Select "" &amp; SUBSTITUTE(ADDRESS(1,MATCH(""uc_FlowGPM"", Steps!$A$15:$FZ$15, 0),4),1,"""") &amp; "" where "" &amp; SUBSTITUTE(ADDRESS(1,MATCH(""uc_StepNumber"", Steps!$A$15:$FZ$15, 0),4),1,"""") &amp; ""= "" &amp; $A147 ))"),"")</f>
        <v/>
      </c>
      <c r="R147" s="46" t="str">
        <f>IFERROR(__xludf.DUMMYFUNCTION("IFERROR(QUERY(Steps!$A$16:$FZ995, ""Select "" &amp; SUBSTITUTE(ADDRESS(1,MATCH(""uc_PercentRatedCapacity"", Steps!$A$15:$FZ$15, 0),4),1,"""") &amp; "" where "" &amp; SUBSTITUTE(ADDRESS(1,MATCH(""uc_StepNumber"", Steps!$A$15:$FZ$15, 0),4),1,"""") &amp; ""= "" &amp; $A147 ))"),"")</f>
        <v/>
      </c>
      <c r="S147" s="63" t="str">
        <f>IFERROR(__xludf.DUMMYFUNCTION("IFERROR(QUERY(Steps!$A$16:$FZ995, ""Select "" &amp; SUBSTITUTE(ADDRESS(1,MATCH(""uc_VoltsLeg1"", Steps!$A$15:$FZ$15, 0),4),1,"""") &amp; "" where "" &amp; SUBSTITUTE(ADDRESS(1,MATCH(""uc_StepNumber"", Steps!$A$15:$FZ$15, 0),4),1,"""") &amp; ""= "" &amp; $A147 ))"),"")</f>
        <v/>
      </c>
      <c r="T147" s="63" t="str">
        <f>IFERROR(__xludf.DUMMYFUNCTION("IFERROR(QUERY(Steps!$A$16:$FZ995, ""Select "" &amp; SUBSTITUTE(ADDRESS(1,MATCH(""uc_AmpsLeg1"", Steps!$A$15:$FZ$15, 0),4),1,"""") &amp; "" where "" &amp; SUBSTITUTE(ADDRESS(1,MATCH(""uc_StepNumber"", Steps!$A$15:$FZ$15, 0),4),1,"""") &amp; ""= "" &amp; $A147 ))"),"")</f>
        <v/>
      </c>
      <c r="U147" s="46" t="str">
        <f>IFERROR(__xludf.DUMMYFUNCTION("IFERROR(QUERY(Steps!$A$16:$FZ995, ""Select "" &amp; SUBSTITUTE(ADDRESS(1,MATCH(""uc_CorrectedFlowPercent"", Steps!$A$15:$FZ$15, 0),4),1,"""") &amp; "" where "" &amp; SUBSTITUTE(ADDRESS(1,MATCH(""uc_StepNumber"", Steps!$A$15:$FZ$15, 0),4),1,"""") &amp; ""= "" &amp; $A147 ))"),"")</f>
        <v/>
      </c>
      <c r="V147" s="64" t="str">
        <f>IFERROR(__xludf.DUMMYFUNCTION("IFERROR(QUERY(Steps!$A$16:$FZ995, ""Select "" &amp; SUBSTITUTE(ADDRESS(1,MATCH(""uc_CorrectedPressure"", Steps!$A$15:$FZ$15, 0),4),1,"""") &amp; "" where "" &amp; SUBSTITUTE(ADDRESS(1,MATCH(""uc_StepNumber"", Steps!$A$15:$FZ$15, 0),4),1,"""") &amp; ""= "" &amp; $A147 ))"),"")</f>
        <v/>
      </c>
    </row>
    <row r="148">
      <c r="A148" s="66"/>
      <c r="B148" s="66"/>
      <c r="C148" s="50"/>
      <c r="D148" s="50"/>
      <c r="E148" s="50"/>
      <c r="F148" s="51" t="s">
        <v>93</v>
      </c>
      <c r="G148" s="52" t="str">
        <f>IFERROR(__xludf.DUMMYFUNCTION("IFERROR(QUERY(Steps!$A$16:$FZ995, ""Select "" &amp; SUBSTITUTE(ADDRESS(1,MATCH(""uc_Stream1PSI"", Steps!$A$15:$FZ$15, 0),4),1,"""") &amp; "" where "" &amp; SUBSTITUTE(ADDRESS(1,MATCH(""uc_StepNumber"", Steps!$A$15:$FZ$15, 0),4),1,"""") &amp; ""  = "" &amp; $A147 ))"),"")</f>
        <v/>
      </c>
      <c r="H148" s="52" t="str">
        <f>IFERROR(__xludf.DUMMYFUNCTION("IFERROR(QUERY(Steps!$A$16:$FZ995, ""Select "" &amp; SUBSTITUTE(ADDRESS(1,MATCH(""uc_Stream2PSI"", Steps!$A$15:$FZ$15, 0),4),1,"""") &amp; "" where "" &amp; SUBSTITUTE(ADDRESS(1,MATCH(""uc_StepNumber"", Steps!$A$15:$FZ$15, 0),4),1,"""") &amp; ""  = "" &amp; $A147 ))"),"")</f>
        <v/>
      </c>
      <c r="I148" s="52" t="str">
        <f>IFERROR(__xludf.DUMMYFUNCTION("IFERROR(QUERY(Steps!$A$16:$FZ995, ""Select "" &amp; SUBSTITUTE(ADDRESS(1,MATCH(""uc_Stream3PSI"", Steps!$A$15:$FZ$15, 0),4),1,"""") &amp; "" where "" &amp; SUBSTITUTE(ADDRESS(1,MATCH(""uc_StepNumber"", Steps!$A$15:$FZ$15, 0),4),1,"""") &amp; ""  = "" &amp; $A147 ))"),"")</f>
        <v/>
      </c>
      <c r="J148" s="53" t="str">
        <f>IFERROR(__xludf.DUMMYFUNCTION("IFERROR(QUERY(Steps!$A$16:$FZ995, ""Select "" &amp; SUBSTITUTE(ADDRESS(1,MATCH(""uc_Stream4PSI"", Steps!$A$15:$FZ$15, 0),4),1,"""") &amp; "" where "" &amp; SUBSTITUTE(ADDRESS(1,MATCH(""uc_StepNumber"", Steps!$A$15:$FZ$15, 0),4),1,"""") &amp; ""  = "" &amp; $A147 ))"),"")</f>
        <v/>
      </c>
      <c r="K148" s="53" t="str">
        <f>IFERROR(__xludf.DUMMYFUNCTION("IFERROR(QUERY(Steps!$A$16:$FZ995, ""Select "" &amp; SUBSTITUTE(ADDRESS(1,MATCH(""uc_Stream5PSI"", Steps!$A$15:$FZ$15, 0),4),1,"""") &amp; "" where "" &amp; SUBSTITUTE(ADDRESS(1,MATCH(""uc_StepNumber"", Steps!$A$15:$FZ$15, 0),4),1,"""") &amp; ""  = "" &amp; $A147 ))"),"")</f>
        <v/>
      </c>
      <c r="L148" s="53" t="str">
        <f>IFERROR(__xludf.DUMMYFUNCTION("IFERROR(QUERY(Steps!$A$16:$FZ995, ""Select "" &amp; SUBSTITUTE(ADDRESS(1,MATCH(""uc_Stream6PSI"", Steps!$A$15:$FZ$15, 0),4),1,"""") &amp; "" where "" &amp; SUBSTITUTE(ADDRESS(1,MATCH(""uc_StepNumber"", Steps!$A$15:$FZ$15, 0),4),1,"""") &amp; ""= "" &amp; $A147 ))"),"")</f>
        <v/>
      </c>
      <c r="M148" s="53" t="str">
        <f>IFERROR(__xludf.DUMMYFUNCTION("IFERROR(QUERY(Steps!$A$16:$FZ995, ""Select "" &amp; SUBSTITUTE(ADDRESS(1,MATCH(""uc_Stream7PSI"", Steps!$A$15:$FZ$15, 0),4),1,"""") &amp; "" where "" &amp; SUBSTITUTE(ADDRESS(1,MATCH(""uc_StepNumber"", Steps!$A$15:$FZ$15, 0),4),1,"""") &amp; "" = "" &amp; $A147 ))"),"")</f>
        <v/>
      </c>
      <c r="N148" s="53" t="str">
        <f>IFERROR(__xludf.DUMMYFUNCTION("IFERROR(QUERY(Steps!$A$16:$FZ995, ""Select "" &amp; SUBSTITUTE(ADDRESS(1,MATCH(""uc_Stream8PSI"", Steps!$A$15:$FZ$15, 0),4),1,"""") &amp; "" where "" &amp; SUBSTITUTE(ADDRESS(1,MATCH(""uc_StepNumber"", Steps!$A$15:$FZ$15, 0),4),1,"""") &amp; ""= "" &amp; $A147 ))"),"")</f>
        <v/>
      </c>
      <c r="O148" s="53" t="str">
        <f>IFERROR(__xludf.DUMMYFUNCTION("IFERROR(QUERY(Steps!$A$16:$FZ995, ""Select "" &amp; SUBSTITUTE(ADDRESS(1,MATCH(""uc_Stream9PSI"", Steps!$A$15:$FZ$15, 0),4),1,"""") &amp; "" where "" &amp; SUBSTITUTE(ADDRESS(1,MATCH(""uc_StepNumber"", Steps!$A$15:$FZ$15, 0),4),1,"""") &amp; ""= "" &amp; $A147 ))"),"")</f>
        <v/>
      </c>
      <c r="P148" s="53" t="str">
        <f>IFERROR(__xludf.DUMMYFUNCTION("IFERROR(QUERY(Steps!$A$16:$FZ995, ""Select "" &amp; SUBSTITUTE(ADDRESS(1,MATCH(""uc_Stream10PSI"", Steps!$A$15:$FZ$15, 0),4),1,"""") &amp; "" where "" &amp; SUBSTITUTE(ADDRESS(1,MATCH(""uc_StepNumber"", Steps!$A$15:$FZ$15, 0),4),1,"""") &amp; ""= "" &amp; $A147 ))"),"")</f>
        <v/>
      </c>
      <c r="Q148" s="50"/>
      <c r="R148" s="50"/>
      <c r="S148" s="47" t="str">
        <f>IFERROR(__xludf.DUMMYFUNCTION("IFERROR(QUERY(Steps!$A$16:$FZ995, ""Select "" &amp; SUBSTITUTE(ADDRESS(1,MATCH(""uc_VoltsLeg2"", Steps!$A$15:$FZ$15, 0),4),1,"""") &amp; "" where "" &amp; SUBSTITUTE(ADDRESS(1,MATCH(""uc_StepNumber"", Steps!$A$15:$FZ$15, 0),4),1,"""") &amp; ""= "" &amp; $A147 ))"),"")</f>
        <v/>
      </c>
      <c r="T148" s="47" t="str">
        <f>IFERROR(__xludf.DUMMYFUNCTION("IFERROR(QUERY(Steps!$A$16:$FZ995, ""Select "" &amp; SUBSTITUTE(ADDRESS(1,MATCH(""uc_AmpsLeg2"", Steps!$A$15:$FZ$15, 0),4),1,"""") &amp; "" where "" &amp; SUBSTITUTE(ADDRESS(1,MATCH(""uc_StepNumber"", Steps!$A$15:$FZ$15, 0),4),1,"""") &amp; ""= "" &amp; $A147 ))"),"")</f>
        <v/>
      </c>
      <c r="U148" s="50"/>
      <c r="V148" s="67"/>
    </row>
    <row r="149">
      <c r="A149" s="69"/>
      <c r="B149" s="69"/>
      <c r="C149" s="56"/>
      <c r="D149" s="56"/>
      <c r="E149" s="56"/>
      <c r="F149" s="70" t="s">
        <v>94</v>
      </c>
      <c r="G149" s="71" t="str">
        <f>IFERROR(__xludf.DUMMYFUNCTION("IFERROR(QUERY(Steps!$A$16:$FZ995, ""Select "" &amp; SUBSTITUTE(ADDRESS(1,MATCH(""uc_Stream1GPM"", Steps!$A$15:$FZ$15, 0),4),1,"""") &amp; "" where "" &amp; SUBSTITUTE(ADDRESS(1,MATCH(""uc_StepNumber"", Steps!$A$15:$FZ$15, 0),4),1,"""") &amp; ""  = "" &amp; $A147 ))"),"")</f>
        <v/>
      </c>
      <c r="H149" s="71" t="str">
        <f>IFERROR(__xludf.DUMMYFUNCTION("IFERROR(QUERY(Steps!$A$16:$FZ995, ""Select "" &amp; SUBSTITUTE(ADDRESS(1,MATCH(""uc_Stream2GPM"", Steps!$A$15:$FZ$15, 0),4),1,"""") &amp; "" where "" &amp; SUBSTITUTE(ADDRESS(1,MATCH(""uc_StepNumber"", Steps!$A$15:$FZ$15, 0),4),1,"""") &amp; ""  = "" &amp; $A147 ))"),"")</f>
        <v/>
      </c>
      <c r="I149" s="71" t="str">
        <f>IFERROR(__xludf.DUMMYFUNCTION("IFERROR(QUERY(Steps!$A$16:$FZ995, ""Select "" &amp; SUBSTITUTE(ADDRESS(1,MATCH(""uc_Stream3GPM"", Steps!$A$15:$FZ$15, 0),4),1,"""") &amp; "" where "" &amp; SUBSTITUTE(ADDRESS(1,MATCH(""uc_StepNumber"", Steps!$A$15:$FZ$15, 0),4),1,"""") &amp; ""  = "" &amp; $A147 ))"),"")</f>
        <v/>
      </c>
      <c r="J149" s="71" t="str">
        <f>IFERROR(__xludf.DUMMYFUNCTION("IFERROR(QUERY(Steps!$A$16:$FZ995, ""Select "" &amp; SUBSTITUTE(ADDRESS(1,MATCH(""uc_Stream4GPM"", Steps!$A$15:$FZ$15, 0),4),1,"""") &amp; "" where "" &amp; SUBSTITUTE(ADDRESS(1,MATCH(""uc_StepNumber"", Steps!$A$15:$FZ$15, 0),4),1,"""") &amp; ""  = "" &amp; $A147 ))"),"")</f>
        <v/>
      </c>
      <c r="K149" s="71" t="str">
        <f>IFERROR(__xludf.DUMMYFUNCTION("IFERROR(QUERY(Steps!$A$16:$FZ995, ""Select "" &amp; SUBSTITUTE(ADDRESS(1,MATCH(""uc_Stream5GPM"", Steps!$A$15:$FZ$15, 0),4),1,"""") &amp; "" where "" &amp; SUBSTITUTE(ADDRESS(1,MATCH(""uc_StepNumber"", Steps!$A$15:$FZ$15, 0),4),1,"""") &amp; ""  = "" &amp; $A147 ))"),"")</f>
        <v/>
      </c>
      <c r="L149" s="71" t="str">
        <f>IFERROR(__xludf.DUMMYFUNCTION("IFERROR(QUERY(Steps!$A$16:$FZ995, ""Select "" &amp; SUBSTITUTE(ADDRESS(1,MATCH(""uc_Stream6GPM"", Steps!$A$15:$FZ$15, 0),4),1,"""") &amp; "" where "" &amp; SUBSTITUTE(ADDRESS(1,MATCH(""uc_StepNumber"", Steps!$A$15:$FZ$15, 0),4),1,"""") &amp; ""= "" &amp; $A147 ))"),"")</f>
        <v/>
      </c>
      <c r="M149" s="71" t="str">
        <f>IFERROR(__xludf.DUMMYFUNCTION("IFERROR(QUERY(Steps!$A$16:$FZ995, ""Select "" &amp; SUBSTITUTE(ADDRESS(1,MATCH(""uc_Stream7GPM"", Steps!$A$15:$FZ$15, 0),4),1,"""") &amp; "" where "" &amp; SUBSTITUTE(ADDRESS(1,MATCH(""uc_StepNumber"", Steps!$A$15:$FZ$15, 0),4),1,"""") &amp; "" = "" &amp; $A147 ))"),"")</f>
        <v/>
      </c>
      <c r="N149" s="71" t="str">
        <f>IFERROR(__xludf.DUMMYFUNCTION("IFERROR(QUERY(Steps!$A$16:$FZ995, ""Select "" &amp; SUBSTITUTE(ADDRESS(1,MATCH(""uc_Stream8GPM"", Steps!$A$15:$FZ$15, 0),4),1,"""") &amp; "" where "" &amp; SUBSTITUTE(ADDRESS(1,MATCH(""uc_StepNumber"", Steps!$A$15:$FZ$15, 0),4),1,"""") &amp; ""= "" &amp; $A147 ))"),"")</f>
        <v/>
      </c>
      <c r="O149" s="71" t="str">
        <f>IFERROR(__xludf.DUMMYFUNCTION("IFERROR(QUERY(Steps!$A$16:$FZ995, ""Select "" &amp; SUBSTITUTE(ADDRESS(1,MATCH(""uc_Stream9GPM"", Steps!$A$15:$FZ$15, 0),4),1,"""") &amp; "" where "" &amp; SUBSTITUTE(ADDRESS(1,MATCH(""uc_StepNumber"", Steps!$A$15:$FZ$15, 0),4),1,"""") &amp; ""= "" &amp; $A147 ))"),"")</f>
        <v/>
      </c>
      <c r="P149" s="71" t="str">
        <f>IFERROR(__xludf.DUMMYFUNCTION("IFERROR(QUERY(Steps!$A$16:$FZ995, ""Select "" &amp; SUBSTITUTE(ADDRESS(1,MATCH(""uc_Stream10GPM"", Steps!$A$15:$FZ$15, 0),4),1,"""") &amp; "" where "" &amp; SUBSTITUTE(ADDRESS(1,MATCH(""uc_StepNumber"", Steps!$A$15:$FZ$15, 0),4),1,"""") &amp; ""= "" &amp; $A147 ))"),"")</f>
        <v/>
      </c>
      <c r="Q149" s="56"/>
      <c r="R149" s="56"/>
      <c r="S149" s="72" t="str">
        <f>IFERROR(__xludf.DUMMYFUNCTION("IFERROR(QUERY(Steps!$A$16:$FZ995, ""Select "" &amp; SUBSTITUTE(ADDRESS(1,MATCH(""uc_VoltsLeg3"", Steps!$A$15:$FZ$15, 0),4),1,"""") &amp; "" where "" &amp; SUBSTITUTE(ADDRESS(1,MATCH(""uc_StepNumber"", Steps!$A$15:$FZ$15, 0),4),1,"""") &amp; ""= "" &amp; $A147 ))"),"")</f>
        <v/>
      </c>
      <c r="T149" s="72" t="str">
        <f>IFERROR(__xludf.DUMMYFUNCTION("IFERROR(QUERY(Steps!$A$16:$FZ995, ""Select "" &amp; SUBSTITUTE(ADDRESS(1,MATCH(""uc_AmpsLeg3"", Steps!$A$15:$FZ$15, 0),4),1,"""") &amp; "" where "" &amp; SUBSTITUTE(ADDRESS(1,MATCH(""uc_StepNumber"", Steps!$A$15:$FZ$15, 0),4),1,"""") &amp; ""= "" &amp; $A147 ))"),"")</f>
        <v/>
      </c>
      <c r="U149" s="56"/>
      <c r="V149" s="73"/>
    </row>
    <row r="150">
      <c r="A150" s="74">
        <v>8.0</v>
      </c>
      <c r="B150" s="61" t="str">
        <f>IFERROR(__xludf.DUMMYFUNCTION("iferror(QUERY(Steps!$A$16:$FZ995, ""Select "" &amp; SUBSTITUTE(ADDRESS(1,MATCH(""uc_RPM"", Steps!$A$15:$FZ$15, 0),4),1,"""") &amp; "" where "" &amp; SUBSTITUTE(ADDRESS(1,MATCH(""uc_StepNumber"", Steps!$A$15:$FZ$15, 0),4),1,"""") &amp; "" = "" &amp; $A150 ))"),"")</f>
        <v/>
      </c>
      <c r="C150" s="41" t="str">
        <f>IFERROR(__xludf.DUMMYFUNCTION("iferror(QUERY(Steps!$A$16:$FZ995, ""Select "" &amp; SUBSTITUTE(ADDRESS(1,MATCH(""uc_Discharge"", Steps!$A$15:$FZ$15, 0),4),1,"""") &amp; "" where "" &amp; SUBSTITUTE(ADDRESS(1,MATCH(""uc_StepNumber"", Steps!$A$15:$FZ$15, 0),4),1,"""") &amp; ""  = "" &amp; $A150 ))"),"")</f>
        <v/>
      </c>
      <c r="D150" s="41" t="str">
        <f>IFERROR(__xludf.DUMMYFUNCTION("iferror(QUERY(Steps!$A$16:$FZ995, ""Select "" &amp; SUBSTITUTE(ADDRESS(1,MATCH(""uc_Suction"", Steps!$A$15:$FZ$15, 0),4),1,"""") &amp; "" where "" &amp; SUBSTITUTE(ADDRESS(1,MATCH(""uc_StepNumber"", Steps!$A$15:$FZ$15, 0),4),1,"""") &amp; ""  = "" &amp; $A150 ))"),"")</f>
        <v/>
      </c>
      <c r="E150" s="46" t="str">
        <f>IFERROR(__xludf.DUMMYFUNCTION("iferror(QUERY(Steps!$A$16:$FZ995, ""Select "" &amp; SUBSTITUTE(ADDRESS(1,MATCH(""uc_NET"", Steps!$A$15:$FZ$15, 0),4),1,"""") &amp; "" where "" &amp; SUBSTITUTE(ADDRESS(1,MATCH(""uc_StepNumber"", Steps!$A$15:$FZ$15, 0),4),1,"""") &amp; ""  = "" &amp; $A150 ))"),"")</f>
        <v/>
      </c>
      <c r="F150" s="43" t="s">
        <v>92</v>
      </c>
      <c r="G150" s="62" t="str">
        <f>IFERROR(__xludf.DUMMYFUNCTION("iferror(QUERY(Steps!$A$16:$FZ995, ""Select "" &amp; SUBSTITUTE(ADDRESS(1,MATCH(""uc_Stream1PN"", Steps!$A$15:$FZ$15, 0),4),1,"""") &amp; "" where "" &amp; SUBSTITUTE(ADDRESS(1,MATCH(""uc_StepNumber"", Steps!$A$15:$FZ$15, 0),4),1,"""") &amp; ""  = "" &amp; $A150 ))"),"")</f>
        <v/>
      </c>
      <c r="H150" s="75" t="str">
        <f>IFERROR(__xludf.DUMMYFUNCTION("iferror(QUERY(Steps!$A$16:$FZ995, ""Select "" &amp; SUBSTITUTE(ADDRESS(1,MATCH(""uc_Stream2PN"", Steps!$A$15:$FZ$15, 0),4),1,"""") &amp; "" where "" &amp; SUBSTITUTE(ADDRESS(1,MATCH(""uc_StepNumber"", Steps!$A$15:$FZ$15, 0),4),1,"""") &amp; ""  = "" &amp; $A150 ))"),"")</f>
        <v/>
      </c>
      <c r="I150" s="45" t="str">
        <f>IFERROR(__xludf.DUMMYFUNCTION("iferror(QUERY(Steps!$A$16:$FZ995, ""Select `"" &amp; SUBSTITUTE(ADDRESS(1,MATCH(""uc_Stream3PN"", Steps!$A$15:$FZ$15, 0),4),1,"""") &amp; ""` where "" &amp; SUBSTITUTE(ADDRESS(1,MATCH(""uc_StepNumber"", Steps!$A$15:$FZ$15, 0),4),1,"""") &amp; ""  = "" &amp; $A150 ))"),"")</f>
        <v/>
      </c>
      <c r="J150" s="75" t="str">
        <f>IFERROR(__xludf.DUMMYFUNCTION("iferror(QUERY(Steps!$A$16:$FZ995, ""Select "" &amp; SUBSTITUTE(ADDRESS(1,MATCH(""uc_Stream4PN"", Steps!$A$15:$FZ$15, 0),4),1,"""") &amp; "" where "" &amp; SUBSTITUTE(ADDRESS(1,MATCH(""uc_StepNumber"", Steps!$A$15:$FZ$15, 0),4),1,"""") &amp; ""  = "" &amp; $A150 ))"),"")</f>
        <v/>
      </c>
      <c r="K150" s="75" t="str">
        <f>IFERROR(__xludf.DUMMYFUNCTION("IFERROR(QUERY(Steps!$A$16:$FZ995, ""Select "" &amp; SUBSTITUTE(ADDRESS(1,MATCH(""uc_Stream5PN"", Steps!$A$15:$FZ$15, 0),4),1,"""") &amp; "" where "" &amp; SUBSTITUTE(ADDRESS(1,MATCH(""uc_StepNumber"", Steps!$A$15:$FZ$15, 0),4),1,"""") &amp; ""  = "" &amp; $A150 ))"),"")</f>
        <v/>
      </c>
      <c r="L150" s="75" t="str">
        <f>IFERROR(__xludf.DUMMYFUNCTION("IFERROR(QUERY(Steps!$A$16:$FZ995, ""Select "" &amp; SUBSTITUTE(ADDRESS(1,MATCH(""uc_Stream6PN"", Steps!$A$15:$FZ$15, 0),4),1,"""") &amp; "" where "" &amp; SUBSTITUTE(ADDRESS(1,MATCH(""uc_StepNumber"", Steps!$A$15:$FZ$15, 0),4),1,"""") &amp; ""= "" &amp; $A150 ))"),"")</f>
        <v/>
      </c>
      <c r="M150" s="75" t="str">
        <f>IFERROR(__xludf.DUMMYFUNCTION("IFERROR(QUERY(Steps!$A$16:$FZ995, ""Select "" &amp; SUBSTITUTE(ADDRESS(1,MATCH(""uc_Stream7PN"", Steps!$A$15:$FZ$15, 0),4),1,"""") &amp; "" where "" &amp; SUBSTITUTE(ADDRESS(1,MATCH(""uc_StepNumber"", Steps!$A$15:$FZ$15, 0),4),1,"""") &amp; ""= "" &amp; $A150 ))"),"")</f>
        <v/>
      </c>
      <c r="N150" s="75" t="str">
        <f>IFERROR(__xludf.DUMMYFUNCTION("IFERROR(QUERY(Steps!$A$16:$FZ995, ""Select "" &amp; SUBSTITUTE(ADDRESS(1,MATCH(""uc_Stream8PN"", Steps!$A$15:$FZ$15, 0),4),1,"""") &amp; "" where "" &amp; SUBSTITUTE(ADDRESS(1,MATCH(""uc_StepNumber"", Steps!$A$15:$FZ$15, 0),4),1,"""") &amp; "" = "" &amp; $A150 ))"),"")</f>
        <v/>
      </c>
      <c r="O150" s="75" t="str">
        <f>IFERROR(__xludf.DUMMYFUNCTION("IFERROR(QUERY(Steps!$A$16:$FZ995, ""Select "" &amp; SUBSTITUTE(ADDRESS(1,MATCH(""uc_Stream9PN"", Steps!$A$15:$FZ$15, 0),4),1,"""") &amp; "" where "" &amp; SUBSTITUTE(ADDRESS(1,MATCH(""uc_StepNumber"", Steps!$A$15:$FZ$15, 0),4),1,"""") &amp; ""= "" &amp; $A150 ))"),"")</f>
        <v/>
      </c>
      <c r="P150" s="75" t="str">
        <f>IFERROR(__xludf.DUMMYFUNCTION("IFERROR(QUERY(Steps!$A$16:$FZ995, ""Select "" &amp; SUBSTITUTE(ADDRESS(1,MATCH(""uc_Stream10PN"", Steps!$A$15:$FZ$15, 0),4),1,"""") &amp; "" where "" &amp; SUBSTITUTE(ADDRESS(1,MATCH(""uc_StepNumber"", Steps!$A$15:$FZ$15, 0),4),1,"""") &amp; ""= "" &amp; $A150 ))"),"")</f>
        <v/>
      </c>
      <c r="Q150" s="46" t="str">
        <f>IFERROR(__xludf.DUMMYFUNCTION("IFERROR(QUERY(Steps!$A$16:$FZ995, ""Select "" &amp; SUBSTITUTE(ADDRESS(1,MATCH(""uc_FlowGPM"", Steps!$A$15:$FZ$15, 0),4),1,"""") &amp; "" where "" &amp; SUBSTITUTE(ADDRESS(1,MATCH(""uc_StepNumber"", Steps!$A$15:$FZ$15, 0),4),1,"""") &amp; ""= "" &amp; $A150 ))"),"")</f>
        <v/>
      </c>
      <c r="R150" s="46" t="str">
        <f>IFERROR(__xludf.DUMMYFUNCTION("IFERROR(QUERY(Steps!$A$16:$FZ995, ""Select "" &amp; SUBSTITUTE(ADDRESS(1,MATCH(""uc_PercentRatedCapacity"", Steps!$A$15:$FZ$15, 0),4),1,"""") &amp; "" where "" &amp; SUBSTITUTE(ADDRESS(1,MATCH(""uc_StepNumber"", Steps!$A$15:$FZ$15, 0),4),1,"""") &amp; ""= "" &amp; $A150 ))"),"")</f>
        <v/>
      </c>
      <c r="S150" s="63" t="str">
        <f>IFERROR(__xludf.DUMMYFUNCTION("IFERROR(QUERY(Steps!$A$16:$FZ995, ""Select "" &amp; SUBSTITUTE(ADDRESS(1,MATCH(""uc_VoltsLeg1"", Steps!$A$15:$FZ$15, 0),4),1,"""") &amp; "" where "" &amp; SUBSTITUTE(ADDRESS(1,MATCH(""uc_StepNumber"", Steps!$A$15:$FZ$15, 0),4),1,"""") &amp; ""= "" &amp; $A150 ))"),"")</f>
        <v/>
      </c>
      <c r="T150" s="63" t="str">
        <f>IFERROR(__xludf.DUMMYFUNCTION("IFERROR(QUERY(Steps!$A$16:$FZ995, ""Select "" &amp; SUBSTITUTE(ADDRESS(1,MATCH(""uc_AmpsLeg1"", Steps!$A$15:$FZ$15, 0),4),1,"""") &amp; "" where "" &amp; SUBSTITUTE(ADDRESS(1,MATCH(""uc_StepNumber"", Steps!$A$15:$FZ$15, 0),4),1,"""") &amp; ""= "" &amp; $A150 ))"),"")</f>
        <v/>
      </c>
      <c r="U150" s="46" t="str">
        <f>IFERROR(__xludf.DUMMYFUNCTION("IFERROR(QUERY(Steps!$A$16:$FZ995, ""Select "" &amp; SUBSTITUTE(ADDRESS(1,MATCH(""uc_CorrectedFlowPercent"", Steps!$A$15:$FZ$15, 0),4),1,"""") &amp; "" where "" &amp; SUBSTITUTE(ADDRESS(1,MATCH(""uc_StepNumber"", Steps!$A$15:$FZ$15, 0),4),1,"""") &amp; ""= "" &amp; $A150 ))"),"")</f>
        <v/>
      </c>
      <c r="V150" s="64" t="str">
        <f>IFERROR(__xludf.DUMMYFUNCTION("IFERROR(QUERY(Steps!$A$16:$FZ995, ""Select "" &amp; SUBSTITUTE(ADDRESS(1,MATCH(""uc_CorrectedPressure"", Steps!$A$15:$FZ$15, 0),4),1,"""") &amp; "" where "" &amp; SUBSTITUTE(ADDRESS(1,MATCH(""uc_StepNumber"", Steps!$A$15:$FZ$15, 0),4),1,"""") &amp; ""= "" &amp; $A150 ))"),"")</f>
        <v/>
      </c>
    </row>
    <row r="151">
      <c r="A151" s="66"/>
      <c r="B151" s="66"/>
      <c r="C151" s="50"/>
      <c r="D151" s="50"/>
      <c r="E151" s="50"/>
      <c r="F151" s="51" t="s">
        <v>93</v>
      </c>
      <c r="G151" s="52" t="str">
        <f>IFERROR(__xludf.DUMMYFUNCTION("IFERROR(QUERY(Steps!$A$16:$FZ995, ""Select "" &amp; SUBSTITUTE(ADDRESS(1,MATCH(""uc_Stream1PSI"", Steps!$A$15:$FZ$15, 0),4),1,"""") &amp; "" where "" &amp; SUBSTITUTE(ADDRESS(1,MATCH(""uc_StepNumber"", Steps!$A$15:$FZ$15, 0),4),1,"""") &amp; ""  = "" &amp; $A150 ))"),"")</f>
        <v/>
      </c>
      <c r="H151" s="52" t="str">
        <f>IFERROR(__xludf.DUMMYFUNCTION("IFERROR(QUERY(Steps!$A$16:$FZ995, ""Select "" &amp; SUBSTITUTE(ADDRESS(1,MATCH(""uc_Stream2PSI"", Steps!$A$15:$FZ$15, 0),4),1,"""") &amp; "" where "" &amp; SUBSTITUTE(ADDRESS(1,MATCH(""uc_StepNumber"", Steps!$A$15:$FZ$15, 0),4),1,"""") &amp; ""  = "" &amp; $A150 ))"),"")</f>
        <v/>
      </c>
      <c r="I151" s="52" t="str">
        <f>IFERROR(__xludf.DUMMYFUNCTION("IFERROR(QUERY(Steps!$A$16:$FZ995, ""Select "" &amp; SUBSTITUTE(ADDRESS(1,MATCH(""uc_Stream3PSI"", Steps!$A$15:$FZ$15, 0),4),1,"""") &amp; "" where "" &amp; SUBSTITUTE(ADDRESS(1,MATCH(""uc_StepNumber"", Steps!$A$15:$FZ$15, 0),4),1,"""") &amp; ""  = "" &amp; $A150 ))"),"")</f>
        <v/>
      </c>
      <c r="J151" s="53" t="str">
        <f>IFERROR(__xludf.DUMMYFUNCTION("IFERROR(QUERY(Steps!$A$16:$FZ995, ""Select "" &amp; SUBSTITUTE(ADDRESS(1,MATCH(""uc_Stream4PSI"", Steps!$A$15:$FZ$15, 0),4),1,"""") &amp; "" where "" &amp; SUBSTITUTE(ADDRESS(1,MATCH(""uc_StepNumber"", Steps!$A$15:$FZ$15, 0),4),1,"""") &amp; ""  = "" &amp; $A150 ))"),"")</f>
        <v/>
      </c>
      <c r="K151" s="53" t="str">
        <f>IFERROR(__xludf.DUMMYFUNCTION("IFERROR(QUERY(Steps!$A$16:$FZ995, ""Select "" &amp; SUBSTITUTE(ADDRESS(1,MATCH(""uc_Stream5PSI"", Steps!$A$15:$FZ$15, 0),4),1,"""") &amp; "" where "" &amp; SUBSTITUTE(ADDRESS(1,MATCH(""uc_StepNumber"", Steps!$A$15:$FZ$15, 0),4),1,"""") &amp; ""  = "" &amp; $A150 ))"),"")</f>
        <v/>
      </c>
      <c r="L151" s="53" t="str">
        <f>IFERROR(__xludf.DUMMYFUNCTION("IFERROR(QUERY(Steps!$A$16:$FZ995, ""Select "" &amp; SUBSTITUTE(ADDRESS(1,MATCH(""uc_Stream6PSI"", Steps!$A$15:$FZ$15, 0),4),1,"""") &amp; "" where "" &amp; SUBSTITUTE(ADDRESS(1,MATCH(""uc_StepNumber"", Steps!$A$15:$FZ$15, 0),4),1,"""") &amp; ""= "" &amp; $A150 ))"),"")</f>
        <v/>
      </c>
      <c r="M151" s="53" t="str">
        <f>IFERROR(__xludf.DUMMYFUNCTION("IFERROR(QUERY(Steps!$A$16:$FZ995, ""Select "" &amp; SUBSTITUTE(ADDRESS(1,MATCH(""uc_Stream7PSI"", Steps!$A$15:$FZ$15, 0),4),1,"""") &amp; "" where "" &amp; SUBSTITUTE(ADDRESS(1,MATCH(""uc_StepNumber"", Steps!$A$15:$FZ$15, 0),4),1,"""") &amp; "" = "" &amp; $A150 ))"),"")</f>
        <v/>
      </c>
      <c r="N151" s="53" t="str">
        <f>IFERROR(__xludf.DUMMYFUNCTION("IFERROR(QUERY(Steps!$A$16:$FZ995, ""Select "" &amp; SUBSTITUTE(ADDRESS(1,MATCH(""uc_Stream8PSI"", Steps!$A$15:$FZ$15, 0),4),1,"""") &amp; "" where "" &amp; SUBSTITUTE(ADDRESS(1,MATCH(""uc_StepNumber"", Steps!$A$15:$FZ$15, 0),4),1,"""") &amp; ""= "" &amp; $A150 ))"),"")</f>
        <v/>
      </c>
      <c r="O151" s="53" t="str">
        <f>IFERROR(__xludf.DUMMYFUNCTION("IFERROR(QUERY(Steps!$A$16:$FZ995, ""Select "" &amp; SUBSTITUTE(ADDRESS(1,MATCH(""uc_Stream9PSI"", Steps!$A$15:$FZ$15, 0),4),1,"""") &amp; "" where "" &amp; SUBSTITUTE(ADDRESS(1,MATCH(""uc_StepNumber"", Steps!$A$15:$FZ$15, 0),4),1,"""") &amp; ""= "" &amp; $A150 ))"),"")</f>
        <v/>
      </c>
      <c r="P151" s="53" t="str">
        <f>IFERROR(__xludf.DUMMYFUNCTION("IFERROR(QUERY(Steps!$A$16:$FZ995, ""Select "" &amp; SUBSTITUTE(ADDRESS(1,MATCH(""uc_Stream10PSI"", Steps!$A$15:$FZ$15, 0),4),1,"""") &amp; "" where "" &amp; SUBSTITUTE(ADDRESS(1,MATCH(""uc_StepNumber"", Steps!$A$15:$FZ$15, 0),4),1,"""") &amp; ""= "" &amp; $A150 ))"),"")</f>
        <v/>
      </c>
      <c r="Q151" s="50"/>
      <c r="R151" s="50"/>
      <c r="S151" s="47" t="str">
        <f>IFERROR(__xludf.DUMMYFUNCTION("IFERROR(QUERY(Steps!$A$16:$FZ995, ""Select "" &amp; SUBSTITUTE(ADDRESS(1,MATCH(""uc_VoltsLeg2"", Steps!$A$15:$FZ$15, 0),4),1,"""") &amp; "" where "" &amp; SUBSTITUTE(ADDRESS(1,MATCH(""uc_StepNumber"", Steps!$A$15:$FZ$15, 0),4),1,"""") &amp; ""= "" &amp; $A150 ))"),"")</f>
        <v/>
      </c>
      <c r="T151" s="47" t="str">
        <f>IFERROR(__xludf.DUMMYFUNCTION("IFERROR(QUERY(Steps!$A$16:$FZ995, ""Select "" &amp; SUBSTITUTE(ADDRESS(1,MATCH(""uc_AmpsLeg2"", Steps!$A$15:$FZ$15, 0),4),1,"""") &amp; "" where "" &amp; SUBSTITUTE(ADDRESS(1,MATCH(""uc_StepNumber"", Steps!$A$15:$FZ$15, 0),4),1,"""") &amp; ""= "" &amp; $A150 ))"),"")</f>
        <v/>
      </c>
      <c r="U151" s="50"/>
      <c r="V151" s="67"/>
    </row>
    <row r="152">
      <c r="A152" s="69"/>
      <c r="B152" s="69"/>
      <c r="C152" s="56"/>
      <c r="D152" s="56"/>
      <c r="E152" s="56"/>
      <c r="F152" s="70" t="s">
        <v>94</v>
      </c>
      <c r="G152" s="71" t="str">
        <f>IFERROR(__xludf.DUMMYFUNCTION("IFERROR(QUERY(Steps!$A$16:$FZ995, ""Select "" &amp; SUBSTITUTE(ADDRESS(1,MATCH(""uc_Stream1GPM"", Steps!$A$15:$FZ$15, 0),4),1,"""") &amp; "" where "" &amp; SUBSTITUTE(ADDRESS(1,MATCH(""uc_StepNumber"", Steps!$A$15:$FZ$15, 0),4),1,"""") &amp; ""  = "" &amp; $A150 ))"),"")</f>
        <v/>
      </c>
      <c r="H152" s="71" t="str">
        <f>IFERROR(__xludf.DUMMYFUNCTION("IFERROR(QUERY(Steps!$A$16:$FZ995, ""Select "" &amp; SUBSTITUTE(ADDRESS(1,MATCH(""uc_Stream2GPM"", Steps!$A$15:$FZ$15, 0),4),1,"""") &amp; "" where "" &amp; SUBSTITUTE(ADDRESS(1,MATCH(""uc_StepNumber"", Steps!$A$15:$FZ$15, 0),4),1,"""") &amp; ""  = "" &amp; $A150 ))"),"")</f>
        <v/>
      </c>
      <c r="I152" s="71" t="str">
        <f>IFERROR(__xludf.DUMMYFUNCTION("IFERROR(QUERY(Steps!$A$16:$FZ995, ""Select "" &amp; SUBSTITUTE(ADDRESS(1,MATCH(""uc_Stream3GPM"", Steps!$A$15:$FZ$15, 0),4),1,"""") &amp; "" where "" &amp; SUBSTITUTE(ADDRESS(1,MATCH(""uc_StepNumber"", Steps!$A$15:$FZ$15, 0),4),1,"""") &amp; ""  = "" &amp; $A150 ))"),"")</f>
        <v/>
      </c>
      <c r="J152" s="71" t="str">
        <f>IFERROR(__xludf.DUMMYFUNCTION("IFERROR(QUERY(Steps!$A$16:$FZ995, ""Select "" &amp; SUBSTITUTE(ADDRESS(1,MATCH(""uc_Stream4GPM"", Steps!$A$15:$FZ$15, 0),4),1,"""") &amp; "" where "" &amp; SUBSTITUTE(ADDRESS(1,MATCH(""uc_StepNumber"", Steps!$A$15:$FZ$15, 0),4),1,"""") &amp; ""  = "" &amp; $A150 ))"),"")</f>
        <v/>
      </c>
      <c r="K152" s="71" t="str">
        <f>IFERROR(__xludf.DUMMYFUNCTION("IFERROR(QUERY(Steps!$A$16:$FZ995, ""Select "" &amp; SUBSTITUTE(ADDRESS(1,MATCH(""uc_Stream5GPM"", Steps!$A$15:$FZ$15, 0),4),1,"""") &amp; "" where "" &amp; SUBSTITUTE(ADDRESS(1,MATCH(""uc_StepNumber"", Steps!$A$15:$FZ$15, 0),4),1,"""") &amp; ""  = "" &amp; $A150 ))"),"")</f>
        <v/>
      </c>
      <c r="L152" s="71" t="str">
        <f>IFERROR(__xludf.DUMMYFUNCTION("IFERROR(QUERY(Steps!$A$16:$FZ995, ""Select "" &amp; SUBSTITUTE(ADDRESS(1,MATCH(""uc_Stream6GPM"", Steps!$A$15:$FZ$15, 0),4),1,"""") &amp; "" where "" &amp; SUBSTITUTE(ADDRESS(1,MATCH(""uc_StepNumber"", Steps!$A$15:$FZ$15, 0),4),1,"""") &amp; ""= "" &amp; $A150 ))"),"")</f>
        <v/>
      </c>
      <c r="M152" s="71" t="str">
        <f>IFERROR(__xludf.DUMMYFUNCTION("IFERROR(QUERY(Steps!$A$16:$FZ995, ""Select "" &amp; SUBSTITUTE(ADDRESS(1,MATCH(""uc_Stream7GPM"", Steps!$A$15:$FZ$15, 0),4),1,"""") &amp; "" where "" &amp; SUBSTITUTE(ADDRESS(1,MATCH(""uc_StepNumber"", Steps!$A$15:$FZ$15, 0),4),1,"""") &amp; "" = "" &amp; $A150 ))"),"")</f>
        <v/>
      </c>
      <c r="N152" s="71" t="str">
        <f>IFERROR(__xludf.DUMMYFUNCTION("IFERROR(QUERY(Steps!$A$16:$FZ995, ""Select "" &amp; SUBSTITUTE(ADDRESS(1,MATCH(""uc_Stream8GPM"", Steps!$A$15:$FZ$15, 0),4),1,"""") &amp; "" where "" &amp; SUBSTITUTE(ADDRESS(1,MATCH(""uc_StepNumber"", Steps!$A$15:$FZ$15, 0),4),1,"""") &amp; ""= "" &amp; $A150 ))"),"")</f>
        <v/>
      </c>
      <c r="O152" s="71" t="str">
        <f>IFERROR(__xludf.DUMMYFUNCTION("IFERROR(QUERY(Steps!$A$16:$FZ995, ""Select "" &amp; SUBSTITUTE(ADDRESS(1,MATCH(""uc_Stream9GPM"", Steps!$A$15:$FZ$15, 0),4),1,"""") &amp; "" where "" &amp; SUBSTITUTE(ADDRESS(1,MATCH(""uc_StepNumber"", Steps!$A$15:$FZ$15, 0),4),1,"""") &amp; ""= "" &amp; $A150 ))"),"")</f>
        <v/>
      </c>
      <c r="P152" s="71" t="str">
        <f>IFERROR(__xludf.DUMMYFUNCTION("IFERROR(QUERY(Steps!$A$16:$FZ995, ""Select "" &amp; SUBSTITUTE(ADDRESS(1,MATCH(""uc_Stream10GPM"", Steps!$A$15:$FZ$15, 0),4),1,"""") &amp; "" where "" &amp; SUBSTITUTE(ADDRESS(1,MATCH(""uc_StepNumber"", Steps!$A$15:$FZ$15, 0),4),1,"""") &amp; ""= "" &amp; $A150 ))"),"")</f>
        <v/>
      </c>
      <c r="Q152" s="56"/>
      <c r="R152" s="56"/>
      <c r="S152" s="72" t="str">
        <f>IFERROR(__xludf.DUMMYFUNCTION("IFERROR(QUERY(Steps!$A$16:$FZ995, ""Select "" &amp; SUBSTITUTE(ADDRESS(1,MATCH(""uc_VoltsLeg3"", Steps!$A$15:$FZ$15, 0),4),1,"""") &amp; "" where "" &amp; SUBSTITUTE(ADDRESS(1,MATCH(""uc_StepNumber"", Steps!$A$15:$FZ$15, 0),4),1,"""") &amp; ""= "" &amp; $A150 ))"),"")</f>
        <v/>
      </c>
      <c r="T152" s="72" t="str">
        <f>IFERROR(__xludf.DUMMYFUNCTION("IFERROR(QUERY(Steps!$A$16:$FZ995, ""Select "" &amp; SUBSTITUTE(ADDRESS(1,MATCH(""uc_AmpsLeg3"", Steps!$A$15:$FZ$15, 0),4),1,"""") &amp; "" where "" &amp; SUBSTITUTE(ADDRESS(1,MATCH(""uc_StepNumber"", Steps!$A$15:$FZ$15, 0),4),1,"""") &amp; ""= "" &amp; $A150 ))"),"")</f>
        <v/>
      </c>
      <c r="U152" s="56"/>
      <c r="V152" s="73"/>
    </row>
    <row r="153">
      <c r="A153" s="74">
        <v>9.0</v>
      </c>
      <c r="B153" s="61" t="str">
        <f>IFERROR(__xludf.DUMMYFUNCTION("iferror(QUERY(Steps!$A$16:$FZ995, ""Select "" &amp; SUBSTITUTE(ADDRESS(1,MATCH(""uc_RPM"", Steps!$A$15:$FZ$15, 0),4),1,"""") &amp; "" where "" &amp; SUBSTITUTE(ADDRESS(1,MATCH(""uc_StepNumber"", Steps!$A$15:$FZ$15, 0),4),1,"""") &amp; "" = "" &amp; $A153 ))"),"")</f>
        <v/>
      </c>
      <c r="C153" s="41" t="str">
        <f>IFERROR(__xludf.DUMMYFUNCTION("iferror(QUERY(Steps!$A$16:$FZ995, ""Select "" &amp; SUBSTITUTE(ADDRESS(1,MATCH(""uc_Discharge"", Steps!$A$15:$FZ$15, 0),4),1,"""") &amp; "" where "" &amp; SUBSTITUTE(ADDRESS(1,MATCH(""uc_StepNumber"", Steps!$A$15:$FZ$15, 0),4),1,"""") &amp; ""  = "" &amp; $A153 ))"),"")</f>
        <v/>
      </c>
      <c r="D153" s="41" t="str">
        <f>IFERROR(__xludf.DUMMYFUNCTION("iferror(QUERY(Steps!$A$16:$FZ995, ""Select "" &amp; SUBSTITUTE(ADDRESS(1,MATCH(""uc_Suction"", Steps!$A$15:$FZ$15, 0),4),1,"""") &amp; "" where "" &amp; SUBSTITUTE(ADDRESS(1,MATCH(""uc_StepNumber"", Steps!$A$15:$FZ$15, 0),4),1,"""") &amp; ""  = "" &amp; $A153 ))"),"")</f>
        <v/>
      </c>
      <c r="E153" s="46" t="str">
        <f>IFERROR(__xludf.DUMMYFUNCTION("iferror(QUERY(Steps!$A$16:$FZ995, ""Select "" &amp; SUBSTITUTE(ADDRESS(1,MATCH(""uc_NET"", Steps!$A$15:$FZ$15, 0),4),1,"""") &amp; "" where "" &amp; SUBSTITUTE(ADDRESS(1,MATCH(""uc_StepNumber"", Steps!$A$15:$FZ$15, 0),4),1,"""") &amp; ""  = "" &amp; $A153 ))"),"")</f>
        <v/>
      </c>
      <c r="F153" s="43" t="s">
        <v>92</v>
      </c>
      <c r="G153" s="62" t="str">
        <f>IFERROR(__xludf.DUMMYFUNCTION("iferror(QUERY(Steps!$A$16:$FZ995, ""Select "" &amp; SUBSTITUTE(ADDRESS(1,MATCH(""uc_Stream1PN"", Steps!$A$15:$FZ$15, 0),4),1,"""") &amp; "" where "" &amp; SUBSTITUTE(ADDRESS(1,MATCH(""uc_StepNumber"", Steps!$A$15:$FZ$15, 0),4),1,"""") &amp; ""  = "" &amp; $A153 ))"),"")</f>
        <v/>
      </c>
      <c r="H153" s="75" t="str">
        <f>IFERROR(__xludf.DUMMYFUNCTION("iferror(QUERY(Steps!$A$16:$FZ995, ""Select "" &amp; SUBSTITUTE(ADDRESS(1,MATCH(""uc_Stream2PN"", Steps!$A$15:$FZ$15, 0),4),1,"""") &amp; "" where "" &amp; SUBSTITUTE(ADDRESS(1,MATCH(""uc_StepNumber"", Steps!$A$15:$FZ$15, 0),4),1,"""") &amp; ""  = "" &amp; $A153 ))"),"")</f>
        <v/>
      </c>
      <c r="I153" s="45" t="str">
        <f>IFERROR(__xludf.DUMMYFUNCTION("iferror(QUERY(Steps!$A$16:$FZ995, ""Select `"" &amp; SUBSTITUTE(ADDRESS(1,MATCH(""uc_Stream3PN"", Steps!$A$15:$FZ$15, 0),4),1,"""") &amp; ""` where "" &amp; SUBSTITUTE(ADDRESS(1,MATCH(""uc_StepNumber"", Steps!$A$15:$FZ$15, 0),4),1,"""") &amp; ""  = "" &amp; $A153 ))"),"")</f>
        <v/>
      </c>
      <c r="J153" s="75" t="str">
        <f>IFERROR(__xludf.DUMMYFUNCTION("iferror(QUERY(Steps!$A$16:$FZ995, ""Select "" &amp; SUBSTITUTE(ADDRESS(1,MATCH(""uc_Stream4PN"", Steps!$A$15:$FZ$15, 0),4),1,"""") &amp; "" where "" &amp; SUBSTITUTE(ADDRESS(1,MATCH(""uc_StepNumber"", Steps!$A$15:$FZ$15, 0),4),1,"""") &amp; ""  = "" &amp; $A153 ))"),"")</f>
        <v/>
      </c>
      <c r="K153" s="75" t="str">
        <f>IFERROR(__xludf.DUMMYFUNCTION("IFERROR(QUERY(Steps!$A$16:$FZ995, ""Select "" &amp; SUBSTITUTE(ADDRESS(1,MATCH(""uc_Stream5PN"", Steps!$A$15:$FZ$15, 0),4),1,"""") &amp; "" where "" &amp; SUBSTITUTE(ADDRESS(1,MATCH(""uc_StepNumber"", Steps!$A$15:$FZ$15, 0),4),1,"""") &amp; ""  = "" &amp; $A153 ))"),"")</f>
        <v/>
      </c>
      <c r="L153" s="75" t="str">
        <f>IFERROR(__xludf.DUMMYFUNCTION("IFERROR(QUERY(Steps!$A$16:$FZ995, ""Select "" &amp; SUBSTITUTE(ADDRESS(1,MATCH(""uc_Stream6PN"", Steps!$A$15:$FZ$15, 0),4),1,"""") &amp; "" where "" &amp; SUBSTITUTE(ADDRESS(1,MATCH(""uc_StepNumber"", Steps!$A$15:$FZ$15, 0),4),1,"""") &amp; ""= "" &amp; $A153 ))"),"")</f>
        <v/>
      </c>
      <c r="M153" s="75" t="str">
        <f>IFERROR(__xludf.DUMMYFUNCTION("IFERROR(QUERY(Steps!$A$16:$FZ995, ""Select "" &amp; SUBSTITUTE(ADDRESS(1,MATCH(""uc_Stream7PN"", Steps!$A$15:$FZ$15, 0),4),1,"""") &amp; "" where "" &amp; SUBSTITUTE(ADDRESS(1,MATCH(""uc_StepNumber"", Steps!$A$15:$FZ$15, 0),4),1,"""") &amp; ""= "" &amp; $A153 ))"),"")</f>
        <v/>
      </c>
      <c r="N153" s="75" t="str">
        <f>IFERROR(__xludf.DUMMYFUNCTION("IFERROR(QUERY(Steps!$A$16:$FZ995, ""Select "" &amp; SUBSTITUTE(ADDRESS(1,MATCH(""uc_Stream8PN"", Steps!$A$15:$FZ$15, 0),4),1,"""") &amp; "" where "" &amp; SUBSTITUTE(ADDRESS(1,MATCH(""uc_StepNumber"", Steps!$A$15:$FZ$15, 0),4),1,"""") &amp; "" = "" &amp; $A153 ))"),"")</f>
        <v/>
      </c>
      <c r="O153" s="75" t="str">
        <f>IFERROR(__xludf.DUMMYFUNCTION("IFERROR(QUERY(Steps!$A$16:$FZ995, ""Select "" &amp; SUBSTITUTE(ADDRESS(1,MATCH(""uc_Stream9PN"", Steps!$A$15:$FZ$15, 0),4),1,"""") &amp; "" where "" &amp; SUBSTITUTE(ADDRESS(1,MATCH(""uc_StepNumber"", Steps!$A$15:$FZ$15, 0),4),1,"""") &amp; ""= "" &amp; $A153 ))"),"")</f>
        <v/>
      </c>
      <c r="P153" s="75" t="str">
        <f>IFERROR(__xludf.DUMMYFUNCTION("IFERROR(QUERY(Steps!$A$16:$FZ995, ""Select "" &amp; SUBSTITUTE(ADDRESS(1,MATCH(""uc_Stream10PN"", Steps!$A$15:$FZ$15, 0),4),1,"""") &amp; "" where "" &amp; SUBSTITUTE(ADDRESS(1,MATCH(""uc_StepNumber"", Steps!$A$15:$FZ$15, 0),4),1,"""") &amp; ""= "" &amp; $A153 ))"),"")</f>
        <v/>
      </c>
      <c r="Q153" s="46" t="str">
        <f>IFERROR(__xludf.DUMMYFUNCTION("IFERROR(QUERY(Steps!$A$16:$FZ995, ""Select "" &amp; SUBSTITUTE(ADDRESS(1,MATCH(""uc_FlowGPM"", Steps!$A$15:$FZ$15, 0),4),1,"""") &amp; "" where "" &amp; SUBSTITUTE(ADDRESS(1,MATCH(""uc_StepNumber"", Steps!$A$15:$FZ$15, 0),4),1,"""") &amp; ""= "" &amp; $A153 ))"),"")</f>
        <v/>
      </c>
      <c r="R153" s="46" t="str">
        <f>IFERROR(__xludf.DUMMYFUNCTION("IFERROR(QUERY(Steps!$A$16:$FZ995, ""Select "" &amp; SUBSTITUTE(ADDRESS(1,MATCH(""uc_PercentRatedCapacity"", Steps!$A$15:$FZ$15, 0),4),1,"""") &amp; "" where "" &amp; SUBSTITUTE(ADDRESS(1,MATCH(""uc_StepNumber"", Steps!$A$15:$FZ$15, 0),4),1,"""") &amp; ""= "" &amp; $A153 ))"),"")</f>
        <v/>
      </c>
      <c r="S153" s="63" t="str">
        <f>IFERROR(__xludf.DUMMYFUNCTION("IFERROR(QUERY(Steps!$A$16:$FZ995, ""Select "" &amp; SUBSTITUTE(ADDRESS(1,MATCH(""uc_VoltsLeg1"", Steps!$A$15:$FZ$15, 0),4),1,"""") &amp; "" where "" &amp; SUBSTITUTE(ADDRESS(1,MATCH(""uc_StepNumber"", Steps!$A$15:$FZ$15, 0),4),1,"""") &amp; ""= "" &amp; $A153 ))"),"")</f>
        <v/>
      </c>
      <c r="T153" s="63" t="str">
        <f>IFERROR(__xludf.DUMMYFUNCTION("IFERROR(QUERY(Steps!$A$16:$FZ995, ""Select "" &amp; SUBSTITUTE(ADDRESS(1,MATCH(""uc_AmpsLeg1"", Steps!$A$15:$FZ$15, 0),4),1,"""") &amp; "" where "" &amp; SUBSTITUTE(ADDRESS(1,MATCH(""uc_StepNumber"", Steps!$A$15:$FZ$15, 0),4),1,"""") &amp; ""= "" &amp; $A153 ))"),"")</f>
        <v/>
      </c>
      <c r="U153" s="46" t="str">
        <f>IFERROR(__xludf.DUMMYFUNCTION("IFERROR(QUERY(Steps!$A$16:$FZ995, ""Select "" &amp; SUBSTITUTE(ADDRESS(1,MATCH(""uc_CorrectedFlowPercent"", Steps!$A$15:$FZ$15, 0),4),1,"""") &amp; "" where "" &amp; SUBSTITUTE(ADDRESS(1,MATCH(""uc_StepNumber"", Steps!$A$15:$FZ$15, 0),4),1,"""") &amp; ""= "" &amp; $A153 ))"),"")</f>
        <v/>
      </c>
      <c r="V153" s="64" t="str">
        <f>IFERROR(__xludf.DUMMYFUNCTION("IFERROR(QUERY(Steps!$A$16:$FZ995, ""Select "" &amp; SUBSTITUTE(ADDRESS(1,MATCH(""uc_CorrectedPressure"", Steps!$A$15:$FZ$15, 0),4),1,"""") &amp; "" where "" &amp; SUBSTITUTE(ADDRESS(1,MATCH(""uc_StepNumber"", Steps!$A$15:$FZ$15, 0),4),1,"""") &amp; ""= "" &amp; $A153 ))"),"")</f>
        <v/>
      </c>
    </row>
    <row r="154">
      <c r="A154" s="66"/>
      <c r="B154" s="66"/>
      <c r="C154" s="50"/>
      <c r="D154" s="50"/>
      <c r="E154" s="50"/>
      <c r="F154" s="51" t="s">
        <v>93</v>
      </c>
      <c r="G154" s="52" t="str">
        <f>IFERROR(__xludf.DUMMYFUNCTION("IFERROR(QUERY(Steps!$A$16:$FZ995, ""Select "" &amp; SUBSTITUTE(ADDRESS(1,MATCH(""uc_Stream1PSI"", Steps!$A$15:$FZ$15, 0),4),1,"""") &amp; "" where "" &amp; SUBSTITUTE(ADDRESS(1,MATCH(""uc_StepNumber"", Steps!$A$15:$FZ$15, 0),4),1,"""") &amp; ""  = "" &amp; $A153 ))"),"")</f>
        <v/>
      </c>
      <c r="H154" s="52" t="str">
        <f>IFERROR(__xludf.DUMMYFUNCTION("IFERROR(QUERY(Steps!$A$16:$FZ995, ""Select "" &amp; SUBSTITUTE(ADDRESS(1,MATCH(""uc_Stream2PSI"", Steps!$A$15:$FZ$15, 0),4),1,"""") &amp; "" where "" &amp; SUBSTITUTE(ADDRESS(1,MATCH(""uc_StepNumber"", Steps!$A$15:$FZ$15, 0),4),1,"""") &amp; ""  = "" &amp; $A153 ))"),"")</f>
        <v/>
      </c>
      <c r="I154" s="52" t="str">
        <f>IFERROR(__xludf.DUMMYFUNCTION("IFERROR(QUERY(Steps!$A$16:$FZ995, ""Select "" &amp; SUBSTITUTE(ADDRESS(1,MATCH(""uc_Stream3PSI"", Steps!$A$15:$FZ$15, 0),4),1,"""") &amp; "" where "" &amp; SUBSTITUTE(ADDRESS(1,MATCH(""uc_StepNumber"", Steps!$A$15:$FZ$15, 0),4),1,"""") &amp; ""  = "" &amp; $A153 ))"),"")</f>
        <v/>
      </c>
      <c r="J154" s="53" t="str">
        <f>IFERROR(__xludf.DUMMYFUNCTION("IFERROR(QUERY(Steps!$A$16:$FZ995, ""Select "" &amp; SUBSTITUTE(ADDRESS(1,MATCH(""uc_Stream4PSI"", Steps!$A$15:$FZ$15, 0),4),1,"""") &amp; "" where "" &amp; SUBSTITUTE(ADDRESS(1,MATCH(""uc_StepNumber"", Steps!$A$15:$FZ$15, 0),4),1,"""") &amp; ""  = "" &amp; $A153 ))"),"")</f>
        <v/>
      </c>
      <c r="K154" s="53" t="str">
        <f>IFERROR(__xludf.DUMMYFUNCTION("IFERROR(QUERY(Steps!$A$16:$FZ995, ""Select "" &amp; SUBSTITUTE(ADDRESS(1,MATCH(""uc_Stream5PSI"", Steps!$A$15:$FZ$15, 0),4),1,"""") &amp; "" where "" &amp; SUBSTITUTE(ADDRESS(1,MATCH(""uc_StepNumber"", Steps!$A$15:$FZ$15, 0),4),1,"""") &amp; ""  = "" &amp; $A153 ))"),"")</f>
        <v/>
      </c>
      <c r="L154" s="53" t="str">
        <f>IFERROR(__xludf.DUMMYFUNCTION("IFERROR(QUERY(Steps!$A$16:$FZ995, ""Select "" &amp; SUBSTITUTE(ADDRESS(1,MATCH(""uc_Stream6PSI"", Steps!$A$15:$FZ$15, 0),4),1,"""") &amp; "" where "" &amp; SUBSTITUTE(ADDRESS(1,MATCH(""uc_StepNumber"", Steps!$A$15:$FZ$15, 0),4),1,"""") &amp; ""= "" &amp; $A153 ))"),"")</f>
        <v/>
      </c>
      <c r="M154" s="53" t="str">
        <f>IFERROR(__xludf.DUMMYFUNCTION("IFERROR(QUERY(Steps!$A$16:$FZ995, ""Select "" &amp; SUBSTITUTE(ADDRESS(1,MATCH(""uc_Stream7PSI"", Steps!$A$15:$FZ$15, 0),4),1,"""") &amp; "" where "" &amp; SUBSTITUTE(ADDRESS(1,MATCH(""uc_StepNumber"", Steps!$A$15:$FZ$15, 0),4),1,"""") &amp; "" = "" &amp; $A153 ))"),"")</f>
        <v/>
      </c>
      <c r="N154" s="53" t="str">
        <f>IFERROR(__xludf.DUMMYFUNCTION("IFERROR(QUERY(Steps!$A$16:$FZ995, ""Select "" &amp; SUBSTITUTE(ADDRESS(1,MATCH(""uc_Stream8PSI"", Steps!$A$15:$FZ$15, 0),4),1,"""") &amp; "" where "" &amp; SUBSTITUTE(ADDRESS(1,MATCH(""uc_StepNumber"", Steps!$A$15:$FZ$15, 0),4),1,"""") &amp; ""= "" &amp; $A153 ))"),"")</f>
        <v/>
      </c>
      <c r="O154" s="53" t="str">
        <f>IFERROR(__xludf.DUMMYFUNCTION("IFERROR(QUERY(Steps!$A$16:$FZ995, ""Select "" &amp; SUBSTITUTE(ADDRESS(1,MATCH(""uc_Stream9PSI"", Steps!$A$15:$FZ$15, 0),4),1,"""") &amp; "" where "" &amp; SUBSTITUTE(ADDRESS(1,MATCH(""uc_StepNumber"", Steps!$A$15:$FZ$15, 0),4),1,"""") &amp; ""= "" &amp; $A153 ))"),"")</f>
        <v/>
      </c>
      <c r="P154" s="53" t="str">
        <f>IFERROR(__xludf.DUMMYFUNCTION("IFERROR(QUERY(Steps!$A$16:$FZ995, ""Select "" &amp; SUBSTITUTE(ADDRESS(1,MATCH(""uc_Stream10PSI"", Steps!$A$15:$FZ$15, 0),4),1,"""") &amp; "" where "" &amp; SUBSTITUTE(ADDRESS(1,MATCH(""uc_StepNumber"", Steps!$A$15:$FZ$15, 0),4),1,"""") &amp; ""= "" &amp; $A153 ))"),"")</f>
        <v/>
      </c>
      <c r="Q154" s="50"/>
      <c r="R154" s="50"/>
      <c r="S154" s="47" t="str">
        <f>IFERROR(__xludf.DUMMYFUNCTION("IFERROR(QUERY(Steps!$A$16:$FZ995, ""Select "" &amp; SUBSTITUTE(ADDRESS(1,MATCH(""uc_VoltsLeg2"", Steps!$A$15:$FZ$15, 0),4),1,"""") &amp; "" where "" &amp; SUBSTITUTE(ADDRESS(1,MATCH(""uc_StepNumber"", Steps!$A$15:$FZ$15, 0),4),1,"""") &amp; ""= "" &amp; $A153 ))"),"")</f>
        <v/>
      </c>
      <c r="T154" s="47" t="str">
        <f>IFERROR(__xludf.DUMMYFUNCTION("IFERROR(QUERY(Steps!$A$16:$FZ995, ""Select "" &amp; SUBSTITUTE(ADDRESS(1,MATCH(""uc_AmpsLeg2"", Steps!$A$15:$FZ$15, 0),4),1,"""") &amp; "" where "" &amp; SUBSTITUTE(ADDRESS(1,MATCH(""uc_StepNumber"", Steps!$A$15:$FZ$15, 0),4),1,"""") &amp; ""= "" &amp; $A153 ))"),"")</f>
        <v/>
      </c>
      <c r="U154" s="50"/>
      <c r="V154" s="67"/>
    </row>
    <row r="155">
      <c r="A155" s="69"/>
      <c r="B155" s="69"/>
      <c r="C155" s="56"/>
      <c r="D155" s="56"/>
      <c r="E155" s="56"/>
      <c r="F155" s="70" t="s">
        <v>94</v>
      </c>
      <c r="G155" s="71" t="str">
        <f>IFERROR(__xludf.DUMMYFUNCTION("IFERROR(QUERY(Steps!$A$16:$FZ995, ""Select "" &amp; SUBSTITUTE(ADDRESS(1,MATCH(""uc_Stream1GPM"", Steps!$A$15:$FZ$15, 0),4),1,"""") &amp; "" where "" &amp; SUBSTITUTE(ADDRESS(1,MATCH(""uc_StepNumber"", Steps!$A$15:$FZ$15, 0),4),1,"""") &amp; ""  = "" &amp; $A153 ))"),"")</f>
        <v/>
      </c>
      <c r="H155" s="71" t="str">
        <f>IFERROR(__xludf.DUMMYFUNCTION("IFERROR(QUERY(Steps!$A$16:$FZ995, ""Select "" &amp; SUBSTITUTE(ADDRESS(1,MATCH(""uc_Stream2GPM"", Steps!$A$15:$FZ$15, 0),4),1,"""") &amp; "" where "" &amp; SUBSTITUTE(ADDRESS(1,MATCH(""uc_StepNumber"", Steps!$A$15:$FZ$15, 0),4),1,"""") &amp; ""  = "" &amp; $A153 ))"),"")</f>
        <v/>
      </c>
      <c r="I155" s="71" t="str">
        <f>IFERROR(__xludf.DUMMYFUNCTION("IFERROR(QUERY(Steps!$A$16:$FZ995, ""Select "" &amp; SUBSTITUTE(ADDRESS(1,MATCH(""uc_Stream3GPM"", Steps!$A$15:$FZ$15, 0),4),1,"""") &amp; "" where "" &amp; SUBSTITUTE(ADDRESS(1,MATCH(""uc_StepNumber"", Steps!$A$15:$FZ$15, 0),4),1,"""") &amp; ""  = "" &amp; $A153 ))"),"")</f>
        <v/>
      </c>
      <c r="J155" s="71" t="str">
        <f>IFERROR(__xludf.DUMMYFUNCTION("IFERROR(QUERY(Steps!$A$16:$FZ995, ""Select "" &amp; SUBSTITUTE(ADDRESS(1,MATCH(""uc_Stream4GPM"", Steps!$A$15:$FZ$15, 0),4),1,"""") &amp; "" where "" &amp; SUBSTITUTE(ADDRESS(1,MATCH(""uc_StepNumber"", Steps!$A$15:$FZ$15, 0),4),1,"""") &amp; ""  = "" &amp; $A153 ))"),"")</f>
        <v/>
      </c>
      <c r="K155" s="71" t="str">
        <f>IFERROR(__xludf.DUMMYFUNCTION("IFERROR(QUERY(Steps!$A$16:$FZ995, ""Select "" &amp; SUBSTITUTE(ADDRESS(1,MATCH(""uc_Stream5GPM"", Steps!$A$15:$FZ$15, 0),4),1,"""") &amp; "" where "" &amp; SUBSTITUTE(ADDRESS(1,MATCH(""uc_StepNumber"", Steps!$A$15:$FZ$15, 0),4),1,"""") &amp; ""  = "" &amp; $A153 ))"),"")</f>
        <v/>
      </c>
      <c r="L155" s="71" t="str">
        <f>IFERROR(__xludf.DUMMYFUNCTION("IFERROR(QUERY(Steps!$A$16:$FZ995, ""Select "" &amp; SUBSTITUTE(ADDRESS(1,MATCH(""uc_Stream6GPM"", Steps!$A$15:$FZ$15, 0),4),1,"""") &amp; "" where "" &amp; SUBSTITUTE(ADDRESS(1,MATCH(""uc_StepNumber"", Steps!$A$15:$FZ$15, 0),4),1,"""") &amp; ""= "" &amp; $A153 ))"),"")</f>
        <v/>
      </c>
      <c r="M155" s="71" t="str">
        <f>IFERROR(__xludf.DUMMYFUNCTION("IFERROR(QUERY(Steps!$A$16:$FZ995, ""Select "" &amp; SUBSTITUTE(ADDRESS(1,MATCH(""uc_Stream7GPM"", Steps!$A$15:$FZ$15, 0),4),1,"""") &amp; "" where "" &amp; SUBSTITUTE(ADDRESS(1,MATCH(""uc_StepNumber"", Steps!$A$15:$FZ$15, 0),4),1,"""") &amp; "" = "" &amp; $A153 ))"),"")</f>
        <v/>
      </c>
      <c r="N155" s="71" t="str">
        <f>IFERROR(__xludf.DUMMYFUNCTION("IFERROR(QUERY(Steps!$A$16:$FZ995, ""Select "" &amp; SUBSTITUTE(ADDRESS(1,MATCH(""uc_Stream8GPM"", Steps!$A$15:$FZ$15, 0),4),1,"""") &amp; "" where "" &amp; SUBSTITUTE(ADDRESS(1,MATCH(""uc_StepNumber"", Steps!$A$15:$FZ$15, 0),4),1,"""") &amp; ""= "" &amp; $A153 ))"),"")</f>
        <v/>
      </c>
      <c r="O155" s="71" t="str">
        <f>IFERROR(__xludf.DUMMYFUNCTION("IFERROR(QUERY(Steps!$A$16:$FZ995, ""Select "" &amp; SUBSTITUTE(ADDRESS(1,MATCH(""uc_Stream9GPM"", Steps!$A$15:$FZ$15, 0),4),1,"""") &amp; "" where "" &amp; SUBSTITUTE(ADDRESS(1,MATCH(""uc_StepNumber"", Steps!$A$15:$FZ$15, 0),4),1,"""") &amp; ""= "" &amp; $A153 ))"),"")</f>
        <v/>
      </c>
      <c r="P155" s="71" t="str">
        <f>IFERROR(__xludf.DUMMYFUNCTION("IFERROR(QUERY(Steps!$A$16:$FZ995, ""Select "" &amp; SUBSTITUTE(ADDRESS(1,MATCH(""uc_Stream10GPM"", Steps!$A$15:$FZ$15, 0),4),1,"""") &amp; "" where "" &amp; SUBSTITUTE(ADDRESS(1,MATCH(""uc_StepNumber"", Steps!$A$15:$FZ$15, 0),4),1,"""") &amp; ""= "" &amp; $A153 ))"),"")</f>
        <v/>
      </c>
      <c r="Q155" s="56"/>
      <c r="R155" s="56"/>
      <c r="S155" s="72" t="str">
        <f>IFERROR(__xludf.DUMMYFUNCTION("IFERROR(QUERY(Steps!$A$16:$FZ995, ""Select "" &amp; SUBSTITUTE(ADDRESS(1,MATCH(""uc_VoltsLeg3"", Steps!$A$15:$FZ$15, 0),4),1,"""") &amp; "" where "" &amp; SUBSTITUTE(ADDRESS(1,MATCH(""uc_StepNumber"", Steps!$A$15:$FZ$15, 0),4),1,"""") &amp; ""= "" &amp; $A153 ))"),"")</f>
        <v/>
      </c>
      <c r="T155" s="72" t="str">
        <f>IFERROR(__xludf.DUMMYFUNCTION("IFERROR(QUERY(Steps!$A$16:$FZ995, ""Select "" &amp; SUBSTITUTE(ADDRESS(1,MATCH(""uc_AmpsLeg3"", Steps!$A$15:$FZ$15, 0),4),1,"""") &amp; "" where "" &amp; SUBSTITUTE(ADDRESS(1,MATCH(""uc_StepNumber"", Steps!$A$15:$FZ$15, 0),4),1,"""") &amp; ""= "" &amp; $A153 ))"),"")</f>
        <v/>
      </c>
      <c r="U155" s="56"/>
      <c r="V155" s="73"/>
    </row>
    <row r="156">
      <c r="A156" s="74">
        <v>10.0</v>
      </c>
      <c r="B156" s="61" t="str">
        <f>IFERROR(__xludf.DUMMYFUNCTION("iferror(QUERY(Steps!$A$16:$FZ995, ""Select "" &amp; SUBSTITUTE(ADDRESS(1,MATCH(""uc_RPM"", Steps!$A$15:$FZ$15, 0),4),1,"""") &amp; "" where "" &amp; SUBSTITUTE(ADDRESS(1,MATCH(""uc_StepNumber"", Steps!$A$15:$FZ$15, 0),4),1,"""") &amp; "" = "" &amp; $A156 ))"),"")</f>
        <v/>
      </c>
      <c r="C156" s="41" t="str">
        <f>IFERROR(__xludf.DUMMYFUNCTION("iferror(QUERY(Steps!$A$16:$FZ995, ""Select "" &amp; SUBSTITUTE(ADDRESS(1,MATCH(""uc_Discharge"", Steps!$A$15:$FZ$15, 0),4),1,"""") &amp; "" where "" &amp; SUBSTITUTE(ADDRESS(1,MATCH(""uc_StepNumber"", Steps!$A$15:$FZ$15, 0),4),1,"""") &amp; ""  = "" &amp; $A156 ))"),"")</f>
        <v/>
      </c>
      <c r="D156" s="41" t="str">
        <f>IFERROR(__xludf.DUMMYFUNCTION("iferror(QUERY(Steps!$A$16:$FZ995, ""Select "" &amp; SUBSTITUTE(ADDRESS(1,MATCH(""uc_Suction"", Steps!$A$15:$FZ$15, 0),4),1,"""") &amp; "" where "" &amp; SUBSTITUTE(ADDRESS(1,MATCH(""uc_StepNumber"", Steps!$A$15:$FZ$15, 0),4),1,"""") &amp; ""  = "" &amp; $A156 ))"),"")</f>
        <v/>
      </c>
      <c r="E156" s="46" t="str">
        <f>IFERROR(__xludf.DUMMYFUNCTION("iferror(QUERY(Steps!$A$16:$FZ995, ""Select "" &amp; SUBSTITUTE(ADDRESS(1,MATCH(""uc_NET"", Steps!$A$15:$FZ$15, 0),4),1,"""") &amp; "" where "" &amp; SUBSTITUTE(ADDRESS(1,MATCH(""uc_StepNumber"", Steps!$A$15:$FZ$15, 0),4),1,"""") &amp; ""  = "" &amp; $A156 ))"),"")</f>
        <v/>
      </c>
      <c r="F156" s="43" t="s">
        <v>92</v>
      </c>
      <c r="G156" s="62" t="str">
        <f>IFERROR(__xludf.DUMMYFUNCTION("iferror(QUERY(Steps!$A$16:$FZ995, ""Select "" &amp; SUBSTITUTE(ADDRESS(1,MATCH(""uc_Stream1PN"", Steps!$A$15:$FZ$15, 0),4),1,"""") &amp; "" where "" &amp; SUBSTITUTE(ADDRESS(1,MATCH(""uc_StepNumber"", Steps!$A$15:$FZ$15, 0),4),1,"""") &amp; ""  = "" &amp; $A156 ))"),"")</f>
        <v/>
      </c>
      <c r="H156" s="75" t="str">
        <f>IFERROR(__xludf.DUMMYFUNCTION("iferror(QUERY(Steps!$A$16:$FZ995, ""Select "" &amp; SUBSTITUTE(ADDRESS(1,MATCH(""uc_Stream2PN"", Steps!$A$15:$FZ$15, 0),4),1,"""") &amp; "" where "" &amp; SUBSTITUTE(ADDRESS(1,MATCH(""uc_StepNumber"", Steps!$A$15:$FZ$15, 0),4),1,"""") &amp; ""  = "" &amp; $A156 ))"),"")</f>
        <v/>
      </c>
      <c r="I156" s="45" t="str">
        <f>IFERROR(__xludf.DUMMYFUNCTION("iferror(QUERY(Steps!$A$16:$FZ995, ""Select `"" &amp; SUBSTITUTE(ADDRESS(1,MATCH(""uc_Stream3PN"", Steps!$A$15:$FZ$15, 0),4),1,"""") &amp; ""` where "" &amp; SUBSTITUTE(ADDRESS(1,MATCH(""uc_StepNumber"", Steps!$A$15:$FZ$15, 0),4),1,"""") &amp; ""  = "" &amp; $A156 ))"),"")</f>
        <v/>
      </c>
      <c r="J156" s="75" t="str">
        <f>IFERROR(__xludf.DUMMYFUNCTION("iferror(QUERY(Steps!$A$16:$FZ995, ""Select "" &amp; SUBSTITUTE(ADDRESS(1,MATCH(""uc_Stream4PN"", Steps!$A$15:$FZ$15, 0),4),1,"""") &amp; "" where "" &amp; SUBSTITUTE(ADDRESS(1,MATCH(""uc_StepNumber"", Steps!$A$15:$FZ$15, 0),4),1,"""") &amp; ""  = "" &amp; $A156 ))"),"")</f>
        <v/>
      </c>
      <c r="K156" s="75" t="str">
        <f>IFERROR(__xludf.DUMMYFUNCTION("IFERROR(QUERY(Steps!$A$16:$FZ995, ""Select "" &amp; SUBSTITUTE(ADDRESS(1,MATCH(""uc_Stream5PN"", Steps!$A$15:$FZ$15, 0),4),1,"""") &amp; "" where "" &amp; SUBSTITUTE(ADDRESS(1,MATCH(""uc_StepNumber"", Steps!$A$15:$FZ$15, 0),4),1,"""") &amp; ""  = "" &amp; $A156 ))"),"")</f>
        <v/>
      </c>
      <c r="L156" s="75" t="str">
        <f>IFERROR(__xludf.DUMMYFUNCTION("IFERROR(QUERY(Steps!$A$16:$FZ995, ""Select "" &amp; SUBSTITUTE(ADDRESS(1,MATCH(""uc_Stream6PN"", Steps!$A$15:$FZ$15, 0),4),1,"""") &amp; "" where "" &amp; SUBSTITUTE(ADDRESS(1,MATCH(""uc_StepNumber"", Steps!$A$15:$FZ$15, 0),4),1,"""") &amp; ""= "" &amp; $A156 ))"),"")</f>
        <v/>
      </c>
      <c r="M156" s="75" t="str">
        <f>IFERROR(__xludf.DUMMYFUNCTION("IFERROR(QUERY(Steps!$A$16:$FZ995, ""Select "" &amp; SUBSTITUTE(ADDRESS(1,MATCH(""uc_Stream7PN"", Steps!$A$15:$FZ$15, 0),4),1,"""") &amp; "" where "" &amp; SUBSTITUTE(ADDRESS(1,MATCH(""uc_StepNumber"", Steps!$A$15:$FZ$15, 0),4),1,"""") &amp; ""= "" &amp; $A156 ))"),"")</f>
        <v/>
      </c>
      <c r="N156" s="75" t="str">
        <f>IFERROR(__xludf.DUMMYFUNCTION("IFERROR(QUERY(Steps!$A$16:$FZ995, ""Select "" &amp; SUBSTITUTE(ADDRESS(1,MATCH(""uc_Stream8PN"", Steps!$A$15:$FZ$15, 0),4),1,"""") &amp; "" where "" &amp; SUBSTITUTE(ADDRESS(1,MATCH(""uc_StepNumber"", Steps!$A$15:$FZ$15, 0),4),1,"""") &amp; "" = "" &amp; $A156 ))"),"")</f>
        <v/>
      </c>
      <c r="O156" s="75" t="str">
        <f>IFERROR(__xludf.DUMMYFUNCTION("IFERROR(QUERY(Steps!$A$16:$FZ995, ""Select "" &amp; SUBSTITUTE(ADDRESS(1,MATCH(""uc_Stream9PN"", Steps!$A$15:$FZ$15, 0),4),1,"""") &amp; "" where "" &amp; SUBSTITUTE(ADDRESS(1,MATCH(""uc_StepNumber"", Steps!$A$15:$FZ$15, 0),4),1,"""") &amp; ""= "" &amp; $A156 ))"),"")</f>
        <v/>
      </c>
      <c r="P156" s="75" t="str">
        <f>IFERROR(__xludf.DUMMYFUNCTION("IFERROR(QUERY(Steps!$A$16:$FZ995, ""Select "" &amp; SUBSTITUTE(ADDRESS(1,MATCH(""uc_Stream10PN"", Steps!$A$15:$FZ$15, 0),4),1,"""") &amp; "" where "" &amp; SUBSTITUTE(ADDRESS(1,MATCH(""uc_StepNumber"", Steps!$A$15:$FZ$15, 0),4),1,"""") &amp; ""= "" &amp; $A156 ))"),"")</f>
        <v/>
      </c>
      <c r="Q156" s="46" t="str">
        <f>IFERROR(__xludf.DUMMYFUNCTION("IFERROR(QUERY(Steps!$A$16:$FZ995, ""Select "" &amp; SUBSTITUTE(ADDRESS(1,MATCH(""uc_FlowGPM"", Steps!$A$15:$FZ$15, 0),4),1,"""") &amp; "" where "" &amp; SUBSTITUTE(ADDRESS(1,MATCH(""uc_StepNumber"", Steps!$A$15:$FZ$15, 0),4),1,"""") &amp; ""= "" &amp; $A156 ))"),"")</f>
        <v/>
      </c>
      <c r="R156" s="46" t="str">
        <f>IFERROR(__xludf.DUMMYFUNCTION("IFERROR(QUERY(Steps!$A$16:$FZ995, ""Select "" &amp; SUBSTITUTE(ADDRESS(1,MATCH(""uc_PercentRatedCapacity"", Steps!$A$15:$FZ$15, 0),4),1,"""") &amp; "" where "" &amp; SUBSTITUTE(ADDRESS(1,MATCH(""uc_StepNumber"", Steps!$A$15:$FZ$15, 0),4),1,"""") &amp; ""= "" &amp; $A156 ))"),"")</f>
        <v/>
      </c>
      <c r="S156" s="63" t="str">
        <f>IFERROR(__xludf.DUMMYFUNCTION("IFERROR(QUERY(Steps!$A$16:$FZ995, ""Select "" &amp; SUBSTITUTE(ADDRESS(1,MATCH(""uc_VoltsLeg1"", Steps!$A$15:$FZ$15, 0),4),1,"""") &amp; "" where "" &amp; SUBSTITUTE(ADDRESS(1,MATCH(""uc_StepNumber"", Steps!$A$15:$FZ$15, 0),4),1,"""") &amp; ""= "" &amp; $A156 ))"),"")</f>
        <v/>
      </c>
      <c r="T156" s="63" t="str">
        <f>IFERROR(__xludf.DUMMYFUNCTION("IFERROR(QUERY(Steps!$A$16:$FZ995, ""Select "" &amp; SUBSTITUTE(ADDRESS(1,MATCH(""uc_AmpsLeg1"", Steps!$A$15:$FZ$15, 0),4),1,"""") &amp; "" where "" &amp; SUBSTITUTE(ADDRESS(1,MATCH(""uc_StepNumber"", Steps!$A$15:$FZ$15, 0),4),1,"""") &amp; ""= "" &amp; $A156 ))"),"")</f>
        <v/>
      </c>
      <c r="U156" s="46" t="str">
        <f>IFERROR(__xludf.DUMMYFUNCTION("IFERROR(QUERY(Steps!$A$16:$FZ995, ""Select "" &amp; SUBSTITUTE(ADDRESS(1,MATCH(""uc_CorrectedFlowPercent"", Steps!$A$15:$FZ$15, 0),4),1,"""") &amp; "" where "" &amp; SUBSTITUTE(ADDRESS(1,MATCH(""uc_StepNumber"", Steps!$A$15:$FZ$15, 0),4),1,"""") &amp; ""= "" &amp; $A156 ))"),"")</f>
        <v/>
      </c>
      <c r="V156" s="64" t="str">
        <f>IFERROR(__xludf.DUMMYFUNCTION("IFERROR(QUERY(Steps!$A$16:$FZ995, ""Select "" &amp; SUBSTITUTE(ADDRESS(1,MATCH(""uc_CorrectedPressure"", Steps!$A$15:$FZ$15, 0),4),1,"""") &amp; "" where "" &amp; SUBSTITUTE(ADDRESS(1,MATCH(""uc_StepNumber"", Steps!$A$15:$FZ$15, 0),4),1,"""") &amp; ""= "" &amp; $A156 ))"),"")</f>
        <v/>
      </c>
    </row>
    <row r="157">
      <c r="A157" s="66"/>
      <c r="B157" s="66"/>
      <c r="C157" s="50"/>
      <c r="D157" s="50"/>
      <c r="E157" s="50"/>
      <c r="F157" s="51" t="s">
        <v>93</v>
      </c>
      <c r="G157" s="52" t="str">
        <f>IFERROR(__xludf.DUMMYFUNCTION("IFERROR(QUERY(Steps!$A$16:$FZ995, ""Select "" &amp; SUBSTITUTE(ADDRESS(1,MATCH(""uc_Stream1PSI"", Steps!$A$15:$FZ$15, 0),4),1,"""") &amp; "" where "" &amp; SUBSTITUTE(ADDRESS(1,MATCH(""uc_StepNumber"", Steps!$A$15:$FZ$15, 0),4),1,"""") &amp; ""  = "" &amp; $A156 ))"),"")</f>
        <v/>
      </c>
      <c r="H157" s="52" t="str">
        <f>IFERROR(__xludf.DUMMYFUNCTION("IFERROR(QUERY(Steps!$A$16:$FZ995, ""Select "" &amp; SUBSTITUTE(ADDRESS(1,MATCH(""uc_Stream2PSI"", Steps!$A$15:$FZ$15, 0),4),1,"""") &amp; "" where "" &amp; SUBSTITUTE(ADDRESS(1,MATCH(""uc_StepNumber"", Steps!$A$15:$FZ$15, 0),4),1,"""") &amp; ""  = "" &amp; $A156 ))"),"")</f>
        <v/>
      </c>
      <c r="I157" s="52" t="str">
        <f>IFERROR(__xludf.DUMMYFUNCTION("IFERROR(QUERY(Steps!$A$16:$FZ995, ""Select "" &amp; SUBSTITUTE(ADDRESS(1,MATCH(""uc_Stream3PSI"", Steps!$A$15:$FZ$15, 0),4),1,"""") &amp; "" where "" &amp; SUBSTITUTE(ADDRESS(1,MATCH(""uc_StepNumber"", Steps!$A$15:$FZ$15, 0),4),1,"""") &amp; ""  = "" &amp; $A156 ))"),"")</f>
        <v/>
      </c>
      <c r="J157" s="53" t="str">
        <f>IFERROR(__xludf.DUMMYFUNCTION("IFERROR(QUERY(Steps!$A$16:$FZ995, ""Select "" &amp; SUBSTITUTE(ADDRESS(1,MATCH(""uc_Stream4PSI"", Steps!$A$15:$FZ$15, 0),4),1,"""") &amp; "" where "" &amp; SUBSTITUTE(ADDRESS(1,MATCH(""uc_StepNumber"", Steps!$A$15:$FZ$15, 0),4),1,"""") &amp; ""  = "" &amp; $A156 ))"),"")</f>
        <v/>
      </c>
      <c r="K157" s="53" t="str">
        <f>IFERROR(__xludf.DUMMYFUNCTION("IFERROR(QUERY(Steps!$A$16:$FZ995, ""Select "" &amp; SUBSTITUTE(ADDRESS(1,MATCH(""uc_Stream5PSI"", Steps!$A$15:$FZ$15, 0),4),1,"""") &amp; "" where "" &amp; SUBSTITUTE(ADDRESS(1,MATCH(""uc_StepNumber"", Steps!$A$15:$FZ$15, 0),4),1,"""") &amp; ""  = "" &amp; $A156 ))"),"")</f>
        <v/>
      </c>
      <c r="L157" s="53" t="str">
        <f>IFERROR(__xludf.DUMMYFUNCTION("IFERROR(QUERY(Steps!$A$16:$FZ995, ""Select "" &amp; SUBSTITUTE(ADDRESS(1,MATCH(""uc_Stream6PSI"", Steps!$A$15:$FZ$15, 0),4),1,"""") &amp; "" where "" &amp; SUBSTITUTE(ADDRESS(1,MATCH(""uc_StepNumber"", Steps!$A$15:$FZ$15, 0),4),1,"""") &amp; ""= "" &amp; $A156 ))"),"")</f>
        <v/>
      </c>
      <c r="M157" s="53" t="str">
        <f>IFERROR(__xludf.DUMMYFUNCTION("IFERROR(QUERY(Steps!$A$16:$FZ995, ""Select "" &amp; SUBSTITUTE(ADDRESS(1,MATCH(""uc_Stream7PSI"", Steps!$A$15:$FZ$15, 0),4),1,"""") &amp; "" where "" &amp; SUBSTITUTE(ADDRESS(1,MATCH(""uc_StepNumber"", Steps!$A$15:$FZ$15, 0),4),1,"""") &amp; "" = "" &amp; $A156 ))"),"")</f>
        <v/>
      </c>
      <c r="N157" s="53" t="str">
        <f>IFERROR(__xludf.DUMMYFUNCTION("IFERROR(QUERY(Steps!$A$16:$FZ995, ""Select "" &amp; SUBSTITUTE(ADDRESS(1,MATCH(""uc_Stream8PSI"", Steps!$A$15:$FZ$15, 0),4),1,"""") &amp; "" where "" &amp; SUBSTITUTE(ADDRESS(1,MATCH(""uc_StepNumber"", Steps!$A$15:$FZ$15, 0),4),1,"""") &amp; ""= "" &amp; $A156 ))"),"")</f>
        <v/>
      </c>
      <c r="O157" s="53" t="str">
        <f>IFERROR(__xludf.DUMMYFUNCTION("IFERROR(QUERY(Steps!$A$16:$FZ995, ""Select "" &amp; SUBSTITUTE(ADDRESS(1,MATCH(""uc_Stream9PSI"", Steps!$A$15:$FZ$15, 0),4),1,"""") &amp; "" where "" &amp; SUBSTITUTE(ADDRESS(1,MATCH(""uc_StepNumber"", Steps!$A$15:$FZ$15, 0),4),1,"""") &amp; ""= "" &amp; $A156 ))"),"")</f>
        <v/>
      </c>
      <c r="P157" s="53" t="str">
        <f>IFERROR(__xludf.DUMMYFUNCTION("IFERROR(QUERY(Steps!$A$16:$FZ995, ""Select "" &amp; SUBSTITUTE(ADDRESS(1,MATCH(""uc_Stream10PSI"", Steps!$A$15:$FZ$15, 0),4),1,"""") &amp; "" where "" &amp; SUBSTITUTE(ADDRESS(1,MATCH(""uc_StepNumber"", Steps!$A$15:$FZ$15, 0),4),1,"""") &amp; ""= "" &amp; $A156 ))"),"")</f>
        <v/>
      </c>
      <c r="Q157" s="50"/>
      <c r="R157" s="50"/>
      <c r="S157" s="47" t="str">
        <f>IFERROR(__xludf.DUMMYFUNCTION("IFERROR(QUERY(Steps!$A$16:$FZ995, ""Select "" &amp; SUBSTITUTE(ADDRESS(1,MATCH(""uc_VoltsLeg2"", Steps!$A$15:$FZ$15, 0),4),1,"""") &amp; "" where "" &amp; SUBSTITUTE(ADDRESS(1,MATCH(""uc_StepNumber"", Steps!$A$15:$FZ$15, 0),4),1,"""") &amp; ""= "" &amp; $A156 ))"),"")</f>
        <v/>
      </c>
      <c r="T157" s="47" t="str">
        <f>IFERROR(__xludf.DUMMYFUNCTION("IFERROR(QUERY(Steps!$A$16:$FZ995, ""Select "" &amp; SUBSTITUTE(ADDRESS(1,MATCH(""uc_AmpsLeg2"", Steps!$A$15:$FZ$15, 0),4),1,"""") &amp; "" where "" &amp; SUBSTITUTE(ADDRESS(1,MATCH(""uc_StepNumber"", Steps!$A$15:$FZ$15, 0),4),1,"""") &amp; ""= "" &amp; $A156 ))"),"")</f>
        <v/>
      </c>
      <c r="U157" s="50"/>
      <c r="V157" s="67"/>
    </row>
    <row r="158">
      <c r="A158" s="69"/>
      <c r="B158" s="69"/>
      <c r="C158" s="56"/>
      <c r="D158" s="56"/>
      <c r="E158" s="56"/>
      <c r="F158" s="70" t="s">
        <v>94</v>
      </c>
      <c r="G158" s="71" t="str">
        <f>IFERROR(__xludf.DUMMYFUNCTION("IFERROR(QUERY(Steps!$A$16:$FZ995, ""Select "" &amp; SUBSTITUTE(ADDRESS(1,MATCH(""uc_Stream1GPM"", Steps!$A$15:$FZ$15, 0),4),1,"""") &amp; "" where "" &amp; SUBSTITUTE(ADDRESS(1,MATCH(""uc_StepNumber"", Steps!$A$15:$FZ$15, 0),4),1,"""") &amp; ""  = "" &amp; $A156 ))"),"")</f>
        <v/>
      </c>
      <c r="H158" s="71" t="str">
        <f>IFERROR(__xludf.DUMMYFUNCTION("IFERROR(QUERY(Steps!$A$16:$FZ995, ""Select "" &amp; SUBSTITUTE(ADDRESS(1,MATCH(""uc_Stream2GPM"", Steps!$A$15:$FZ$15, 0),4),1,"""") &amp; "" where "" &amp; SUBSTITUTE(ADDRESS(1,MATCH(""uc_StepNumber"", Steps!$A$15:$FZ$15, 0),4),1,"""") &amp; ""  = "" &amp; $A156 ))"),"")</f>
        <v/>
      </c>
      <c r="I158" s="71" t="str">
        <f>IFERROR(__xludf.DUMMYFUNCTION("IFERROR(QUERY(Steps!$A$16:$FZ995, ""Select "" &amp; SUBSTITUTE(ADDRESS(1,MATCH(""uc_Stream3GPM"", Steps!$A$15:$FZ$15, 0),4),1,"""") &amp; "" where "" &amp; SUBSTITUTE(ADDRESS(1,MATCH(""uc_StepNumber"", Steps!$A$15:$FZ$15, 0),4),1,"""") &amp; ""  = "" &amp; $A156 ))"),"")</f>
        <v/>
      </c>
      <c r="J158" s="71" t="str">
        <f>IFERROR(__xludf.DUMMYFUNCTION("IFERROR(QUERY(Steps!$A$16:$FZ995, ""Select "" &amp; SUBSTITUTE(ADDRESS(1,MATCH(""uc_Stream4GPM"", Steps!$A$15:$FZ$15, 0),4),1,"""") &amp; "" where "" &amp; SUBSTITUTE(ADDRESS(1,MATCH(""uc_StepNumber"", Steps!$A$15:$FZ$15, 0),4),1,"""") &amp; ""  = "" &amp; $A156 ))"),"")</f>
        <v/>
      </c>
      <c r="K158" s="71" t="str">
        <f>IFERROR(__xludf.DUMMYFUNCTION("IFERROR(QUERY(Steps!$A$16:$FZ995, ""Select "" &amp; SUBSTITUTE(ADDRESS(1,MATCH(""uc_Stream5GPM"", Steps!$A$15:$FZ$15, 0),4),1,"""") &amp; "" where "" &amp; SUBSTITUTE(ADDRESS(1,MATCH(""uc_StepNumber"", Steps!$A$15:$FZ$15, 0),4),1,"""") &amp; ""  = "" &amp; $A156 ))"),"")</f>
        <v/>
      </c>
      <c r="L158" s="71" t="str">
        <f>IFERROR(__xludf.DUMMYFUNCTION("IFERROR(QUERY(Steps!$A$16:$FZ995, ""Select "" &amp; SUBSTITUTE(ADDRESS(1,MATCH(""uc_Stream6GPM"", Steps!$A$15:$FZ$15, 0),4),1,"""") &amp; "" where "" &amp; SUBSTITUTE(ADDRESS(1,MATCH(""uc_StepNumber"", Steps!$A$15:$FZ$15, 0),4),1,"""") &amp; ""= "" &amp; $A156 ))"),"")</f>
        <v/>
      </c>
      <c r="M158" s="71" t="str">
        <f>IFERROR(__xludf.DUMMYFUNCTION("IFERROR(QUERY(Steps!$A$16:$FZ995, ""Select "" &amp; SUBSTITUTE(ADDRESS(1,MATCH(""uc_Stream7GPM"", Steps!$A$15:$FZ$15, 0),4),1,"""") &amp; "" where "" &amp; SUBSTITUTE(ADDRESS(1,MATCH(""uc_StepNumber"", Steps!$A$15:$FZ$15, 0),4),1,"""") &amp; "" = "" &amp; $A156 ))"),"")</f>
        <v/>
      </c>
      <c r="N158" s="71" t="str">
        <f>IFERROR(__xludf.DUMMYFUNCTION("IFERROR(QUERY(Steps!$A$16:$FZ995, ""Select "" &amp; SUBSTITUTE(ADDRESS(1,MATCH(""uc_Stream8GPM"", Steps!$A$15:$FZ$15, 0),4),1,"""") &amp; "" where "" &amp; SUBSTITUTE(ADDRESS(1,MATCH(""uc_StepNumber"", Steps!$A$15:$FZ$15, 0),4),1,"""") &amp; ""= "" &amp; $A156 ))"),"")</f>
        <v/>
      </c>
      <c r="O158" s="71" t="str">
        <f>IFERROR(__xludf.DUMMYFUNCTION("IFERROR(QUERY(Steps!$A$16:$FZ995, ""Select "" &amp; SUBSTITUTE(ADDRESS(1,MATCH(""uc_Stream9GPM"", Steps!$A$15:$FZ$15, 0),4),1,"""") &amp; "" where "" &amp; SUBSTITUTE(ADDRESS(1,MATCH(""uc_StepNumber"", Steps!$A$15:$FZ$15, 0),4),1,"""") &amp; ""= "" &amp; $A156 ))"),"")</f>
        <v/>
      </c>
      <c r="P158" s="71" t="str">
        <f>IFERROR(__xludf.DUMMYFUNCTION("IFERROR(QUERY(Steps!$A$16:$FZ995, ""Select "" &amp; SUBSTITUTE(ADDRESS(1,MATCH(""uc_Stream10GPM"", Steps!$A$15:$FZ$15, 0),4),1,"""") &amp; "" where "" &amp; SUBSTITUTE(ADDRESS(1,MATCH(""uc_StepNumber"", Steps!$A$15:$FZ$15, 0),4),1,"""") &amp; ""= "" &amp; $A156 ))"),"")</f>
        <v/>
      </c>
      <c r="Q158" s="56"/>
      <c r="R158" s="56"/>
      <c r="S158" s="72" t="str">
        <f>IFERROR(__xludf.DUMMYFUNCTION("IFERROR(QUERY(Steps!$A$16:$FZ995, ""Select "" &amp; SUBSTITUTE(ADDRESS(1,MATCH(""uc_VoltsLeg3"", Steps!$A$15:$FZ$15, 0),4),1,"""") &amp; "" where "" &amp; SUBSTITUTE(ADDRESS(1,MATCH(""uc_StepNumber"", Steps!$A$15:$FZ$15, 0),4),1,"""") &amp; ""= "" &amp; $A156 ))"),"")</f>
        <v/>
      </c>
      <c r="T158" s="72" t="str">
        <f>IFERROR(__xludf.DUMMYFUNCTION("IFERROR(QUERY(Steps!$A$16:$FZ995, ""Select "" &amp; SUBSTITUTE(ADDRESS(1,MATCH(""uc_AmpsLeg3"", Steps!$A$15:$FZ$15, 0),4),1,"""") &amp; "" where "" &amp; SUBSTITUTE(ADDRESS(1,MATCH(""uc_StepNumber"", Steps!$A$15:$FZ$15, 0),4),1,"""") &amp; ""= "" &amp; $A156 ))"),"")</f>
        <v/>
      </c>
      <c r="U158" s="56"/>
      <c r="V158" s="73"/>
    </row>
    <row r="160" ht="120.0" customHeight="1"/>
    <row r="161" ht="32.25" customHeight="1"/>
    <row r="162" ht="79.5" customHeight="1"/>
    <row r="164" ht="42.0" customHeight="1"/>
    <row r="165" ht="42.75" customHeight="1"/>
    <row r="166" ht="9.75" customHeight="1">
      <c r="I166" s="24"/>
      <c r="J166" s="24"/>
      <c r="K166" s="24"/>
      <c r="L166" s="24"/>
      <c r="M166" s="24"/>
      <c r="N166" s="24"/>
      <c r="O166" s="24"/>
    </row>
    <row r="167">
      <c r="I167" s="24"/>
      <c r="J167" s="18" t="s">
        <v>13</v>
      </c>
      <c r="K167" s="19" t="str">
        <f>HLOOKUP("uc_AssetTag", Data!$A$1:$EZ$2, 2, FALSE)</f>
        <v>UC-FP-1</v>
      </c>
    </row>
    <row r="168">
      <c r="I168" s="24"/>
      <c r="J168" s="18" t="s">
        <v>17</v>
      </c>
      <c r="K168" s="22">
        <f>HLOOKUP("uc_ReportDate", Data!$A$1:$EZ$2, 2, FALSE)</f>
        <v>43865</v>
      </c>
    </row>
    <row r="170">
      <c r="B170" s="76"/>
      <c r="T170" s="77"/>
    </row>
    <row r="171">
      <c r="B171" s="76"/>
      <c r="T171" s="77"/>
    </row>
    <row r="172">
      <c r="B172" s="76"/>
      <c r="T172" s="77"/>
    </row>
    <row r="173">
      <c r="B173" s="76"/>
      <c r="T173" s="77"/>
    </row>
    <row r="174">
      <c r="B174" s="76"/>
      <c r="T174" s="77"/>
    </row>
    <row r="175">
      <c r="B175" s="76"/>
      <c r="T175" s="77"/>
    </row>
    <row r="176">
      <c r="B176" s="76"/>
      <c r="T176" s="77"/>
    </row>
    <row r="177">
      <c r="B177" s="76"/>
      <c r="T177" s="77"/>
    </row>
    <row r="178">
      <c r="B178" s="76"/>
      <c r="T178" s="77"/>
    </row>
    <row r="179">
      <c r="B179" s="76"/>
      <c r="T179" s="77"/>
    </row>
    <row r="180">
      <c r="B180" s="76"/>
      <c r="T180" s="77"/>
    </row>
    <row r="181">
      <c r="B181" s="76"/>
      <c r="T181" s="77"/>
    </row>
    <row r="182">
      <c r="B182" s="76"/>
      <c r="T182" s="77"/>
    </row>
    <row r="183">
      <c r="B183" s="76"/>
      <c r="T183" s="77"/>
    </row>
    <row r="184">
      <c r="B184" s="76"/>
      <c r="T184" s="77"/>
    </row>
    <row r="185">
      <c r="B185" s="76"/>
      <c r="T185" s="77"/>
    </row>
    <row r="186">
      <c r="B186" s="76"/>
      <c r="T186" s="77"/>
    </row>
    <row r="187">
      <c r="B187" s="76"/>
      <c r="T187" s="77"/>
    </row>
    <row r="188">
      <c r="B188" s="76"/>
      <c r="T188" s="77"/>
    </row>
    <row r="189">
      <c r="B189" s="76"/>
      <c r="T189" s="77"/>
    </row>
    <row r="190">
      <c r="B190" s="76"/>
      <c r="T190" s="77"/>
    </row>
    <row r="191">
      <c r="B191" s="76"/>
      <c r="T191" s="77"/>
    </row>
    <row r="192">
      <c r="B192" s="76"/>
      <c r="T192" s="77"/>
    </row>
    <row r="193">
      <c r="B193" s="76"/>
      <c r="T193" s="77"/>
    </row>
    <row r="194">
      <c r="B194" s="76"/>
      <c r="T194" s="77"/>
    </row>
    <row r="195">
      <c r="B195" s="76"/>
      <c r="T195" s="77"/>
    </row>
    <row r="196">
      <c r="B196" s="76"/>
      <c r="T196" s="77"/>
    </row>
    <row r="197">
      <c r="B197" s="76"/>
      <c r="T197" s="77"/>
    </row>
    <row r="198">
      <c r="B198" s="76"/>
      <c r="T198" s="77"/>
    </row>
    <row r="199"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</row>
    <row r="201" ht="18.75" customHeight="1"/>
    <row r="202" ht="54.0" customHeight="1">
      <c r="D202" s="79" t="s">
        <v>95</v>
      </c>
      <c r="E202" s="79" t="s">
        <v>96</v>
      </c>
      <c r="F202" s="80" t="s">
        <v>97</v>
      </c>
      <c r="G202" s="28"/>
      <c r="H202" s="80" t="s">
        <v>79</v>
      </c>
      <c r="I202" s="28"/>
      <c r="J202" s="79" t="s">
        <v>98</v>
      </c>
      <c r="K202" s="80" t="s">
        <v>99</v>
      </c>
      <c r="L202" s="28"/>
      <c r="M202" s="79" t="s">
        <v>100</v>
      </c>
      <c r="N202" s="79" t="s">
        <v>101</v>
      </c>
      <c r="O202" s="80" t="s">
        <v>102</v>
      </c>
      <c r="P202" s="28"/>
      <c r="Q202" s="80" t="s">
        <v>103</v>
      </c>
      <c r="R202" s="28"/>
    </row>
    <row r="203" ht="18.75" customHeight="1">
      <c r="D203" s="81"/>
      <c r="E203" s="82">
        <f>$E129</f>
        <v>120</v>
      </c>
      <c r="F203" s="83">
        <f>$C129</f>
        <v>164</v>
      </c>
      <c r="G203" s="28"/>
      <c r="H203" s="83">
        <f>$V129</f>
        <v>115.1</v>
      </c>
      <c r="I203" s="28"/>
      <c r="J203" s="82">
        <f>IFERROR(AVERAGE(T129:T131),0)</f>
        <v>79.33333333</v>
      </c>
      <c r="K203" s="83">
        <f>$R129</f>
        <v>0</v>
      </c>
      <c r="L203" s="28"/>
      <c r="M203" s="82">
        <f>$Q129</f>
        <v>0</v>
      </c>
      <c r="N203" s="82">
        <f>$V129</f>
        <v>115.1</v>
      </c>
      <c r="O203" s="84"/>
      <c r="P203" s="28"/>
      <c r="Q203" s="85">
        <v>1.0</v>
      </c>
      <c r="R203" s="28"/>
    </row>
    <row r="204" ht="18.75" customHeight="1">
      <c r="D204" s="81"/>
      <c r="E204" s="82">
        <f>$E132</f>
        <v>116</v>
      </c>
      <c r="F204" s="83">
        <f>$C132</f>
        <v>160</v>
      </c>
      <c r="G204" s="28"/>
      <c r="H204" s="83">
        <f>$V132</f>
        <v>111.5</v>
      </c>
      <c r="I204" s="28"/>
      <c r="J204" s="82">
        <f>IFERROR(AVERAGE(T132:T134),0)</f>
        <v>84.66666667</v>
      </c>
      <c r="K204" s="83">
        <f>$R132</f>
        <v>51.9</v>
      </c>
      <c r="L204" s="28"/>
      <c r="M204" s="82">
        <f>$Q132</f>
        <v>519</v>
      </c>
      <c r="N204" s="82">
        <f>$V132</f>
        <v>111.5</v>
      </c>
      <c r="O204" s="84"/>
      <c r="P204" s="28"/>
      <c r="Q204" s="85">
        <v>2.0</v>
      </c>
      <c r="R204" s="28"/>
    </row>
    <row r="205" ht="18.75" customHeight="1">
      <c r="D205" s="81"/>
      <c r="E205" s="82">
        <f>$E135</f>
        <v>111</v>
      </c>
      <c r="F205" s="83">
        <f>$C135</f>
        <v>155</v>
      </c>
      <c r="G205" s="28"/>
      <c r="H205" s="83">
        <f>$V135</f>
        <v>106.9</v>
      </c>
      <c r="I205" s="28"/>
      <c r="J205" s="82">
        <f>IFERROR(AVERAGE(T135:T137),0)</f>
        <v>91.66666667</v>
      </c>
      <c r="K205" s="83">
        <f>$R135</f>
        <v>75.6</v>
      </c>
      <c r="L205" s="28"/>
      <c r="M205" s="82">
        <f>$Q135</f>
        <v>755.5</v>
      </c>
      <c r="N205" s="82">
        <f>$V135</f>
        <v>106.9</v>
      </c>
      <c r="O205" s="84"/>
      <c r="P205" s="28"/>
      <c r="Q205" s="85">
        <v>3.0</v>
      </c>
      <c r="R205" s="28"/>
    </row>
    <row r="206" ht="18.75" customHeight="1">
      <c r="D206" s="81"/>
      <c r="E206" s="82">
        <f>$E138</f>
        <v>102</v>
      </c>
      <c r="F206" s="83">
        <f>$C138</f>
        <v>144</v>
      </c>
      <c r="G206" s="28"/>
      <c r="H206" s="83">
        <f>$V138</f>
        <v>98.5</v>
      </c>
      <c r="I206" s="28"/>
      <c r="J206" s="82">
        <f>IFERROR(AVERAGE(T138:T140),0)</f>
        <v>98.33333333</v>
      </c>
      <c r="K206" s="83">
        <f>$R138</f>
        <v>103.1</v>
      </c>
      <c r="L206" s="28"/>
      <c r="M206" s="82">
        <f>$Q138</f>
        <v>1030.7</v>
      </c>
      <c r="N206" s="82">
        <f>$V138</f>
        <v>98.5</v>
      </c>
      <c r="O206" s="84"/>
      <c r="P206" s="28"/>
      <c r="Q206" s="85">
        <v>4.0</v>
      </c>
      <c r="R206" s="28"/>
    </row>
    <row r="207" ht="18.75" customHeight="1">
      <c r="D207" s="81"/>
      <c r="E207" s="82">
        <f>$E141</f>
        <v>78</v>
      </c>
      <c r="F207" s="83">
        <f>$C141</f>
        <v>114</v>
      </c>
      <c r="G207" s="28"/>
      <c r="H207" s="83">
        <f>$V141</f>
        <v>75.4</v>
      </c>
      <c r="I207" s="28"/>
      <c r="J207" s="82">
        <f>IFERROR(AVERAGE(T141:T143),0)</f>
        <v>97.33333333</v>
      </c>
      <c r="K207" s="83">
        <f>$R141</f>
        <v>138.8</v>
      </c>
      <c r="L207" s="28"/>
      <c r="M207" s="82">
        <f>$Q141</f>
        <v>1387.8</v>
      </c>
      <c r="N207" s="82">
        <f>$V141</f>
        <v>75.4</v>
      </c>
      <c r="O207" s="84"/>
      <c r="P207" s="28"/>
      <c r="Q207" s="85">
        <v>5.0</v>
      </c>
      <c r="R207" s="28"/>
    </row>
    <row r="208" ht="18.75" customHeight="1">
      <c r="D208" s="81"/>
      <c r="E208" s="82">
        <f>$E144</f>
        <v>65</v>
      </c>
      <c r="F208" s="83">
        <f>$C144</f>
        <v>99</v>
      </c>
      <c r="G208" s="28"/>
      <c r="H208" s="83">
        <f>$V144</f>
        <v>62.7</v>
      </c>
      <c r="I208" s="28"/>
      <c r="J208" s="82">
        <f>IFERROR(AVERAGE(T144:T146),0)</f>
        <v>97.33333333</v>
      </c>
      <c r="K208" s="83">
        <f>$R144</f>
        <v>153.4</v>
      </c>
      <c r="L208" s="28"/>
      <c r="M208" s="82">
        <f>$Q144</f>
        <v>1534.4</v>
      </c>
      <c r="N208" s="82">
        <f>$V144</f>
        <v>62.7</v>
      </c>
      <c r="O208" s="84"/>
      <c r="P208" s="28"/>
      <c r="Q208" s="85">
        <v>6.0</v>
      </c>
      <c r="R208" s="28"/>
    </row>
    <row r="209" ht="18.75" customHeight="1">
      <c r="D209" s="81"/>
      <c r="E209" s="82" t="str">
        <f>$E147</f>
        <v/>
      </c>
      <c r="F209" s="83" t="str">
        <f>$C147</f>
        <v/>
      </c>
      <c r="G209" s="28"/>
      <c r="H209" s="83" t="str">
        <f>$V147</f>
        <v/>
      </c>
      <c r="I209" s="28"/>
      <c r="J209" s="82">
        <f>IFERROR(AVERAGE(T147:T149),0)</f>
        <v>0</v>
      </c>
      <c r="K209" s="83"/>
      <c r="L209" s="28"/>
      <c r="M209" s="82" t="str">
        <f>$Q147</f>
        <v/>
      </c>
      <c r="N209" s="82" t="str">
        <f>$V147</f>
        <v/>
      </c>
      <c r="O209" s="84"/>
      <c r="P209" s="28"/>
      <c r="Q209" s="85">
        <v>7.0</v>
      </c>
      <c r="R209" s="28"/>
    </row>
    <row r="210" ht="18.75" customHeight="1">
      <c r="D210" s="81"/>
      <c r="E210" s="82" t="str">
        <f>$E150</f>
        <v/>
      </c>
      <c r="F210" s="83" t="str">
        <f>$C150</f>
        <v/>
      </c>
      <c r="G210" s="28"/>
      <c r="H210" s="83" t="str">
        <f>$V150</f>
        <v/>
      </c>
      <c r="I210" s="28"/>
      <c r="J210" s="82">
        <f>IFERROR(AVERAGE(T150:T152),0)</f>
        <v>0</v>
      </c>
      <c r="K210" s="83"/>
      <c r="L210" s="28"/>
      <c r="M210" s="82" t="str">
        <f>$Q150</f>
        <v/>
      </c>
      <c r="N210" s="82" t="str">
        <f>$V150</f>
        <v/>
      </c>
      <c r="O210" s="84"/>
      <c r="P210" s="28"/>
      <c r="Q210" s="85">
        <v>8.0</v>
      </c>
      <c r="R210" s="28"/>
    </row>
    <row r="211" ht="18.75" customHeight="1">
      <c r="D211" s="81"/>
      <c r="E211" s="82" t="str">
        <f>$E153</f>
        <v/>
      </c>
      <c r="F211" s="83" t="str">
        <f>$C153</f>
        <v/>
      </c>
      <c r="G211" s="28"/>
      <c r="H211" s="83" t="str">
        <f>$V153</f>
        <v/>
      </c>
      <c r="I211" s="28"/>
      <c r="J211" s="82">
        <f>IFERROR(AVERAGE(T153:T155),0)</f>
        <v>0</v>
      </c>
      <c r="K211" s="83"/>
      <c r="L211" s="28"/>
      <c r="M211" s="82" t="str">
        <f>$Q153</f>
        <v/>
      </c>
      <c r="N211" s="82" t="str">
        <f>$V153</f>
        <v/>
      </c>
      <c r="O211" s="84"/>
      <c r="P211" s="28"/>
      <c r="Q211" s="85">
        <v>9.0</v>
      </c>
      <c r="R211" s="28"/>
    </row>
    <row r="212" ht="18.75" customHeight="1">
      <c r="D212" s="81"/>
      <c r="E212" s="82" t="str">
        <f>$E156</f>
        <v/>
      </c>
      <c r="F212" s="83" t="str">
        <f>$C156</f>
        <v/>
      </c>
      <c r="G212" s="28"/>
      <c r="H212" s="83" t="str">
        <f>$V156</f>
        <v/>
      </c>
      <c r="I212" s="28"/>
      <c r="J212" s="82">
        <f>iferror(AVERAGE(T156:T158),0)</f>
        <v>0</v>
      </c>
      <c r="K212" s="83"/>
      <c r="L212" s="28"/>
      <c r="M212" s="82" t="str">
        <f>$Q156</f>
        <v/>
      </c>
      <c r="N212" s="82" t="str">
        <f>$V156</f>
        <v/>
      </c>
      <c r="O212" s="84"/>
      <c r="P212" s="28"/>
      <c r="Q212" s="85">
        <v>10.0</v>
      </c>
      <c r="R212" s="28"/>
      <c r="T212" s="2"/>
      <c r="U212" s="2"/>
    </row>
    <row r="213" ht="18.75" customHeight="1">
      <c r="D213" s="86">
        <f>HLOOKUP("uc_HeadatOverload150PSI", Data!$A$1:$FZ$2, 2, FALSE)</f>
        <v>67</v>
      </c>
      <c r="E213" s="87"/>
      <c r="F213" s="88"/>
      <c r="G213" s="28"/>
      <c r="H213" s="88"/>
      <c r="I213" s="28"/>
      <c r="J213" s="87"/>
      <c r="K213" s="89">
        <v>150.0</v>
      </c>
      <c r="L213" s="28"/>
      <c r="M213" s="87"/>
      <c r="N213" s="87"/>
      <c r="O213" s="88">
        <f t="shared" ref="O213:O215" si="1">D213*0.95</f>
        <v>63.65</v>
      </c>
      <c r="P213" s="28"/>
      <c r="Q213" s="90"/>
      <c r="R213" s="28"/>
      <c r="T213" s="2"/>
      <c r="U213" s="2"/>
    </row>
    <row r="214" ht="18.75" customHeight="1">
      <c r="D214" s="86">
        <f>HLOOKUP("uc_HeadatRated100PSI", Data!$A$1:$FZ$2, 2, FALSE)</f>
        <v>100</v>
      </c>
      <c r="E214" s="87"/>
      <c r="F214" s="88"/>
      <c r="G214" s="28"/>
      <c r="H214" s="88"/>
      <c r="I214" s="28"/>
      <c r="J214" s="87"/>
      <c r="K214" s="89">
        <v>100.0</v>
      </c>
      <c r="L214" s="28"/>
      <c r="M214" s="87"/>
      <c r="N214" s="87"/>
      <c r="O214" s="88">
        <f t="shared" si="1"/>
        <v>95</v>
      </c>
      <c r="P214" s="28"/>
      <c r="Q214" s="90"/>
      <c r="R214" s="28"/>
      <c r="T214" s="2"/>
      <c r="U214" s="2"/>
    </row>
    <row r="215" ht="18.75" customHeight="1">
      <c r="D215" s="86">
        <f>HLOOKUP("uc_HeadatChurn0PSI", Data!$A$1:$FZ$2, 2, FALSE)</f>
        <v>120</v>
      </c>
      <c r="E215" s="87"/>
      <c r="F215" s="88"/>
      <c r="G215" s="28"/>
      <c r="H215" s="88"/>
      <c r="I215" s="28"/>
      <c r="J215" s="87"/>
      <c r="K215" s="89">
        <v>0.0</v>
      </c>
      <c r="L215" s="28"/>
      <c r="M215" s="87"/>
      <c r="N215" s="87"/>
      <c r="O215" s="88">
        <f t="shared" si="1"/>
        <v>114</v>
      </c>
      <c r="P215" s="28"/>
      <c r="Q215" s="90"/>
      <c r="R215" s="28"/>
      <c r="T215" s="2"/>
      <c r="U215" s="2"/>
    </row>
    <row r="216" ht="18.75" customHeight="1"/>
    <row r="217" ht="18.75" customHeight="1"/>
    <row r="221">
      <c r="E221" s="2" t="str">
        <f t="shared" ref="E221:E232" si="2">T147</f>
        <v/>
      </c>
    </row>
    <row r="222">
      <c r="E222" s="2" t="str">
        <f t="shared" si="2"/>
        <v/>
      </c>
    </row>
    <row r="223">
      <c r="E223" s="2" t="str">
        <f t="shared" si="2"/>
        <v/>
      </c>
    </row>
    <row r="224">
      <c r="E224" s="2" t="str">
        <f t="shared" si="2"/>
        <v/>
      </c>
    </row>
    <row r="225">
      <c r="E225" s="2" t="str">
        <f t="shared" si="2"/>
        <v/>
      </c>
    </row>
    <row r="226">
      <c r="E226" s="2" t="str">
        <f t="shared" si="2"/>
        <v/>
      </c>
    </row>
    <row r="227">
      <c r="E227" s="2" t="str">
        <f t="shared" si="2"/>
        <v/>
      </c>
    </row>
    <row r="228">
      <c r="E228" s="2" t="str">
        <f t="shared" si="2"/>
        <v/>
      </c>
    </row>
    <row r="229">
      <c r="E229" s="2" t="str">
        <f t="shared" si="2"/>
        <v/>
      </c>
    </row>
    <row r="230">
      <c r="E230" s="2" t="str">
        <f t="shared" si="2"/>
        <v/>
      </c>
    </row>
    <row r="231">
      <c r="E231" s="2" t="str">
        <f t="shared" si="2"/>
        <v/>
      </c>
    </row>
    <row r="232">
      <c r="E232" s="2" t="str">
        <f t="shared" si="2"/>
        <v/>
      </c>
    </row>
  </sheetData>
  <mergeCells count="334">
    <mergeCell ref="K53:O53"/>
    <mergeCell ref="K54:O54"/>
    <mergeCell ref="K46:O46"/>
    <mergeCell ref="K47:O47"/>
    <mergeCell ref="K48:O48"/>
    <mergeCell ref="K49:O49"/>
    <mergeCell ref="K50:O50"/>
    <mergeCell ref="K51:O51"/>
    <mergeCell ref="K52:O52"/>
    <mergeCell ref="A1:V1"/>
    <mergeCell ref="G4:I4"/>
    <mergeCell ref="J4:N4"/>
    <mergeCell ref="G5:I5"/>
    <mergeCell ref="J5:N5"/>
    <mergeCell ref="G6:I6"/>
    <mergeCell ref="J6:N6"/>
    <mergeCell ref="H7:I7"/>
    <mergeCell ref="J7:N7"/>
    <mergeCell ref="J8:N8"/>
    <mergeCell ref="H9:I9"/>
    <mergeCell ref="J9:N9"/>
    <mergeCell ref="H10:I10"/>
    <mergeCell ref="J10:N10"/>
    <mergeCell ref="H12:M21"/>
    <mergeCell ref="J24:N24"/>
    <mergeCell ref="J25:N25"/>
    <mergeCell ref="J26:N26"/>
    <mergeCell ref="A28:V28"/>
    <mergeCell ref="J30:P30"/>
    <mergeCell ref="J31:P31"/>
    <mergeCell ref="J32:P32"/>
    <mergeCell ref="J33:P33"/>
    <mergeCell ref="J34:P34"/>
    <mergeCell ref="J35:P35"/>
    <mergeCell ref="G40:O40"/>
    <mergeCell ref="G41:J41"/>
    <mergeCell ref="K41:O41"/>
    <mergeCell ref="G42:J42"/>
    <mergeCell ref="K42:O42"/>
    <mergeCell ref="G43:J43"/>
    <mergeCell ref="K43:O43"/>
    <mergeCell ref="G44:J44"/>
    <mergeCell ref="K44:O44"/>
    <mergeCell ref="K45:O45"/>
    <mergeCell ref="G45:J45"/>
    <mergeCell ref="G46:J46"/>
    <mergeCell ref="G47:J47"/>
    <mergeCell ref="G48:J48"/>
    <mergeCell ref="G49:J49"/>
    <mergeCell ref="G50:J50"/>
    <mergeCell ref="G51:J51"/>
    <mergeCell ref="G61:J61"/>
    <mergeCell ref="G62:J62"/>
    <mergeCell ref="K62:O62"/>
    <mergeCell ref="G78:J78"/>
    <mergeCell ref="G79:J79"/>
    <mergeCell ref="G80:J80"/>
    <mergeCell ref="G81:J81"/>
    <mergeCell ref="G82:J82"/>
    <mergeCell ref="G83:J83"/>
    <mergeCell ref="G84:J84"/>
    <mergeCell ref="G85:J85"/>
    <mergeCell ref="G86:J86"/>
    <mergeCell ref="G88:J88"/>
    <mergeCell ref="G89:J89"/>
    <mergeCell ref="G90:J90"/>
    <mergeCell ref="G91:J91"/>
    <mergeCell ref="G92:J92"/>
    <mergeCell ref="G93:J93"/>
    <mergeCell ref="G94:J94"/>
    <mergeCell ref="G95:J95"/>
    <mergeCell ref="G96:J96"/>
    <mergeCell ref="G97:J97"/>
    <mergeCell ref="G98:J98"/>
    <mergeCell ref="G99:J99"/>
    <mergeCell ref="G108:J108"/>
    <mergeCell ref="G110:J110"/>
    <mergeCell ref="G101:J101"/>
    <mergeCell ref="G102:J102"/>
    <mergeCell ref="G103:J103"/>
    <mergeCell ref="G104:J104"/>
    <mergeCell ref="G105:J105"/>
    <mergeCell ref="G106:J106"/>
    <mergeCell ref="G107:J107"/>
    <mergeCell ref="G52:J52"/>
    <mergeCell ref="G53:J53"/>
    <mergeCell ref="G54:J54"/>
    <mergeCell ref="G55:O55"/>
    <mergeCell ref="G56:J56"/>
    <mergeCell ref="K56:O56"/>
    <mergeCell ref="G57:O57"/>
    <mergeCell ref="G58:J58"/>
    <mergeCell ref="K58:O58"/>
    <mergeCell ref="G59:J59"/>
    <mergeCell ref="K59:O59"/>
    <mergeCell ref="G60:J60"/>
    <mergeCell ref="K60:O60"/>
    <mergeCell ref="K61:O61"/>
    <mergeCell ref="G63:J63"/>
    <mergeCell ref="K63:O63"/>
    <mergeCell ref="G64:J64"/>
    <mergeCell ref="K64:O64"/>
    <mergeCell ref="G65:J65"/>
    <mergeCell ref="K65:O65"/>
    <mergeCell ref="G66:J66"/>
    <mergeCell ref="K66:O66"/>
    <mergeCell ref="G67:O67"/>
    <mergeCell ref="G68:J68"/>
    <mergeCell ref="K68:O68"/>
    <mergeCell ref="G69:J69"/>
    <mergeCell ref="K69:O69"/>
    <mergeCell ref="K70:O70"/>
    <mergeCell ref="G70:J70"/>
    <mergeCell ref="G71:J71"/>
    <mergeCell ref="G72:J72"/>
    <mergeCell ref="G74:J74"/>
    <mergeCell ref="G75:J75"/>
    <mergeCell ref="G76:J76"/>
    <mergeCell ref="G77:J77"/>
    <mergeCell ref="K71:O71"/>
    <mergeCell ref="K72:O72"/>
    <mergeCell ref="G73:O73"/>
    <mergeCell ref="K74:O74"/>
    <mergeCell ref="K75:O75"/>
    <mergeCell ref="K76:O76"/>
    <mergeCell ref="K77:O77"/>
    <mergeCell ref="K78:O78"/>
    <mergeCell ref="K79:O79"/>
    <mergeCell ref="K80:O80"/>
    <mergeCell ref="K81:O81"/>
    <mergeCell ref="K82:O82"/>
    <mergeCell ref="K83:O83"/>
    <mergeCell ref="K84:O84"/>
    <mergeCell ref="U129:U131"/>
    <mergeCell ref="V129:V131"/>
    <mergeCell ref="A129:A131"/>
    <mergeCell ref="B129:B131"/>
    <mergeCell ref="C129:C131"/>
    <mergeCell ref="D129:D131"/>
    <mergeCell ref="E129:E131"/>
    <mergeCell ref="Q129:Q131"/>
    <mergeCell ref="R129:R131"/>
    <mergeCell ref="U132:U134"/>
    <mergeCell ref="V132:V134"/>
    <mergeCell ref="A132:A134"/>
    <mergeCell ref="B132:B134"/>
    <mergeCell ref="C132:C134"/>
    <mergeCell ref="D132:D134"/>
    <mergeCell ref="E132:E134"/>
    <mergeCell ref="Q132:Q134"/>
    <mergeCell ref="R132:R134"/>
    <mergeCell ref="U135:U137"/>
    <mergeCell ref="V135:V137"/>
    <mergeCell ref="A135:A137"/>
    <mergeCell ref="B135:B137"/>
    <mergeCell ref="C135:C137"/>
    <mergeCell ref="D135:D137"/>
    <mergeCell ref="E135:E137"/>
    <mergeCell ref="Q135:Q137"/>
    <mergeCell ref="R135:R137"/>
    <mergeCell ref="F208:G208"/>
    <mergeCell ref="F209:G209"/>
    <mergeCell ref="H209:I209"/>
    <mergeCell ref="K209:L209"/>
    <mergeCell ref="F210:G210"/>
    <mergeCell ref="H210:I210"/>
    <mergeCell ref="K210:L210"/>
    <mergeCell ref="O211:P211"/>
    <mergeCell ref="O212:P212"/>
    <mergeCell ref="O213:P213"/>
    <mergeCell ref="Q213:R213"/>
    <mergeCell ref="O214:P214"/>
    <mergeCell ref="Q214:R214"/>
    <mergeCell ref="F211:G211"/>
    <mergeCell ref="H211:I211"/>
    <mergeCell ref="K211:L211"/>
    <mergeCell ref="Q211:R211"/>
    <mergeCell ref="H212:I212"/>
    <mergeCell ref="K212:L212"/>
    <mergeCell ref="Q212:R212"/>
    <mergeCell ref="F215:G215"/>
    <mergeCell ref="H215:I215"/>
    <mergeCell ref="K215:L215"/>
    <mergeCell ref="O215:P215"/>
    <mergeCell ref="Q215:R215"/>
    <mergeCell ref="F212:G212"/>
    <mergeCell ref="F213:G213"/>
    <mergeCell ref="H213:I213"/>
    <mergeCell ref="K213:L213"/>
    <mergeCell ref="F214:G214"/>
    <mergeCell ref="H214:I214"/>
    <mergeCell ref="K214:L214"/>
    <mergeCell ref="O202:P202"/>
    <mergeCell ref="Q202:R202"/>
    <mergeCell ref="U156:U158"/>
    <mergeCell ref="V156:V158"/>
    <mergeCell ref="K167:O167"/>
    <mergeCell ref="K168:O168"/>
    <mergeCell ref="F202:G202"/>
    <mergeCell ref="H202:I202"/>
    <mergeCell ref="K202:L202"/>
    <mergeCell ref="O203:P203"/>
    <mergeCell ref="O204:P204"/>
    <mergeCell ref="O205:P205"/>
    <mergeCell ref="Q205:R205"/>
    <mergeCell ref="O206:P206"/>
    <mergeCell ref="Q206:R206"/>
    <mergeCell ref="F203:G203"/>
    <mergeCell ref="H203:I203"/>
    <mergeCell ref="K203:L203"/>
    <mergeCell ref="Q203:R203"/>
    <mergeCell ref="H204:I204"/>
    <mergeCell ref="K204:L204"/>
    <mergeCell ref="Q204:R204"/>
    <mergeCell ref="F204:G204"/>
    <mergeCell ref="F205:G205"/>
    <mergeCell ref="H205:I205"/>
    <mergeCell ref="K205:L205"/>
    <mergeCell ref="F206:G206"/>
    <mergeCell ref="H206:I206"/>
    <mergeCell ref="K206:L206"/>
    <mergeCell ref="O207:P207"/>
    <mergeCell ref="O208:P208"/>
    <mergeCell ref="O209:P209"/>
    <mergeCell ref="Q209:R209"/>
    <mergeCell ref="O210:P210"/>
    <mergeCell ref="Q210:R210"/>
    <mergeCell ref="F207:G207"/>
    <mergeCell ref="H207:I207"/>
    <mergeCell ref="K207:L207"/>
    <mergeCell ref="Q207:R207"/>
    <mergeCell ref="H208:I208"/>
    <mergeCell ref="K208:L208"/>
    <mergeCell ref="Q208:R208"/>
    <mergeCell ref="U138:U140"/>
    <mergeCell ref="V138:V140"/>
    <mergeCell ref="A138:A140"/>
    <mergeCell ref="B138:B140"/>
    <mergeCell ref="C138:C140"/>
    <mergeCell ref="D138:D140"/>
    <mergeCell ref="E138:E140"/>
    <mergeCell ref="Q138:Q140"/>
    <mergeCell ref="R138:R140"/>
    <mergeCell ref="U141:U143"/>
    <mergeCell ref="V141:V143"/>
    <mergeCell ref="A141:A143"/>
    <mergeCell ref="B141:B143"/>
    <mergeCell ref="C141:C143"/>
    <mergeCell ref="D141:D143"/>
    <mergeCell ref="E141:E143"/>
    <mergeCell ref="Q141:Q143"/>
    <mergeCell ref="R141:R143"/>
    <mergeCell ref="U144:U146"/>
    <mergeCell ref="V144:V146"/>
    <mergeCell ref="A144:A146"/>
    <mergeCell ref="B144:B146"/>
    <mergeCell ref="C144:C146"/>
    <mergeCell ref="D144:D146"/>
    <mergeCell ref="E144:E146"/>
    <mergeCell ref="Q144:Q146"/>
    <mergeCell ref="R144:R146"/>
    <mergeCell ref="U147:U149"/>
    <mergeCell ref="V147:V149"/>
    <mergeCell ref="A147:A149"/>
    <mergeCell ref="B147:B149"/>
    <mergeCell ref="C147:C149"/>
    <mergeCell ref="D147:D149"/>
    <mergeCell ref="E147:E149"/>
    <mergeCell ref="Q147:Q149"/>
    <mergeCell ref="R147:R149"/>
    <mergeCell ref="U150:U152"/>
    <mergeCell ref="V150:V152"/>
    <mergeCell ref="A150:A152"/>
    <mergeCell ref="B150:B152"/>
    <mergeCell ref="C150:C152"/>
    <mergeCell ref="D150:D152"/>
    <mergeCell ref="E150:E152"/>
    <mergeCell ref="Q150:Q152"/>
    <mergeCell ref="R150:R152"/>
    <mergeCell ref="U153:U155"/>
    <mergeCell ref="V153:V155"/>
    <mergeCell ref="A153:A155"/>
    <mergeCell ref="B153:B155"/>
    <mergeCell ref="C153:C155"/>
    <mergeCell ref="D153:D155"/>
    <mergeCell ref="E153:E155"/>
    <mergeCell ref="Q153:Q155"/>
    <mergeCell ref="R153:R155"/>
    <mergeCell ref="K85:O85"/>
    <mergeCell ref="K86:O86"/>
    <mergeCell ref="G87:O87"/>
    <mergeCell ref="K88:O88"/>
    <mergeCell ref="K89:O89"/>
    <mergeCell ref="K90:O90"/>
    <mergeCell ref="K91:O91"/>
    <mergeCell ref="K92:O92"/>
    <mergeCell ref="K93:O93"/>
    <mergeCell ref="K94:O94"/>
    <mergeCell ref="K95:O95"/>
    <mergeCell ref="K96:O96"/>
    <mergeCell ref="K97:O97"/>
    <mergeCell ref="K98:O98"/>
    <mergeCell ref="K99:O99"/>
    <mergeCell ref="G100:O100"/>
    <mergeCell ref="K101:O101"/>
    <mergeCell ref="K102:O102"/>
    <mergeCell ref="K103:O103"/>
    <mergeCell ref="K104:O104"/>
    <mergeCell ref="K105:O105"/>
    <mergeCell ref="K106:O106"/>
    <mergeCell ref="K107:O107"/>
    <mergeCell ref="K108:O108"/>
    <mergeCell ref="G109:O109"/>
    <mergeCell ref="K110:O110"/>
    <mergeCell ref="A117:V117"/>
    <mergeCell ref="K119:O119"/>
    <mergeCell ref="F127:P127"/>
    <mergeCell ref="Q127:R127"/>
    <mergeCell ref="S127:T127"/>
    <mergeCell ref="U127:V127"/>
    <mergeCell ref="K120:O120"/>
    <mergeCell ref="K121:O121"/>
    <mergeCell ref="K122:O122"/>
    <mergeCell ref="K123:O123"/>
    <mergeCell ref="K124:O124"/>
    <mergeCell ref="K125:O125"/>
    <mergeCell ref="B127:E127"/>
    <mergeCell ref="A156:A158"/>
    <mergeCell ref="B156:B158"/>
    <mergeCell ref="C156:C158"/>
    <mergeCell ref="D156:D158"/>
    <mergeCell ref="E156:E158"/>
    <mergeCell ref="Q156:Q158"/>
    <mergeCell ref="R156:R158"/>
  </mergeCells>
  <printOptions horizontalCentered="1"/>
  <pageMargins bottom="0.75" footer="0.0" header="0.0" left="0.25" right="0.25" top="0.75"/>
  <pageSetup fitToHeight="0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2" max="82" width="27.0"/>
    <col customWidth="1" min="83" max="83" width="28.57"/>
    <col customWidth="1" min="84" max="84" width="32.86"/>
  </cols>
  <sheetData>
    <row r="1">
      <c r="A1" s="2" t="str">
        <f>IFERROR(__xludf.DUMMYFUNCTION("IMPORTXML(""https://ucld.us/GetWFReports.ashx?sr=0&amp;k=6cce2f59-841c-4a65-aac0-5022efb4e554&amp;c=c4a602a6-5b8e-4c9d-87bd-335d4071d942&amp;ac=55411799&amp;wf=53208598&amp;a=835317036&amp;wfr=865337192&amp;s=&amp;e=&amp;v=7780"",""//data"")"),"uc_WorkflowDate")</f>
        <v>uc_WorkflowDate</v>
      </c>
      <c r="B1" s="2" t="str">
        <f>IFERROR(__xludf.DUMMYFUNCTION("""COMPUTED_VALUE"""),"uc_WorkflowBy")</f>
        <v>uc_WorkflowBy</v>
      </c>
      <c r="C1" s="2" t="str">
        <f>IFERROR(__xludf.DUMMYFUNCTION("""COMPUTED_VALUE"""),"uc_Signature")</f>
        <v>uc_Signature</v>
      </c>
      <c r="D1" s="2" t="str">
        <f>IFERROR(__xludf.DUMMYFUNCTION("""COMPUTED_VALUE"""),"uc_WorkFlowReportID")</f>
        <v>uc_WorkFlowReportID</v>
      </c>
      <c r="E1" s="2" t="str">
        <f>IFERROR(__xludf.DUMMYFUNCTION("""COMPUTED_VALUE"""),"uc_ReportDate")</f>
        <v>uc_ReportDate</v>
      </c>
      <c r="F1" s="2" t="str">
        <f>IFERROR(__xludf.DUMMYFUNCTION("""COMPUTED_VALUE"""),"uc_PrintOptions")</f>
        <v>uc_PrintOptions</v>
      </c>
      <c r="G1" s="2" t="str">
        <f>IFERROR(__xludf.DUMMYFUNCTION("""COMPUTED_VALUE"""),"uc_ShowTitlePage")</f>
        <v>uc_ShowTitlePage</v>
      </c>
      <c r="H1" s="2" t="str">
        <f>IFERROR(__xludf.DUMMYFUNCTION("""COMPUTED_VALUE"""),"uc_ShowCustomerInformation")</f>
        <v>uc_ShowCustomerInformation</v>
      </c>
      <c r="I1" s="2" t="str">
        <f>IFERROR(__xludf.DUMMYFUNCTION("""COMPUTED_VALUE"""),"uc_ShowFirePumpInformation")</f>
        <v>uc_ShowFirePumpInformation</v>
      </c>
      <c r="J1" s="2" t="str">
        <f>IFERROR(__xludf.DUMMYFUNCTION("""COMPUTED_VALUE"""),"uc_ShowFirePumpChecklist")</f>
        <v>uc_ShowFirePumpChecklist</v>
      </c>
      <c r="K1" s="2" t="str">
        <f>IFERROR(__xludf.DUMMYFUNCTION("""COMPUTED_VALUE"""),"uc_ShowTestResults")</f>
        <v>uc_ShowTestResults</v>
      </c>
      <c r="L1" s="2" t="str">
        <f>IFERROR(__xludf.DUMMYFUNCTION("""COMPUTED_VALUE"""),"uc_ShowPumpTestGraph")</f>
        <v>uc_ShowPumpTestGraph</v>
      </c>
      <c r="M1" s="2" t="str">
        <f>IFERROR(__xludf.DUMMYFUNCTION("""COMPUTED_VALUE"""),"uc_DisplayCurves")</f>
        <v>uc_DisplayCurves</v>
      </c>
      <c r="N1" s="2" t="str">
        <f>IFERROR(__xludf.DUMMYFUNCTION("""COMPUTED_VALUE"""),"uc_ShowPumpDesignCurve")</f>
        <v>uc_ShowPumpDesignCurve</v>
      </c>
      <c r="O1" s="2" t="str">
        <f>IFERROR(__xludf.DUMMYFUNCTION("""COMPUTED_VALUE"""),"uc_Show5degradationpoint")</f>
        <v>uc_Show5degradationpoint</v>
      </c>
      <c r="P1" s="2" t="str">
        <f>IFERROR(__xludf.DUMMYFUNCTION("""COMPUTED_VALUE"""),"uc_ShowNetHeadCurve")</f>
        <v>uc_ShowNetHeadCurve</v>
      </c>
      <c r="Q1" s="2" t="str">
        <f>IFERROR(__xludf.DUMMYFUNCTION("""COMPUTED_VALUE"""),"uc_ShowDischargeCurve")</f>
        <v>uc_ShowDischargeCurve</v>
      </c>
      <c r="R1" s="2" t="str">
        <f>IFERROR(__xludf.DUMMYFUNCTION("""COMPUTED_VALUE"""),"uc_ShowPerformanceCorrectedCurve")</f>
        <v>uc_ShowPerformanceCorrectedCurve</v>
      </c>
      <c r="S1" s="2" t="str">
        <f>IFERROR(__xludf.DUMMYFUNCTION("""COMPUTED_VALUE"""),"uc_ShowAmpereCurve")</f>
        <v>uc_ShowAmpereCurve</v>
      </c>
      <c r="T1" s="2" t="str">
        <f>IFERROR(__xludf.DUMMYFUNCTION("""COMPUTED_VALUE"""),"uc_TestType")</f>
        <v>uc_TestType</v>
      </c>
      <c r="U1" s="2" t="str">
        <f>IFERROR(__xludf.DUMMYFUNCTION("""COMPUTED_VALUE"""),"uc_FireDepartmentAttendee")</f>
        <v>uc_FireDepartmentAttendee</v>
      </c>
      <c r="V1" s="2" t="str">
        <f>IFERROR(__xludf.DUMMYFUNCTION("""COMPUTED_VALUE"""),"uc_BuildingRepresentativeAttendee")</f>
        <v>uc_BuildingRepresentativeAttendee</v>
      </c>
      <c r="W1" s="2" t="str">
        <f>IFERROR(__xludf.DUMMYFUNCTION("""COMPUTED_VALUE"""),"uc_TestingFirmAttendee")</f>
        <v>uc_TestingFirmAttendee</v>
      </c>
      <c r="X1" s="2" t="str">
        <f>IFERROR(__xludf.DUMMYFUNCTION("""COMPUTED_VALUE"""),"uc_PumpManufacturerAttendee")</f>
        <v>uc_PumpManufacturerAttendee</v>
      </c>
      <c r="Y1" s="2" t="str">
        <f>IFERROR(__xludf.DUMMYFUNCTION("""COMPUTED_VALUE"""),"uc_AssetDescription")</f>
        <v>uc_AssetDescription</v>
      </c>
      <c r="Z1" s="2" t="str">
        <f>IFERROR(__xludf.DUMMYFUNCTION("""COMPUTED_VALUE"""),"uc_AssetTag")</f>
        <v>uc_AssetTag</v>
      </c>
      <c r="AA1" s="2" t="str">
        <f>IFERROR(__xludf.DUMMYFUNCTION("""COMPUTED_VALUE"""),"uc_AssetBy")</f>
        <v>uc_AssetBy</v>
      </c>
      <c r="AB1" s="2" t="str">
        <f>IFERROR(__xludf.DUMMYFUNCTION("""COMPUTED_VALUE"""),"uc_ClientID")</f>
        <v>uc_ClientID</v>
      </c>
      <c r="AC1" s="2" t="str">
        <f>IFERROR(__xludf.DUMMYFUNCTION("""COMPUTED_VALUE"""),"uc_ClientName")</f>
        <v>uc_ClientName</v>
      </c>
      <c r="AD1" s="2" t="str">
        <f>IFERROR(__xludf.DUMMYFUNCTION("""COMPUTED_VALUE"""),"uc_AssetLink")</f>
        <v>uc_AssetLink</v>
      </c>
      <c r="AE1" s="2" t="str">
        <f>IFERROR(__xludf.DUMMYFUNCTION("""COMPUTED_VALUE"""),"uc_InstallDate")</f>
        <v>uc_InstallDate</v>
      </c>
      <c r="AF1" s="2" t="str">
        <f>IFERROR(__xludf.DUMMYFUNCTION("""COMPUTED_VALUE"""),"uc_Lat")</f>
        <v>uc_Lat</v>
      </c>
      <c r="AG1" s="2" t="str">
        <f>IFERROR(__xludf.DUMMYFUNCTION("""COMPUTED_VALUE"""),"uc_Lon")</f>
        <v>uc_Lon</v>
      </c>
      <c r="AH1" s="2" t="str">
        <f>IFERROR(__xludf.DUMMYFUNCTION("""COMPUTED_VALUE"""),"uc_SCADATagPattern")</f>
        <v>uc_SCADATagPattern</v>
      </c>
      <c r="AI1" s="2" t="str">
        <f>IFERROR(__xludf.DUMMYFUNCTION("""COMPUTED_VALUE"""),"uc_AssetID")</f>
        <v>uc_AssetID</v>
      </c>
      <c r="AJ1" s="2" t="str">
        <f>IFERROR(__xludf.DUMMYFUNCTION("""COMPUTED_VALUE"""),"uc_BuildingCity")</f>
        <v>uc_BuildingCity</v>
      </c>
      <c r="AK1" s="2" t="str">
        <f>IFERROR(__xludf.DUMMYFUNCTION("""COMPUTED_VALUE"""),"uc_BuildingName")</f>
        <v>uc_BuildingName</v>
      </c>
      <c r="AL1" s="2" t="str">
        <f>IFERROR(__xludf.DUMMYFUNCTION("""COMPUTED_VALUE"""),"uc_BuildingOwner")</f>
        <v>uc_BuildingOwner</v>
      </c>
      <c r="AM1" s="2" t="str">
        <f>IFERROR(__xludf.DUMMYFUNCTION("""COMPUTED_VALUE"""),"uc_BuildingState")</f>
        <v>uc_BuildingState</v>
      </c>
      <c r="AN1" s="2" t="str">
        <f>IFERROR(__xludf.DUMMYFUNCTION("""COMPUTED_VALUE"""),"uc_BuildingStreetAddress")</f>
        <v>uc_BuildingStreetAddress</v>
      </c>
      <c r="AO1" s="2" t="str">
        <f>IFERROR(__xludf.DUMMYFUNCTION("""COMPUTED_VALUE"""),"uc_BuildingZipCode")</f>
        <v>uc_BuildingZipCode</v>
      </c>
      <c r="AP1" s="2" t="str">
        <f>IFERROR(__xludf.DUMMYFUNCTION("""COMPUTED_VALUE"""),"uc_City")</f>
        <v>uc_City</v>
      </c>
      <c r="AQ1" s="2" t="str">
        <f>IFERROR(__xludf.DUMMYFUNCTION("""COMPUTED_VALUE"""),"uc_Country")</f>
        <v>uc_Country</v>
      </c>
      <c r="AR1" s="2" t="str">
        <f>IFERROR(__xludf.DUMMYFUNCTION("""COMPUTED_VALUE"""),"uc_CustomerCompanyName")</f>
        <v>uc_CustomerCompanyName</v>
      </c>
      <c r="AS1" s="2" t="str">
        <f>IFERROR(__xludf.DUMMYFUNCTION("""COMPUTED_VALUE"""),"uc_CustomerInformation")</f>
        <v>uc_CustomerInformation</v>
      </c>
      <c r="AT1" s="2" t="str">
        <f>IFERROR(__xludf.DUMMYFUNCTION("""COMPUTED_VALUE"""),"uc_CustomerName")</f>
        <v>uc_CustomerName</v>
      </c>
      <c r="AU1" s="2" t="str">
        <f>IFERROR(__xludf.DUMMYFUNCTION("""COMPUTED_VALUE"""),"uc_DateofLastPumpTest")</f>
        <v>uc_DateofLastPumpTest</v>
      </c>
      <c r="AV1" s="2" t="str">
        <f>IFERROR(__xludf.DUMMYFUNCTION("""COMPUTED_VALUE"""),"uc_DateoflastpumptestX")</f>
        <v>uc_DateoflastpumptestX</v>
      </c>
      <c r="AW1" s="2" t="str">
        <f>IFERROR(__xludf.DUMMYFUNCTION("""COMPUTED_VALUE"""),"uc_DriverCycles")</f>
        <v>uc_DriverCycles</v>
      </c>
      <c r="AX1" s="2" t="str">
        <f>IFERROR(__xludf.DUMMYFUNCTION("""COMPUTED_VALUE"""),"uc_DriverFrameSize")</f>
        <v>uc_DriverFrameSize</v>
      </c>
      <c r="AY1" s="2" t="str">
        <f>IFERROR(__xludf.DUMMYFUNCTION("""COMPUTED_VALUE"""),"uc_DriverListed")</f>
        <v>uc_DriverListed</v>
      </c>
      <c r="AZ1" s="2" t="str">
        <f>IFERROR(__xludf.DUMMYFUNCTION("""COMPUTED_VALUE"""),"uc_DriverManufacturer")</f>
        <v>uc_DriverManufacturer</v>
      </c>
      <c r="BA1" s="2" t="str">
        <f>IFERROR(__xludf.DUMMYFUNCTION("""COMPUTED_VALUE"""),"uc_DriverModel")</f>
        <v>uc_DriverModel</v>
      </c>
      <c r="BB1" s="2" t="str">
        <f>IFERROR(__xludf.DUMMYFUNCTION("""COMPUTED_VALUE"""),"uc_DriverMotorEnclosureType")</f>
        <v>uc_DriverMotorEnclosureType</v>
      </c>
      <c r="BC1" s="2" t="str">
        <f>IFERROR(__xludf.DUMMYFUNCTION("""COMPUTED_VALUE"""),"uc_DriverPhases")</f>
        <v>uc_DriverPhases</v>
      </c>
      <c r="BD1" s="2" t="str">
        <f>IFERROR(__xludf.DUMMYFUNCTION("""COMPUTED_VALUE"""),"uc_DriverRatedFullLoadAmps")</f>
        <v>uc_DriverRatedFullLoadAmps</v>
      </c>
      <c r="BE1" s="2" t="str">
        <f>IFERROR(__xludf.DUMMYFUNCTION("""COMPUTED_VALUE"""),"uc_DriverRatedHP")</f>
        <v>uc_DriverRatedHP</v>
      </c>
      <c r="BF1" s="2" t="str">
        <f>IFERROR(__xludf.DUMMYFUNCTION("""COMPUTED_VALUE"""),"uc_DriverRatedSpeed")</f>
        <v>uc_DriverRatedSpeed</v>
      </c>
      <c r="BG1" s="2" t="str">
        <f>IFERROR(__xludf.DUMMYFUNCTION("""COMPUTED_VALUE"""),"uc_DriverRatedVoltage")</f>
        <v>uc_DriverRatedVoltage</v>
      </c>
      <c r="BH1" s="2" t="str">
        <f>IFERROR(__xludf.DUMMYFUNCTION("""COMPUTED_VALUE"""),"uc_DriverSerialNumber")</f>
        <v>uc_DriverSerialNumber</v>
      </c>
      <c r="BI1" s="2" t="str">
        <f>IFERROR(__xludf.DUMMYFUNCTION("""COMPUTED_VALUE"""),"uc_DriverServiceFactor")</f>
        <v>uc_DriverServiceFactor</v>
      </c>
      <c r="BJ1" s="2" t="str">
        <f>IFERROR(__xludf.DUMMYFUNCTION("""COMPUTED_VALUE"""),"uc_DriverType")</f>
        <v>uc_DriverType</v>
      </c>
      <c r="BK1" s="2" t="str">
        <f>IFERROR(__xludf.DUMMYFUNCTION("""COMPUTED_VALUE"""),"uc_ELECTRICALDRIVER")</f>
        <v>uc_ELECTRICALDRIVER</v>
      </c>
      <c r="BL1" s="2" t="str">
        <f>IFERROR(__xludf.DUMMYFUNCTION("""COMPUTED_VALUE"""),"uc_Email")</f>
        <v>uc_Email</v>
      </c>
      <c r="BM1" s="2" t="str">
        <f>IFERROR(__xludf.DUMMYFUNCTION("""COMPUTED_VALUE"""),"uc_FaxNumber")</f>
        <v>uc_FaxNumber</v>
      </c>
      <c r="BN1" s="2" t="str">
        <f>IFERROR(__xludf.DUMMYFUNCTION("""COMPUTED_VALUE"""),"uc_FIREPUMP")</f>
        <v>uc_FIREPUMP</v>
      </c>
      <c r="BO1" s="2" t="str">
        <f>IFERROR(__xludf.DUMMYFUNCTION("""COMPUTED_VALUE"""),"uc_FIREPUMPCONTROLLER")</f>
        <v>uc_FIREPUMPCONTROLLER</v>
      </c>
      <c r="BP1" s="2" t="str">
        <f>IFERROR(__xludf.DUMMYFUNCTION("""COMPUTED_VALUE"""),"uc_FIREPUMPDRIVER")</f>
        <v>uc_FIREPUMPDRIVER</v>
      </c>
      <c r="BQ1" s="2" t="str">
        <f>IFERROR(__xludf.DUMMYFUNCTION("""COMPUTED_VALUE"""),"uc_FPControllerCycles")</f>
        <v>uc_FPControllerCycles</v>
      </c>
      <c r="BR1" s="2" t="str">
        <f>IFERROR(__xludf.DUMMYFUNCTION("""COMPUTED_VALUE"""),"uc_FPControllerListed")</f>
        <v>uc_FPControllerListed</v>
      </c>
      <c r="BS1" s="2" t="str">
        <f>IFERROR(__xludf.DUMMYFUNCTION("""COMPUTED_VALUE"""),"uc_FPControllerManufacturer")</f>
        <v>uc_FPControllerManufacturer</v>
      </c>
      <c r="BT1" s="2" t="str">
        <f>IFERROR(__xludf.DUMMYFUNCTION("""COMPUTED_VALUE"""),"uc_FPControllerModel")</f>
        <v>uc_FPControllerModel</v>
      </c>
      <c r="BU1" s="2" t="str">
        <f>IFERROR(__xludf.DUMMYFUNCTION("""COMPUTED_VALUE"""),"uc_FPControllerOffPSI")</f>
        <v>uc_FPControllerOffPSI</v>
      </c>
      <c r="BV1" s="2" t="str">
        <f>IFERROR(__xludf.DUMMYFUNCTION("""COMPUTED_VALUE"""),"uc_FPControllerOnPSI")</f>
        <v>uc_FPControllerOnPSI</v>
      </c>
      <c r="BW1" s="2" t="str">
        <f>IFERROR(__xludf.DUMMYFUNCTION("""COMPUTED_VALUE"""),"uc_FPControllerPhases")</f>
        <v>uc_FPControllerPhases</v>
      </c>
      <c r="BX1" s="2" t="str">
        <f>IFERROR(__xludf.DUMMYFUNCTION("""COMPUTED_VALUE"""),"uc_FPControllerRatedHP")</f>
        <v>uc_FPControllerRatedHP</v>
      </c>
      <c r="BY1" s="2" t="str">
        <f>IFERROR(__xludf.DUMMYFUNCTION("""COMPUTED_VALUE"""),"uc_FPControllerRatedVoltage")</f>
        <v>uc_FPControllerRatedVoltage</v>
      </c>
      <c r="BZ1" s="2" t="str">
        <f>IFERROR(__xludf.DUMMYFUNCTION("""COMPUTED_VALUE"""),"uc_FPControllerRunTimer")</f>
        <v>uc_FPControllerRunTimer</v>
      </c>
      <c r="CA1" s="2" t="str">
        <f>IFERROR(__xludf.DUMMYFUNCTION("""COMPUTED_VALUE"""),"uc_FPControllerSerialNumber")</f>
        <v>uc_FPControllerSerialNumber</v>
      </c>
      <c r="CB1" s="2" t="str">
        <f>IFERROR(__xludf.DUMMYFUNCTION("""COMPUTED_VALUE"""),"uc_FPControllerType")</f>
        <v>uc_FPControllerType</v>
      </c>
      <c r="CC1" s="2" t="str">
        <f>IFERROR(__xludf.DUMMYFUNCTION("""COMPUTED_VALUE"""),"uc_FPControllerTypeofStart")</f>
        <v>uc_FPControllerTypeofStart</v>
      </c>
      <c r="CD1" s="2" t="str">
        <f>IFERROR(__xludf.DUMMYFUNCTION("""COMPUTED_VALUE"""),"uc_HeadatChurn0PSI")</f>
        <v>uc_HeadatChurn0PSI</v>
      </c>
      <c r="CE1" s="2" t="str">
        <f>IFERROR(__xludf.DUMMYFUNCTION("""COMPUTED_VALUE"""),"uc_HeadatOverload150PSI")</f>
        <v>uc_HeadatOverload150PSI</v>
      </c>
      <c r="CF1" s="2" t="str">
        <f>IFERROR(__xludf.DUMMYFUNCTION("""COMPUTED_VALUE"""),"uc_HeadatRated100PSI")</f>
        <v>uc_HeadatRated100PSI</v>
      </c>
      <c r="CG1" s="2" t="str">
        <f>IFERROR(__xludf.DUMMYFUNCTION("""COMPUTED_VALUE"""),"uc_ImpellerDiameterIN")</f>
        <v>uc_ImpellerDiameterIN</v>
      </c>
      <c r="CH1" s="2" t="str">
        <f>IFERROR(__xludf.DUMMYFUNCTION("""COMPUTED_VALUE"""),"uc_JobSiteContactEmail")</f>
        <v>uc_JobSiteContactEmail</v>
      </c>
      <c r="CI1" s="2" t="str">
        <f>IFERROR(__xludf.DUMMYFUNCTION("""COMPUTED_VALUE"""),"uc_JobSiteContactFax")</f>
        <v>uc_JobSiteContactFax</v>
      </c>
      <c r="CJ1" s="2" t="str">
        <f>IFERROR(__xludf.DUMMYFUNCTION("""COMPUTED_VALUE"""),"uc_JobSiteContactName")</f>
        <v>uc_JobSiteContactName</v>
      </c>
      <c r="CK1" s="2" t="str">
        <f>IFERROR(__xludf.DUMMYFUNCTION("""COMPUTED_VALUE"""),"uc_JobSiteContactPhone")</f>
        <v>uc_JobSiteContactPhone</v>
      </c>
      <c r="CL1" s="2" t="str">
        <f>IFERROR(__xludf.DUMMYFUNCTION("""COMPUTED_VALUE"""),"uc_JobSiteInformation")</f>
        <v>uc_JobSiteInformation</v>
      </c>
      <c r="CM1" s="2" t="str">
        <f>IFERROR(__xludf.DUMMYFUNCTION("""COMPUTED_VALUE"""),"uc_JOCKEYPUMP")</f>
        <v>uc_JOCKEYPUMP</v>
      </c>
      <c r="CN1" s="2" t="str">
        <f>IFERROR(__xludf.DUMMYFUNCTION("""COMPUTED_VALUE"""),"uc_JOCKEYPUMPCONTROLLER")</f>
        <v>uc_JOCKEYPUMPCONTROLLER</v>
      </c>
      <c r="CO1" s="2" t="str">
        <f>IFERROR(__xludf.DUMMYFUNCTION("""COMPUTED_VALUE"""),"uc_JPControllerCycle")</f>
        <v>uc_JPControllerCycle</v>
      </c>
      <c r="CP1" s="2" t="str">
        <f>IFERROR(__xludf.DUMMYFUNCTION("""COMPUTED_VALUE"""),"uc_JPControllerListed")</f>
        <v>uc_JPControllerListed</v>
      </c>
      <c r="CQ1" s="2" t="str">
        <f>IFERROR(__xludf.DUMMYFUNCTION("""COMPUTED_VALUE"""),"uc_JPControllerManufacturer")</f>
        <v>uc_JPControllerManufacturer</v>
      </c>
      <c r="CR1" s="2" t="str">
        <f>IFERROR(__xludf.DUMMYFUNCTION("""COMPUTED_VALUE"""),"uc_JPControllerModel")</f>
        <v>uc_JPControllerModel</v>
      </c>
      <c r="CS1" s="2" t="str">
        <f>IFERROR(__xludf.DUMMYFUNCTION("""COMPUTED_VALUE"""),"uc_JPControllerOffPSI")</f>
        <v>uc_JPControllerOffPSI</v>
      </c>
      <c r="CT1" s="2" t="str">
        <f>IFERROR(__xludf.DUMMYFUNCTION("""COMPUTED_VALUE"""),"uc_JPControllerOnPSI")</f>
        <v>uc_JPControllerOnPSI</v>
      </c>
      <c r="CU1" s="2" t="str">
        <f>IFERROR(__xludf.DUMMYFUNCTION("""COMPUTED_VALUE"""),"uc_JPControllerPhase")</f>
        <v>uc_JPControllerPhase</v>
      </c>
      <c r="CV1" s="2" t="str">
        <f>IFERROR(__xludf.DUMMYFUNCTION("""COMPUTED_VALUE"""),"uc_JPControllerRatedHP")</f>
        <v>uc_JPControllerRatedHP</v>
      </c>
      <c r="CW1" s="2" t="str">
        <f>IFERROR(__xludf.DUMMYFUNCTION("""COMPUTED_VALUE"""),"uc_JPControllerRatedVoltage")</f>
        <v>uc_JPControllerRatedVoltage</v>
      </c>
      <c r="CX1" s="2" t="str">
        <f>IFERROR(__xludf.DUMMYFUNCTION("""COMPUTED_VALUE"""),"uc_JPControllerSerialNumber")</f>
        <v>uc_JPControllerSerialNumber</v>
      </c>
      <c r="CY1" s="2" t="str">
        <f>IFERROR(__xludf.DUMMYFUNCTION("""COMPUTED_VALUE"""),"uc_JPCycle")</f>
        <v>uc_JPCycle</v>
      </c>
      <c r="CZ1" s="2" t="str">
        <f>IFERROR(__xludf.DUMMYFUNCTION("""COMPUTED_VALUE"""),"uc_JPFrameSize")</f>
        <v>uc_JPFrameSize</v>
      </c>
      <c r="DA1" s="2" t="str">
        <f>IFERROR(__xludf.DUMMYFUNCTION("""COMPUTED_VALUE"""),"uc_JPManufacturer")</f>
        <v>uc_JPManufacturer</v>
      </c>
      <c r="DB1" s="2" t="str">
        <f>IFERROR(__xludf.DUMMYFUNCTION("""COMPUTED_VALUE"""),"uc_JPModel")</f>
        <v>uc_JPModel</v>
      </c>
      <c r="DC1" s="2" t="str">
        <f>IFERROR(__xludf.DUMMYFUNCTION("""COMPUTED_VALUE"""),"uc_JPPhase")</f>
        <v>uc_JPPhase</v>
      </c>
      <c r="DD1" s="2" t="str">
        <f>IFERROR(__xludf.DUMMYFUNCTION("""COMPUTED_VALUE"""),"uc_JPRatedAmps")</f>
        <v>uc_JPRatedAmps</v>
      </c>
      <c r="DE1" s="2" t="str">
        <f>IFERROR(__xludf.DUMMYFUNCTION("""COMPUTED_VALUE"""),"uc_JPRatedFlowGPM")</f>
        <v>uc_JPRatedFlowGPM</v>
      </c>
      <c r="DF1" s="2" t="str">
        <f>IFERROR(__xludf.DUMMYFUNCTION("""COMPUTED_VALUE"""),"uc_JPRatedHP")</f>
        <v>uc_JPRatedHP</v>
      </c>
      <c r="DG1" s="2" t="str">
        <f>IFERROR(__xludf.DUMMYFUNCTION("""COMPUTED_VALUE"""),"uc_JPRatedPressurePSI")</f>
        <v>uc_JPRatedPressurePSI</v>
      </c>
      <c r="DH1" s="2" t="str">
        <f>IFERROR(__xludf.DUMMYFUNCTION("""COMPUTED_VALUE"""),"uc_JPRatedSpeedRPM")</f>
        <v>uc_JPRatedSpeedRPM</v>
      </c>
      <c r="DI1" s="2" t="str">
        <f>IFERROR(__xludf.DUMMYFUNCTION("""COMPUTED_VALUE"""),"uc_JPRatedVoltage")</f>
        <v>uc_JPRatedVoltage</v>
      </c>
      <c r="DJ1" s="2" t="str">
        <f>IFERROR(__xludf.DUMMYFUNCTION("""COMPUTED_VALUE"""),"uc_JPSerialNumber")</f>
        <v>uc_JPSerialNumber</v>
      </c>
      <c r="DK1" s="2" t="str">
        <f>IFERROR(__xludf.DUMMYFUNCTION("""COMPUTED_VALUE"""),"uc_JPServiceFactor")</f>
        <v>uc_JPServiceFactor</v>
      </c>
      <c r="DL1" s="2" t="str">
        <f>IFERROR(__xludf.DUMMYFUNCTION("""COMPUTED_VALUE"""),"uc_Listed")</f>
        <v>uc_Listed</v>
      </c>
      <c r="DM1" s="2" t="str">
        <f>IFERROR(__xludf.DUMMYFUNCTION("""COMPUTED_VALUE"""),"uc_Manufacturer")</f>
        <v>uc_Manufacturer</v>
      </c>
      <c r="DN1" s="2" t="str">
        <f>IFERROR(__xludf.DUMMYFUNCTION("""COMPUTED_VALUE"""),"uc_Model")</f>
        <v>uc_Model</v>
      </c>
      <c r="DO1" s="2" t="str">
        <f>IFERROR(__xludf.DUMMYFUNCTION("""COMPUTED_VALUE"""),"uc_Notes")</f>
        <v>uc_Notes</v>
      </c>
      <c r="DP1" s="2" t="str">
        <f>IFERROR(__xludf.DUMMYFUNCTION("""COMPUTED_VALUE"""),"uc_OTHERINFORMATION")</f>
        <v>uc_OTHERINFORMATION</v>
      </c>
      <c r="DQ1" s="2" t="str">
        <f>IFERROR(__xludf.DUMMYFUNCTION("""COMPUTED_VALUE"""),"uc_PhoneNumber")</f>
        <v>uc_PhoneNumber</v>
      </c>
      <c r="DR1" s="2" t="str">
        <f>IFERROR(__xludf.DUMMYFUNCTION("""COMPUTED_VALUE"""),"uc_PumpRotation")</f>
        <v>uc_PumpRotation</v>
      </c>
      <c r="DS1" s="2" t="str">
        <f>IFERROR(__xludf.DUMMYFUNCTION("""COMPUTED_VALUE"""),"uc_Pumptype")</f>
        <v>uc_Pumptype</v>
      </c>
      <c r="DT1" s="2" t="str">
        <f>IFERROR(__xludf.DUMMYFUNCTION("""COMPUTED_VALUE"""),"uc_RatedCapacity")</f>
        <v>uc_RatedCapacity</v>
      </c>
      <c r="DU1" s="2" t="str">
        <f>IFERROR(__xludf.DUMMYFUNCTION("""COMPUTED_VALUE"""),"uc_RatedSpeedRPM")</f>
        <v>uc_RatedSpeedRPM</v>
      </c>
      <c r="DV1" s="2" t="str">
        <f>IFERROR(__xludf.DUMMYFUNCTION("""COMPUTED_VALUE"""),"uc_RightAngleDriveGearRatio")</f>
        <v>uc_RightAngleDriveGearRatio</v>
      </c>
      <c r="DW1" s="2" t="str">
        <f>IFERROR(__xludf.DUMMYFUNCTION("""COMPUTED_VALUE"""),"uc_RightAngleDriveListed")</f>
        <v>uc_RightAngleDriveListed</v>
      </c>
      <c r="DX1" s="2" t="str">
        <f>IFERROR(__xludf.DUMMYFUNCTION("""COMPUTED_VALUE"""),"uc_RightAngleDriveMFG")</f>
        <v>uc_RightAngleDriveMFG</v>
      </c>
      <c r="DY1" s="2" t="str">
        <f>IFERROR(__xludf.DUMMYFUNCTION("""COMPUTED_VALUE"""),"uc_RightAngleDriveModel")</f>
        <v>uc_RightAngleDriveModel</v>
      </c>
      <c r="DZ1" s="2" t="str">
        <f>IFERROR(__xludf.DUMMYFUNCTION("""COMPUTED_VALUE"""),"uc_RightAngleDriveSerNo")</f>
        <v>uc_RightAngleDriveSerNo</v>
      </c>
      <c r="EA1" s="2" t="str">
        <f>IFERROR(__xludf.DUMMYFUNCTION("""COMPUTED_VALUE"""),"uc_RIGHTANGLEGEAR")</f>
        <v>uc_RIGHTANGLEGEAR</v>
      </c>
      <c r="EB1" s="2" t="str">
        <f>IFERROR(__xludf.DUMMYFUNCTION("""COMPUTED_VALUE"""),"uc_SerialNumber")</f>
        <v>uc_SerialNumber</v>
      </c>
      <c r="EC1" s="2" t="str">
        <f>IFERROR(__xludf.DUMMYFUNCTION("""COMPUTED_VALUE"""),"uc_State")</f>
        <v>uc_State</v>
      </c>
      <c r="ED1" s="2" t="str">
        <f>IFERROR(__xludf.DUMMYFUNCTION("""COMPUTED_VALUE"""),"uc_Street")</f>
        <v>uc_Street</v>
      </c>
      <c r="EE1" s="2" t="str">
        <f>IFERROR(__xludf.DUMMYFUNCTION("""COMPUTED_VALUE"""),"uc_StreetLine2")</f>
        <v>uc_StreetLine2</v>
      </c>
      <c r="EF1" s="2" t="str">
        <f>IFERROR(__xludf.DUMMYFUNCTION("""COMPUTED_VALUE"""),"uc_SuctionFrom")</f>
        <v>uc_SuctionFrom</v>
      </c>
      <c r="EG1" s="2" t="str">
        <f>IFERROR(__xludf.DUMMYFUNCTION("""COMPUTED_VALUE"""),"uc_TankHeight")</f>
        <v>uc_TankHeight</v>
      </c>
      <c r="EH1" s="2" t="str">
        <f>IFERROR(__xludf.DUMMYFUNCTION("""COMPUTED_VALUE"""),"uc_TankSize")</f>
        <v>uc_TankSize</v>
      </c>
      <c r="EI1" s="2" t="str">
        <f>IFERROR(__xludf.DUMMYFUNCTION("""COMPUTED_VALUE"""),"uc_TestingFirmContact")</f>
        <v>uc_TestingFirmContact</v>
      </c>
      <c r="EJ1" s="2" t="str">
        <f>IFERROR(__xludf.DUMMYFUNCTION("""COMPUTED_VALUE"""),"uc_TestingFirmContactLicenseNumber")</f>
        <v>uc_TestingFirmContactLicenseNumber</v>
      </c>
      <c r="EK1" s="2" t="str">
        <f>IFERROR(__xludf.DUMMYFUNCTION("""COMPUTED_VALUE"""),"uc_TestingFirmInformation")</f>
        <v>uc_TestingFirmInformation</v>
      </c>
      <c r="EL1" s="2" t="str">
        <f>IFERROR(__xludf.DUMMYFUNCTION("""COMPUTED_VALUE"""),"uc_TestingFirmLogo")</f>
        <v>uc_TestingFirmLogo</v>
      </c>
      <c r="EM1" s="2" t="str">
        <f>IFERROR(__xludf.DUMMYFUNCTION("""COMPUTED_VALUE"""),"uc_TestingFirmName")</f>
        <v>uc_TestingFirmName</v>
      </c>
      <c r="EN1" s="2" t="str">
        <f>IFERROR(__xludf.DUMMYFUNCTION("""COMPUTED_VALUE"""),"uc_TotalDynamicHead")</f>
        <v>uc_TotalDynamicHead</v>
      </c>
      <c r="EO1" s="2" t="str">
        <f>IFERROR(__xludf.DUMMYFUNCTION("""COMPUTED_VALUE"""),"uc_ZipCode")</f>
        <v>uc_ZipCode</v>
      </c>
      <c r="EP1" s="2" t="str">
        <f>IFERROR(__xludf.DUMMYFUNCTION("""COMPUTED_VALUE"""),"uc_OwnerName")</f>
        <v>uc_OwnerName</v>
      </c>
      <c r="EQ1" s="2" t="str">
        <f>IFERROR(__xludf.DUMMYFUNCTION("""COMPUTED_VALUE"""),"uc_OwnerAddress1")</f>
        <v>uc_OwnerAddress1</v>
      </c>
      <c r="ER1" s="2" t="str">
        <f>IFERROR(__xludf.DUMMYFUNCTION("""COMPUTED_VALUE"""),"uc_OwnerCity")</f>
        <v>uc_OwnerCity</v>
      </c>
      <c r="ES1" s="2" t="str">
        <f>IFERROR(__xludf.DUMMYFUNCTION("""COMPUTED_VALUE"""),"uc_OwnerState")</f>
        <v>uc_OwnerState</v>
      </c>
      <c r="ET1" s="2" t="str">
        <f>IFERROR(__xludf.DUMMYFUNCTION("""COMPUTED_VALUE"""),"uc_OwnerZip")</f>
        <v>uc_OwnerZip</v>
      </c>
      <c r="EU1" s="2" t="str">
        <f>IFERROR(__xludf.DUMMYFUNCTION("""COMPUTED_VALUE"""),"uc_OwnerTelephone")</f>
        <v>uc_OwnerTelephone</v>
      </c>
      <c r="EV1" s="2" t="str">
        <f>IFERROR(__xludf.DUMMYFUNCTION("""COMPUTED_VALUE"""),"uc_CreatedBy")</f>
        <v>uc_CreatedBy</v>
      </c>
      <c r="EW1" s="2" t="str">
        <f>IFERROR(__xludf.DUMMYFUNCTION("""COMPUTED_VALUE"""),"uc_DateCreated")</f>
        <v>uc_DateCreated</v>
      </c>
      <c r="EX1" s="2" t="str">
        <f>IFERROR(__xludf.DUMMYFUNCTION("""COMPUTED_VALUE"""),"uc_DateDue")</f>
        <v>uc_DateDue</v>
      </c>
      <c r="EY1" s="2" t="str">
        <f>IFERROR(__xludf.DUMMYFUNCTION("""COMPUTED_VALUE"""),"uc_Description")</f>
        <v>uc_Description</v>
      </c>
      <c r="EZ1" s="2" t="str">
        <f>IFERROR(__xludf.DUMMYFUNCTION("""COMPUTED_VALUE"""),"uc_WorkOrderPriority")</f>
        <v>uc_WorkOrderPriority</v>
      </c>
      <c r="FA1" s="2" t="str">
        <f>IFERROR(__xludf.DUMMYFUNCTION("""COMPUTED_VALUE"""),"uc_WorkOrderStatus")</f>
        <v>uc_WorkOrderStatus</v>
      </c>
      <c r="FB1" s="2" t="str">
        <f>IFERROR(__xludf.DUMMYFUNCTION("""COMPUTED_VALUE"""),"uc_WorkOrderType")</f>
        <v>uc_WorkOrderType</v>
      </c>
    </row>
    <row r="2">
      <c r="A2" s="15">
        <f>IFERROR(__xludf.DUMMYFUNCTION("""COMPUTED_VALUE"""),43865.53236111111)</f>
        <v>43865.53236</v>
      </c>
      <c r="B2" s="2" t="str">
        <f>IFERROR(__xludf.DUMMYFUNCTION("""COMPUTED_VALUE"""),"AESC Admin - Hose Monster")</f>
        <v>AESC Admin - Hose Monster</v>
      </c>
      <c r="C2" s="2" t="str">
        <f>IFERROR(__xludf.DUMMYFUNCTION("""COMPUTED_VALUE"""),"")</f>
        <v/>
      </c>
      <c r="D2" s="2">
        <f>IFERROR(__xludf.DUMMYFUNCTION("""COMPUTED_VALUE"""),8.65337192E8)</f>
        <v>865337192</v>
      </c>
      <c r="E2" s="9">
        <f>IFERROR(__xludf.DUMMYFUNCTION("""COMPUTED_VALUE"""),43865.0)</f>
        <v>43865</v>
      </c>
      <c r="F2" s="2" t="str">
        <f>IFERROR(__xludf.DUMMYFUNCTION("""COMPUTED_VALUE"""),"")</f>
        <v/>
      </c>
      <c r="G2" s="2" t="str">
        <f>IFERROR(__xludf.DUMMYFUNCTION("""COMPUTED_VALUE"""),"")</f>
        <v/>
      </c>
      <c r="H2" s="2" t="str">
        <f>IFERROR(__xludf.DUMMYFUNCTION("""COMPUTED_VALUE"""),"")</f>
        <v/>
      </c>
      <c r="I2" s="2" t="str">
        <f>IFERROR(__xludf.DUMMYFUNCTION("""COMPUTED_VALUE"""),"")</f>
        <v/>
      </c>
      <c r="J2" s="2" t="str">
        <f>IFERROR(__xludf.DUMMYFUNCTION("""COMPUTED_VALUE"""),"")</f>
        <v/>
      </c>
      <c r="K2" s="2" t="str">
        <f>IFERROR(__xludf.DUMMYFUNCTION("""COMPUTED_VALUE"""),"")</f>
        <v/>
      </c>
      <c r="L2" s="2" t="str">
        <f>IFERROR(__xludf.DUMMYFUNCTION("""COMPUTED_VALUE"""),"")</f>
        <v/>
      </c>
      <c r="M2" s="2" t="str">
        <f>IFERROR(__xludf.DUMMYFUNCTION("""COMPUTED_VALUE"""),"")</f>
        <v/>
      </c>
      <c r="N2" s="2" t="str">
        <f>IFERROR(__xludf.DUMMYFUNCTION("""COMPUTED_VALUE"""),"")</f>
        <v/>
      </c>
      <c r="O2" s="2" t="str">
        <f>IFERROR(__xludf.DUMMYFUNCTION("""COMPUTED_VALUE"""),"")</f>
        <v/>
      </c>
      <c r="P2" s="2" t="str">
        <f>IFERROR(__xludf.DUMMYFUNCTION("""COMPUTED_VALUE"""),"")</f>
        <v/>
      </c>
      <c r="Q2" s="2" t="str">
        <f>IFERROR(__xludf.DUMMYFUNCTION("""COMPUTED_VALUE"""),"")</f>
        <v/>
      </c>
      <c r="R2" s="2" t="str">
        <f>IFERROR(__xludf.DUMMYFUNCTION("""COMPUTED_VALUE"""),"")</f>
        <v/>
      </c>
      <c r="S2" s="2" t="str">
        <f>IFERROR(__xludf.DUMMYFUNCTION("""COMPUTED_VALUE"""),"")</f>
        <v/>
      </c>
      <c r="T2" s="2" t="str">
        <f>IFERROR(__xludf.DUMMYFUNCTION("""COMPUTED_VALUE"""),"Acceptance")</f>
        <v>Acceptance</v>
      </c>
      <c r="U2" s="2" t="str">
        <f>IFERROR(__xludf.DUMMYFUNCTION("""COMPUTED_VALUE"""),"him")</f>
        <v>him</v>
      </c>
      <c r="V2" s="2" t="str">
        <f>IFERROR(__xludf.DUMMYFUNCTION("""COMPUTED_VALUE"""),"her")</f>
        <v>her</v>
      </c>
      <c r="W2" s="2" t="str">
        <f>IFERROR(__xludf.DUMMYFUNCTION("""COMPUTED_VALUE"""),"them")</f>
        <v>them</v>
      </c>
      <c r="X2" s="2" t="str">
        <f>IFERROR(__xludf.DUMMYFUNCTION("""COMPUTED_VALUE"""),"who")</f>
        <v>who</v>
      </c>
      <c r="Y2" s="2" t="str">
        <f>IFERROR(__xludf.DUMMYFUNCTION("""COMPUTED_VALUE"""),"UC Test Pump")</f>
        <v>UC Test Pump</v>
      </c>
      <c r="Z2" s="2" t="str">
        <f>IFERROR(__xludf.DUMMYFUNCTION("""COMPUTED_VALUE"""),"UC-FP-1")</f>
        <v>UC-FP-1</v>
      </c>
      <c r="AA2" s="2" t="str">
        <f>IFERROR(__xludf.DUMMYFUNCTION("""COMPUTED_VALUE"""),"AESC Admin - Hose Monster")</f>
        <v>AESC Admin - Hose Monster</v>
      </c>
      <c r="AB2" s="2" t="str">
        <f>IFERROR(__xludf.DUMMYFUNCTION("""COMPUTED_VALUE"""),"c4a602a6-5b8e-4c9d-87bd-335d4071d942")</f>
        <v>c4a602a6-5b8e-4c9d-87bd-335d4071d942</v>
      </c>
      <c r="AC2" s="2" t="str">
        <f>IFERROR(__xludf.DUMMYFUNCTION("""COMPUTED_VALUE"""),"UC Test Testing Firm")</f>
        <v>UC Test Testing Firm</v>
      </c>
      <c r="AD2" s="14" t="str">
        <f>IFERROR(__xludf.DUMMYFUNCTION("""COMPUTED_VALUE"""),"https://ucld.us/_proto/index.html#ajax/AssetDetails.html?assetid=835317036")</f>
        <v>https://ucld.us/_proto/index.html#ajax/AssetDetails.html?assetid=835317036</v>
      </c>
      <c r="AE2" s="15">
        <f>IFERROR(__xludf.DUMMYFUNCTION("""COMPUTED_VALUE"""),43796.0)</f>
        <v>43796</v>
      </c>
      <c r="AF2" s="2">
        <f>IFERROR(__xludf.DUMMYFUNCTION("""COMPUTED_VALUE"""),42.77487)</f>
        <v>42.77487</v>
      </c>
      <c r="AG2" s="2">
        <f>IFERROR(__xludf.DUMMYFUNCTION("""COMPUTED_VALUE"""),-71.249246)</f>
        <v>-71.249246</v>
      </c>
      <c r="AH2" s="2" t="str">
        <f>IFERROR(__xludf.DUMMYFUNCTION("""COMPUTED_VALUE"""),"")</f>
        <v/>
      </c>
      <c r="AI2" s="2">
        <f>IFERROR(__xludf.DUMMYFUNCTION("""COMPUTED_VALUE"""),8.35317036E8)</f>
        <v>835317036</v>
      </c>
      <c r="AJ2" s="2" t="str">
        <f>IFERROR(__xludf.DUMMYFUNCTION("""COMPUTED_VALUE"""),"lsifsldf")</f>
        <v>lsifsldf</v>
      </c>
      <c r="AK2" s="2" t="str">
        <f>IFERROR(__xludf.DUMMYFUNCTION("""COMPUTED_VALUE"""),"bldg name")</f>
        <v>bldg name</v>
      </c>
      <c r="AL2" s="2" t="str">
        <f>IFERROR(__xludf.DUMMYFUNCTION("""COMPUTED_VALUE"""),"sdfj")</f>
        <v>sdfj</v>
      </c>
      <c r="AM2" s="2" t="str">
        <f>IFERROR(__xludf.DUMMYFUNCTION("""COMPUTED_VALUE"""),"sdlifiji")</f>
        <v>sdlifiji</v>
      </c>
      <c r="AN2" s="2" t="str">
        <f>IFERROR(__xludf.DUMMYFUNCTION("""COMPUTED_VALUE"""),"sljsdf")</f>
        <v>sljsdf</v>
      </c>
      <c r="AO2" s="2" t="str">
        <f>IFERROR(__xludf.DUMMYFUNCTION("""COMPUTED_VALUE"""),"ljsf")</f>
        <v>ljsf</v>
      </c>
      <c r="AP2" s="2" t="str">
        <f>IFERROR(__xludf.DUMMYFUNCTION("""COMPUTED_VALUE"""),"Milford")</f>
        <v>Milford</v>
      </c>
      <c r="AQ2" s="2" t="str">
        <f>IFERROR(__xludf.DUMMYFUNCTION("""COMPUTED_VALUE"""),"US")</f>
        <v>US</v>
      </c>
      <c r="AR2" s="2" t="str">
        <f>IFERROR(__xludf.DUMMYFUNCTION("""COMPUTED_VALUE"""),"ABC Big Company")</f>
        <v>ABC Big Company</v>
      </c>
      <c r="AS2" s="2" t="str">
        <f>IFERROR(__xludf.DUMMYFUNCTION("""COMPUTED_VALUE"""),"")</f>
        <v/>
      </c>
      <c r="AT2" s="2" t="str">
        <f>IFERROR(__xludf.DUMMYFUNCTION("""COMPUTED_VALUE"""),"Bill Williams")</f>
        <v>Bill Williams</v>
      </c>
      <c r="AU2" s="2" t="str">
        <f>IFERROR(__xludf.DUMMYFUNCTION("""COMPUTED_VALUE"""),"2019-12-02")</f>
        <v>2019-12-02</v>
      </c>
      <c r="AV2" s="16">
        <f>IFERROR(__xludf.DUMMYFUNCTION("""COMPUTED_VALUE"""),43770.0)</f>
        <v>43770</v>
      </c>
      <c r="AW2" s="2">
        <f>IFERROR(__xludf.DUMMYFUNCTION("""COMPUTED_VALUE"""),4.0)</f>
        <v>4</v>
      </c>
      <c r="AX2" s="2">
        <f>IFERROR(__xludf.DUMMYFUNCTION("""COMPUTED_VALUE"""),3.0)</f>
        <v>3</v>
      </c>
      <c r="AY2" s="2" t="str">
        <f>IFERROR(__xludf.DUMMYFUNCTION("""COMPUTED_VALUE"""),"FM")</f>
        <v>FM</v>
      </c>
      <c r="AZ2" s="2" t="str">
        <f>IFERROR(__xludf.DUMMYFUNCTION("""COMPUTED_VALUE"""),"grlsfkkjjslfj")</f>
        <v>grlsfkkjjslfj</v>
      </c>
      <c r="BA2" s="2" t="str">
        <f>IFERROR(__xludf.DUMMYFUNCTION("""COMPUTED_VALUE"""),"gdijgs")</f>
        <v>gdijgs</v>
      </c>
      <c r="BB2" s="2" t="str">
        <f>IFERROR(__xludf.DUMMYFUNCTION("""COMPUTED_VALUE"""),"fgdfg")</f>
        <v>fgdfg</v>
      </c>
      <c r="BC2" s="2">
        <f>IFERROR(__xludf.DUMMYFUNCTION("""COMPUTED_VALUE"""),3.0)</f>
        <v>3</v>
      </c>
      <c r="BD2" s="2">
        <f>IFERROR(__xludf.DUMMYFUNCTION("""COMPUTED_VALUE"""),2.0)</f>
        <v>2</v>
      </c>
      <c r="BE2" s="2">
        <f>IFERROR(__xludf.DUMMYFUNCTION("""COMPUTED_VALUE"""),1.0)</f>
        <v>1</v>
      </c>
      <c r="BF2" s="2">
        <f>IFERROR(__xludf.DUMMYFUNCTION("""COMPUTED_VALUE"""),2.0)</f>
        <v>2</v>
      </c>
      <c r="BG2" s="2">
        <f>IFERROR(__xludf.DUMMYFUNCTION("""COMPUTED_VALUE"""),1.0)</f>
        <v>1</v>
      </c>
      <c r="BH2" s="2" t="str">
        <f>IFERROR(__xludf.DUMMYFUNCTION("""COMPUTED_VALUE"""),"dlfjgf")</f>
        <v>dlfjgf</v>
      </c>
      <c r="BI2" s="2" t="str">
        <f>IFERROR(__xludf.DUMMYFUNCTION("""COMPUTED_VALUE"""),"gdfsf")</f>
        <v>gdfsf</v>
      </c>
      <c r="BJ2" s="2" t="str">
        <f>IFERROR(__xludf.DUMMYFUNCTION("""COMPUTED_VALUE"""),"Electric Motor")</f>
        <v>Electric Motor</v>
      </c>
      <c r="BK2" s="2" t="str">
        <f>IFERROR(__xludf.DUMMYFUNCTION("""COMPUTED_VALUE"""),"")</f>
        <v/>
      </c>
      <c r="BL2" s="2" t="str">
        <f>IFERROR(__xludf.DUMMYFUNCTION("""COMPUTED_VALUE"""),"example@example.com")</f>
        <v>example@example.com</v>
      </c>
      <c r="BM2" s="2" t="str">
        <f>IFERROR(__xludf.DUMMYFUNCTION("""COMPUTED_VALUE"""),"999-999-9999")</f>
        <v>999-999-9999</v>
      </c>
      <c r="BN2" s="2" t="str">
        <f>IFERROR(__xludf.DUMMYFUNCTION("""COMPUTED_VALUE"""),"")</f>
        <v/>
      </c>
      <c r="BO2" s="2" t="str">
        <f>IFERROR(__xludf.DUMMYFUNCTION("""COMPUTED_VALUE"""),"")</f>
        <v/>
      </c>
      <c r="BP2" s="2" t="str">
        <f>IFERROR(__xludf.DUMMYFUNCTION("""COMPUTED_VALUE"""),"")</f>
        <v/>
      </c>
      <c r="BQ2" s="2">
        <f>IFERROR(__xludf.DUMMYFUNCTION("""COMPUTED_VALUE"""),3.0)</f>
        <v>3</v>
      </c>
      <c r="BR2" s="2" t="str">
        <f>IFERROR(__xludf.DUMMYFUNCTION("""COMPUTED_VALUE"""),"UL")</f>
        <v>UL</v>
      </c>
      <c r="BS2" s="2" t="str">
        <f>IFERROR(__xludf.DUMMYFUNCTION("""COMPUTED_VALUE"""),"sldf")</f>
        <v>sldf</v>
      </c>
      <c r="BT2" s="2" t="str">
        <f>IFERROR(__xludf.DUMMYFUNCTION("""COMPUTED_VALUE"""),"sflj")</f>
        <v>sflj</v>
      </c>
      <c r="BU2" s="2">
        <f>IFERROR(__xludf.DUMMYFUNCTION("""COMPUTED_VALUE"""),6.0)</f>
        <v>6</v>
      </c>
      <c r="BV2" s="2">
        <f>IFERROR(__xludf.DUMMYFUNCTION("""COMPUTED_VALUE"""),5.0)</f>
        <v>5</v>
      </c>
      <c r="BW2" s="2">
        <f>IFERROR(__xludf.DUMMYFUNCTION("""COMPUTED_VALUE"""),2.0)</f>
        <v>2</v>
      </c>
      <c r="BX2" s="2">
        <f>IFERROR(__xludf.DUMMYFUNCTION("""COMPUTED_VALUE"""),1.0)</f>
        <v>1</v>
      </c>
      <c r="BY2" s="2">
        <f>IFERROR(__xludf.DUMMYFUNCTION("""COMPUTED_VALUE"""),4.0)</f>
        <v>4</v>
      </c>
      <c r="BZ2" s="2" t="str">
        <f>IFERROR(__xludf.DUMMYFUNCTION("""COMPUTED_VALUE"""),"slkjsdfdl")</f>
        <v>slkjsdfdl</v>
      </c>
      <c r="CA2" s="2" t="str">
        <f>IFERROR(__xludf.DUMMYFUNCTION("""COMPUTED_VALUE"""),"slfj")</f>
        <v>slfj</v>
      </c>
      <c r="CB2" s="2" t="str">
        <f>IFERROR(__xludf.DUMMYFUNCTION("""COMPUTED_VALUE"""),"sdfj")</f>
        <v>sdfj</v>
      </c>
      <c r="CC2" s="2" t="str">
        <f>IFERROR(__xludf.DUMMYFUNCTION("""COMPUTED_VALUE"""),"lsflsdk")</f>
        <v>lsflsdk</v>
      </c>
      <c r="CD2" s="2">
        <f>IFERROR(__xludf.DUMMYFUNCTION("""COMPUTED_VALUE"""),120.0)</f>
        <v>120</v>
      </c>
      <c r="CE2" s="2">
        <f>IFERROR(__xludf.DUMMYFUNCTION("""COMPUTED_VALUE"""),67.0)</f>
        <v>67</v>
      </c>
      <c r="CF2" s="2">
        <f>IFERROR(__xludf.DUMMYFUNCTION("""COMPUTED_VALUE"""),100.0)</f>
        <v>100</v>
      </c>
      <c r="CG2" s="2">
        <f>IFERROR(__xludf.DUMMYFUNCTION("""COMPUTED_VALUE"""),3.0)</f>
        <v>3</v>
      </c>
      <c r="CH2" s="2" t="str">
        <f>IFERROR(__xludf.DUMMYFUNCTION("""COMPUTED_VALUE"""),"sj;")</f>
        <v>sj;</v>
      </c>
      <c r="CI2" s="2" t="str">
        <f>IFERROR(__xludf.DUMMYFUNCTION("""COMPUTED_VALUE"""),"sf;os")</f>
        <v>sf;os</v>
      </c>
      <c r="CJ2" s="2" t="str">
        <f>IFERROR(__xludf.DUMMYFUNCTION("""COMPUTED_VALUE"""),"ljsf")</f>
        <v>ljsf</v>
      </c>
      <c r="CK2" s="2" t="str">
        <f>IFERROR(__xludf.DUMMYFUNCTION("""COMPUTED_VALUE"""),"lkjsdf")</f>
        <v>lkjsdf</v>
      </c>
      <c r="CL2" s="2" t="str">
        <f>IFERROR(__xludf.DUMMYFUNCTION("""COMPUTED_VALUE"""),"")</f>
        <v/>
      </c>
      <c r="CM2" s="2" t="str">
        <f>IFERROR(__xludf.DUMMYFUNCTION("""COMPUTED_VALUE"""),"")</f>
        <v/>
      </c>
      <c r="CN2" s="2" t="str">
        <f>IFERROR(__xludf.DUMMYFUNCTION("""COMPUTED_VALUE"""),"")</f>
        <v/>
      </c>
      <c r="CO2" s="2">
        <f>IFERROR(__xludf.DUMMYFUNCTION("""COMPUTED_VALUE"""),3.0)</f>
        <v>3</v>
      </c>
      <c r="CP2" s="2" t="str">
        <f>IFERROR(__xludf.DUMMYFUNCTION("""COMPUTED_VALUE"""),"ULC")</f>
        <v>ULC</v>
      </c>
      <c r="CQ2" s="2" t="str">
        <f>IFERROR(__xludf.DUMMYFUNCTION("""COMPUTED_VALUE"""),"gkiksjf")</f>
        <v>gkiksjf</v>
      </c>
      <c r="CR2" s="2" t="str">
        <f>IFERROR(__xludf.DUMMYFUNCTION("""COMPUTED_VALUE"""),"OJSFDLJ")</f>
        <v>OJSFDLJ</v>
      </c>
      <c r="CS2" s="2">
        <f>IFERROR(__xludf.DUMMYFUNCTION("""COMPUTED_VALUE"""),6.0)</f>
        <v>6</v>
      </c>
      <c r="CT2" s="2">
        <f>IFERROR(__xludf.DUMMYFUNCTION("""COMPUTED_VALUE"""),5.0)</f>
        <v>5</v>
      </c>
      <c r="CU2" s="2">
        <f>IFERROR(__xludf.DUMMYFUNCTION("""COMPUTED_VALUE"""),2.0)</f>
        <v>2</v>
      </c>
      <c r="CV2" s="2">
        <f>IFERROR(__xludf.DUMMYFUNCTION("""COMPUTED_VALUE"""),1.0)</f>
        <v>1</v>
      </c>
      <c r="CW2" s="2">
        <f>IFERROR(__xludf.DUMMYFUNCTION("""COMPUTED_VALUE"""),4.0)</f>
        <v>4</v>
      </c>
      <c r="CX2" s="2" t="str">
        <f>IFERROR(__xludf.DUMMYFUNCTION("""COMPUTED_VALUE"""),"SSL")</f>
        <v>SSL</v>
      </c>
      <c r="CY2" s="2">
        <f>IFERROR(__xludf.DUMMYFUNCTION("""COMPUTED_VALUE"""),3.0)</f>
        <v>3</v>
      </c>
      <c r="CZ2" s="2">
        <f>IFERROR(__xludf.DUMMYFUNCTION("""COMPUTED_VALUE"""),7.0)</f>
        <v>7</v>
      </c>
      <c r="DA2" s="2" t="str">
        <f>IFERROR(__xludf.DUMMYFUNCTION("""COMPUTED_VALUE"""),"sdfljsd")</f>
        <v>sdfljsd</v>
      </c>
      <c r="DB2" s="2" t="str">
        <f>IFERROR(__xludf.DUMMYFUNCTION("""COMPUTED_VALUE"""),"gierp")</f>
        <v>gierp</v>
      </c>
      <c r="DC2" s="2">
        <f>IFERROR(__xludf.DUMMYFUNCTION("""COMPUTED_VALUE"""),2.0)</f>
        <v>2</v>
      </c>
      <c r="DD2" s="2">
        <f>IFERROR(__xludf.DUMMYFUNCTION("""COMPUTED_VALUE"""),6.0)</f>
        <v>6</v>
      </c>
      <c r="DE2" s="2">
        <f>IFERROR(__xludf.DUMMYFUNCTION("""COMPUTED_VALUE"""),3.0)</f>
        <v>3</v>
      </c>
      <c r="DF2" s="2">
        <f>IFERROR(__xludf.DUMMYFUNCTION("""COMPUTED_VALUE"""),1.0)</f>
        <v>1</v>
      </c>
      <c r="DG2" s="2">
        <f>IFERROR(__xludf.DUMMYFUNCTION("""COMPUTED_VALUE"""),4.0)</f>
        <v>4</v>
      </c>
      <c r="DH2" s="2">
        <f>IFERROR(__xludf.DUMMYFUNCTION("""COMPUTED_VALUE"""),2.0)</f>
        <v>2</v>
      </c>
      <c r="DI2" s="2">
        <f>IFERROR(__xludf.DUMMYFUNCTION("""COMPUTED_VALUE"""),4.0)</f>
        <v>4</v>
      </c>
      <c r="DJ2" s="2" t="str">
        <f>IFERROR(__xludf.DUMMYFUNCTION("""COMPUTED_VALUE"""),"grgdfl")</f>
        <v>grgdfl</v>
      </c>
      <c r="DK2" s="2">
        <f>IFERROR(__xludf.DUMMYFUNCTION("""COMPUTED_VALUE"""),5.0)</f>
        <v>5</v>
      </c>
      <c r="DL2" s="2" t="str">
        <f>IFERROR(__xludf.DUMMYFUNCTION("""COMPUTED_VALUE"""),"FM")</f>
        <v>FM</v>
      </c>
      <c r="DM2" s="2" t="str">
        <f>IFERROR(__xludf.DUMMYFUNCTION("""COMPUTED_VALUE"""),"grrgrg")</f>
        <v>grrgrg</v>
      </c>
      <c r="DN2" s="2" t="str">
        <f>IFERROR(__xludf.DUMMYFUNCTION("""COMPUTED_VALUE"""),"rthrt")</f>
        <v>rthrt</v>
      </c>
      <c r="DO2" s="2" t="str">
        <f>IFERROR(__xludf.DUMMYFUNCTION("""COMPUTED_VALUE"""),"dfjsdfljsd")</f>
        <v>dfjsdfljsd</v>
      </c>
      <c r="DP2" s="2" t="str">
        <f>IFERROR(__xludf.DUMMYFUNCTION("""COMPUTED_VALUE"""),"")</f>
        <v/>
      </c>
      <c r="DQ2" s="2" t="str">
        <f>IFERROR(__xludf.DUMMYFUNCTION("""COMPUTED_VALUE"""),"999-999-9999")</f>
        <v>999-999-9999</v>
      </c>
      <c r="DR2" s="2" t="str">
        <f>IFERROR(__xludf.DUMMYFUNCTION("""COMPUTED_VALUE"""),"clockwise")</f>
        <v>clockwise</v>
      </c>
      <c r="DS2" s="2" t="str">
        <f>IFERROR(__xludf.DUMMYFUNCTION("""COMPUTED_VALUE"""),"end-suction")</f>
        <v>end-suction</v>
      </c>
      <c r="DT2" s="2">
        <f>IFERROR(__xludf.DUMMYFUNCTION("""COMPUTED_VALUE"""),1000.0)</f>
        <v>1000</v>
      </c>
      <c r="DU2" s="2">
        <f>IFERROR(__xludf.DUMMYFUNCTION("""COMPUTED_VALUE"""),3500.0)</f>
        <v>3500</v>
      </c>
      <c r="DV2" s="2" t="str">
        <f>IFERROR(__xludf.DUMMYFUNCTION("""COMPUTED_VALUE"""),"sfpu")</f>
        <v>sfpu</v>
      </c>
      <c r="DW2" s="2" t="str">
        <f>IFERROR(__xludf.DUMMYFUNCTION("""COMPUTED_VALUE"""),"UL")</f>
        <v>UL</v>
      </c>
      <c r="DX2" s="2" t="str">
        <f>IFERROR(__xludf.DUMMYFUNCTION("""COMPUTED_VALUE"""),"dgdln")</f>
        <v>dgdln</v>
      </c>
      <c r="DY2" s="2" t="str">
        <f>IFERROR(__xludf.DUMMYFUNCTION("""COMPUTED_VALUE"""),"ssdfl")</f>
        <v>ssdfl</v>
      </c>
      <c r="DZ2" s="2" t="str">
        <f>IFERROR(__xludf.DUMMYFUNCTION("""COMPUTED_VALUE"""),"lijsfljsd")</f>
        <v>lijsfljsd</v>
      </c>
      <c r="EA2" s="2" t="str">
        <f>IFERROR(__xludf.DUMMYFUNCTION("""COMPUTED_VALUE"""),"")</f>
        <v/>
      </c>
      <c r="EB2" s="2" t="str">
        <f>IFERROR(__xludf.DUMMYFUNCTION("""COMPUTED_VALUE"""),"jlj")</f>
        <v>jlj</v>
      </c>
      <c r="EC2" s="2" t="str">
        <f>IFERROR(__xludf.DUMMYFUNCTION("""COMPUTED_VALUE"""),"NH")</f>
        <v>NH</v>
      </c>
      <c r="ED2" s="2" t="str">
        <f>IFERROR(__xludf.DUMMYFUNCTION("""COMPUTED_VALUE"""),"123 ABC Street")</f>
        <v>123 ABC Street</v>
      </c>
      <c r="EE2" s="2" t="str">
        <f>IFERROR(__xludf.DUMMYFUNCTION("""COMPUTED_VALUE"""),"Suite 1")</f>
        <v>Suite 1</v>
      </c>
      <c r="EF2" s="2" t="str">
        <f>IFERROR(__xludf.DUMMYFUNCTION("""COMPUTED_VALUE"""),"ffdsfs")</f>
        <v>ffdsfs</v>
      </c>
      <c r="EG2" s="2">
        <f>IFERROR(__xludf.DUMMYFUNCTION("""COMPUTED_VALUE"""),2.0)</f>
        <v>2</v>
      </c>
      <c r="EH2" s="2">
        <f>IFERROR(__xludf.DUMMYFUNCTION("""COMPUTED_VALUE"""),1.0)</f>
        <v>1</v>
      </c>
      <c r="EI2" s="2" t="str">
        <f>IFERROR(__xludf.DUMMYFUNCTION("""COMPUTED_VALUE"""),"Joseph Smith")</f>
        <v>Joseph Smith</v>
      </c>
      <c r="EJ2" s="2">
        <f>IFERROR(__xludf.DUMMYFUNCTION("""COMPUTED_VALUE"""),1.23456789E8)</f>
        <v>123456789</v>
      </c>
      <c r="EK2" s="2" t="str">
        <f>IFERROR(__xludf.DUMMYFUNCTION("""COMPUTED_VALUE"""),"")</f>
        <v/>
      </c>
      <c r="EL2" s="14" t="str">
        <f>IFERROR(__xludf.DUMMYFUNCTION("""COMPUTED_VALUE"""),"https://s3.amazonaws.com/UcAssetDataProduction/8ffa21a4-feeb-4341-b99f-0ff6134736c7.jpg")</f>
        <v>https://s3.amazonaws.com/UcAssetDataProduction/8ffa21a4-feeb-4341-b99f-0ff6134736c7.jpg</v>
      </c>
      <c r="EM2" s="2" t="str">
        <f>IFERROR(__xludf.DUMMYFUNCTION("""COMPUTED_VALUE"""),"My Testing Firm Name")</f>
        <v>My Testing Firm Name</v>
      </c>
      <c r="EN2" s="2">
        <f>IFERROR(__xludf.DUMMYFUNCTION("""COMPUTED_VALUE"""),231.0)</f>
        <v>231</v>
      </c>
      <c r="EO2" s="2" t="str">
        <f>IFERROR(__xludf.DUMMYFUNCTION("""COMPUTED_VALUE"""),"03055")</f>
        <v>03055</v>
      </c>
      <c r="EP2" s="2" t="str">
        <f>IFERROR(__xludf.DUMMYFUNCTION("""COMPUTED_VALUE"""),"AESC Admin - Hose Monster")</f>
        <v>AESC Admin - Hose Monster</v>
      </c>
      <c r="EQ2" s="2" t="str">
        <f>IFERROR(__xludf.DUMMYFUNCTION("""COMPUTED_VALUE"""),"")</f>
        <v/>
      </c>
      <c r="ER2" s="2" t="str">
        <f>IFERROR(__xludf.DUMMYFUNCTION("""COMPUTED_VALUE"""),"")</f>
        <v/>
      </c>
      <c r="ES2" s="2" t="str">
        <f>IFERROR(__xludf.DUMMYFUNCTION("""COMPUTED_VALUE"""),"")</f>
        <v/>
      </c>
      <c r="ET2" s="2" t="str">
        <f>IFERROR(__xludf.DUMMYFUNCTION("""COMPUTED_VALUE"""),"")</f>
        <v/>
      </c>
      <c r="EU2" s="2" t="str">
        <f>IFERROR(__xludf.DUMMYFUNCTION("""COMPUTED_VALUE"""),"603-111-2222")</f>
        <v>603-111-2222</v>
      </c>
      <c r="EV2" s="2" t="str">
        <f>IFERROR(__xludf.DUMMYFUNCTION("""COMPUTED_VALUE"""),"AESC Admin - Hose Monster")</f>
        <v>AESC Admin - Hose Monster</v>
      </c>
      <c r="EW2" s="15">
        <f>IFERROR(__xludf.DUMMYFUNCTION("""COMPUTED_VALUE"""),43865.740219907406)</f>
        <v>43865.74022</v>
      </c>
      <c r="EX2" s="2" t="str">
        <f>IFERROR(__xludf.DUMMYFUNCTION("""COMPUTED_VALUE"""),"")</f>
        <v/>
      </c>
      <c r="EY2" s="2" t="str">
        <f>IFERROR(__xludf.DUMMYFUNCTION("""COMPUTED_VALUE"""),"generate the report")</f>
        <v>generate the report</v>
      </c>
      <c r="EZ2" s="2" t="str">
        <f>IFERROR(__xludf.DUMMYFUNCTION("""COMPUTED_VALUE"""),"Minor")</f>
        <v>Minor</v>
      </c>
      <c r="FA2" s="2" t="str">
        <f>IFERROR(__xludf.DUMMYFUNCTION("""COMPUTED_VALUE"""),"Complete")</f>
        <v>Complete</v>
      </c>
      <c r="FB2" s="2" t="str">
        <f>IFERROR(__xludf.DUMMYFUNCTION("""COMPUTED_VALUE"""),"PM")</f>
        <v>PM</v>
      </c>
    </row>
  </sheetData>
  <hyperlinks>
    <hyperlink r:id="rId1" location="ajax/AssetDetails.html?assetid=835317036" ref="AD2"/>
    <hyperlink r:id="rId2" ref="EL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2" max="2" width="38.29"/>
    <col customWidth="1" min="3" max="3" width="10.29"/>
    <col customWidth="1" min="9" max="9" width="21.14"/>
    <col customWidth="1" min="199" max="199" width="23.86"/>
  </cols>
  <sheetData>
    <row r="1" ht="16.5" customHeight="1">
      <c r="A1" s="1" t="s">
        <v>0</v>
      </c>
      <c r="B1" s="3" t="s">
        <v>1</v>
      </c>
      <c r="C1" s="4"/>
    </row>
    <row r="2" ht="16.5" customHeight="1">
      <c r="A2" s="5" t="s">
        <v>2</v>
      </c>
      <c r="B2" s="6" t="s">
        <v>3</v>
      </c>
      <c r="C2" s="4"/>
    </row>
    <row r="3" ht="16.5" customHeight="1">
      <c r="A3" s="5" t="s">
        <v>4</v>
      </c>
      <c r="B3" s="4" t="str">
        <f>Data!AB2</f>
        <v>c4a602a6-5b8e-4c9d-87bd-335d4071d942</v>
      </c>
      <c r="C3" s="4"/>
    </row>
    <row r="4" ht="16.5" customHeight="1">
      <c r="A4" s="5" t="s">
        <v>5</v>
      </c>
      <c r="B4" s="7"/>
      <c r="C4" s="4"/>
    </row>
    <row r="5" ht="16.5" customHeight="1">
      <c r="A5" s="5" t="s">
        <v>6</v>
      </c>
      <c r="B5" s="8">
        <v>5.3208597E7</v>
      </c>
      <c r="C5" s="4"/>
      <c r="H5" s="9"/>
    </row>
    <row r="6" ht="16.5" customHeight="1">
      <c r="A6" s="5" t="s">
        <v>7</v>
      </c>
      <c r="B6" s="10">
        <f>Data!AI2</f>
        <v>835317036</v>
      </c>
      <c r="C6" s="4"/>
    </row>
    <row r="7" ht="16.5" customHeight="1">
      <c r="A7" s="5" t="s">
        <v>8</v>
      </c>
      <c r="B7" s="4"/>
      <c r="C7" s="4"/>
      <c r="D7" s="4"/>
    </row>
    <row r="8" ht="16.5" customHeight="1">
      <c r="A8" s="5" t="s">
        <v>9</v>
      </c>
      <c r="B8" s="11">
        <f>Data!E2</f>
        <v>43865</v>
      </c>
      <c r="C8" s="12">
        <v>0.0</v>
      </c>
    </row>
    <row r="9" ht="16.5" customHeight="1">
      <c r="A9" s="5" t="s">
        <v>10</v>
      </c>
      <c r="B9" s="13">
        <f>Data!E2</f>
        <v>43865</v>
      </c>
      <c r="C9" s="12">
        <v>0.999988425925926</v>
      </c>
    </row>
    <row r="10" ht="16.5" customHeight="1">
      <c r="A10" s="5" t="s">
        <v>11</v>
      </c>
      <c r="B10" s="7">
        <v>1.0</v>
      </c>
      <c r="C10" s="4"/>
    </row>
    <row r="11" ht="16.5" customHeight="1"/>
    <row r="12" ht="16.5" customHeight="1">
      <c r="A12" s="14" t="str">
        <f>B1 &amp; "GetWFReports.ashx?sr=" &amp;B10 &amp; "&amp;k=" &amp;B2 &amp; "&amp;c=" &amp;B3 &amp; "&amp;ac=" &amp;B4 &amp; "&amp;wf=" &amp;B5 &amp; "&amp;a=" &amp;B6 &amp; "&amp;wfr=" &amp;B7 &amp; "&amp;s=" &amp;month(B8) &amp; "-" &amp;day(B8) &amp; "-" &amp;year(B8)  &amp; "-" &amp;hour(C8) &amp; "-" &amp;minute(C8) &amp; "-" &amp;second(C8) &amp; "&amp;e=" &amp;month(B9) &amp; "-" &amp;day(B9) &amp; "-" &amp;year(B9)  &amp; "-" &amp;hour(C9) &amp; "-" &amp;minute(C9) &amp; "-" &amp;second(C9) &amp; ""</f>
        <v>https://ucld.us/GetWFReports.ashx?sr=1&amp;k=6cce2f59-841c-4a65-aac0-5022efb4e554&amp;c=c4a602a6-5b8e-4c9d-87bd-335d4071d942&amp;ac=&amp;wf=53208597&amp;a=835317036&amp;wfr=&amp;s=2-4-2020-0-0-0&amp;e=2-4-2020-23-59-59</v>
      </c>
    </row>
    <row r="14">
      <c r="A14" s="1"/>
    </row>
    <row r="15">
      <c r="A15" s="2" t="str">
        <f>IFERROR(__xludf.DUMMYFUNCTION("IMPORTXML(A12,""//data"")"),"uc_WorkflowDate")</f>
        <v>uc_WorkflowDate</v>
      </c>
      <c r="B15" s="2" t="str">
        <f>IFERROR(__xludf.DUMMYFUNCTION("""COMPUTED_VALUE"""),"uc_WorkflowBy")</f>
        <v>uc_WorkflowBy</v>
      </c>
      <c r="C15" s="2" t="str">
        <f>IFERROR(__xludf.DUMMYFUNCTION("""COMPUTED_VALUE"""),"uc_Signature")</f>
        <v>uc_Signature</v>
      </c>
      <c r="D15" s="2" t="str">
        <f>IFERROR(__xludf.DUMMYFUNCTION("""COMPUTED_VALUE"""),"uc_WorkFlowReportID")</f>
        <v>uc_WorkFlowReportID</v>
      </c>
      <c r="E15" s="2" t="str">
        <f>IFERROR(__xludf.DUMMYFUNCTION("""COMPUTED_VALUE"""),"uc_ReportDate")</f>
        <v>uc_ReportDate</v>
      </c>
      <c r="F15" s="2" t="str">
        <f>IFERROR(__xludf.DUMMYFUNCTION("""COMPUTED_VALUE"""),"uc_TestType")</f>
        <v>uc_TestType</v>
      </c>
      <c r="G15" s="2" t="str">
        <f>IFERROR(__xludf.DUMMYFUNCTION("""COMPUTED_VALUE"""),"uc_FireDepartmentAttendee")</f>
        <v>uc_FireDepartmentAttendee</v>
      </c>
      <c r="H15" s="2" t="str">
        <f>IFERROR(__xludf.DUMMYFUNCTION("""COMPUTED_VALUE"""),"uc_BuildingRepresentativeAttendee")</f>
        <v>uc_BuildingRepresentativeAttendee</v>
      </c>
      <c r="I15" s="2" t="str">
        <f>IFERROR(__xludf.DUMMYFUNCTION("""COMPUTED_VALUE"""),"uc_TestingFirmAttendee")</f>
        <v>uc_TestingFirmAttendee</v>
      </c>
      <c r="J15" s="2" t="str">
        <f>IFERROR(__xludf.DUMMYFUNCTION("""COMPUTED_VALUE"""),"uc_PumpManufacturerAttendee")</f>
        <v>uc_PumpManufacturerAttendee</v>
      </c>
      <c r="K15" s="2" t="str">
        <f>IFERROR(__xludf.DUMMYFUNCTION("""COMPUTED_VALUE"""),"uc_FlowDeviceUsed")</f>
        <v>uc_FlowDeviceUsed</v>
      </c>
      <c r="L15" s="2" t="str">
        <f>IFERROR(__xludf.DUMMYFUNCTION("""COMPUTED_VALUE"""),"uc_FlowDeviceCategory")</f>
        <v>uc_FlowDeviceCategory</v>
      </c>
      <c r="M15" s="2" t="str">
        <f>IFERROR(__xludf.DUMMYFUNCTION("""COMPUTED_VALUE"""),"uc_StepNumber")</f>
        <v>uc_StepNumber</v>
      </c>
      <c r="N15" s="2" t="str">
        <f>IFERROR(__xludf.DUMMYFUNCTION("""COMPUTED_VALUE"""),"uc_RPM")</f>
        <v>uc_RPM</v>
      </c>
      <c r="O15" s="2" t="str">
        <f>IFERROR(__xludf.DUMMYFUNCTION("""COMPUTED_VALUE"""),"uc_Discharge")</f>
        <v>uc_Discharge</v>
      </c>
      <c r="P15" s="2" t="str">
        <f>IFERROR(__xludf.DUMMYFUNCTION("""COMPUTED_VALUE"""),"uc_Suction")</f>
        <v>uc_Suction</v>
      </c>
      <c r="Q15" s="2" t="str">
        <f>IFERROR(__xludf.DUMMYFUNCTION("""COMPUTED_VALUE"""),"uc_Net")</f>
        <v>uc_Net</v>
      </c>
      <c r="R15" s="2" t="str">
        <f>IFERROR(__xludf.DUMMYFUNCTION("""COMPUTED_VALUE"""),"uc_Stream1Device")</f>
        <v>uc_Stream1Device</v>
      </c>
      <c r="S15" s="2" t="str">
        <f>IFERROR(__xludf.DUMMYFUNCTION("""COMPUTED_VALUE"""),"uc_Stream1PSI")</f>
        <v>uc_Stream1PSI</v>
      </c>
      <c r="T15" s="2" t="str">
        <f>IFERROR(__xludf.DUMMYFUNCTION("""COMPUTED_VALUE"""),"uc_Stream1GPM")</f>
        <v>uc_Stream1GPM</v>
      </c>
      <c r="U15" s="2" t="str">
        <f>IFERROR(__xludf.DUMMYFUNCTION("""COMPUTED_VALUE"""),"uc_Stream2Data")</f>
        <v>uc_Stream2Data</v>
      </c>
      <c r="V15" s="2" t="str">
        <f>IFERROR(__xludf.DUMMYFUNCTION("""COMPUTED_VALUE"""),"uc_Stream2Device")</f>
        <v>uc_Stream2Device</v>
      </c>
      <c r="W15" s="2" t="str">
        <f>IFERROR(__xludf.DUMMYFUNCTION("""COMPUTED_VALUE"""),"uc_Stream2PSI")</f>
        <v>uc_Stream2PSI</v>
      </c>
      <c r="X15" s="2" t="str">
        <f>IFERROR(__xludf.DUMMYFUNCTION("""COMPUTED_VALUE"""),"uc_Stream2GPM")</f>
        <v>uc_Stream2GPM</v>
      </c>
      <c r="Y15" s="2" t="str">
        <f>IFERROR(__xludf.DUMMYFUNCTION("""COMPUTED_VALUE"""),"uc_Stream3Data")</f>
        <v>uc_Stream3Data</v>
      </c>
      <c r="Z15" s="2" t="str">
        <f>IFERROR(__xludf.DUMMYFUNCTION("""COMPUTED_VALUE"""),"uc_Stream3Device")</f>
        <v>uc_Stream3Device</v>
      </c>
      <c r="AA15" s="2" t="str">
        <f>IFERROR(__xludf.DUMMYFUNCTION("""COMPUTED_VALUE"""),"uc_Stream3PSI")</f>
        <v>uc_Stream3PSI</v>
      </c>
      <c r="AB15" s="2" t="str">
        <f>IFERROR(__xludf.DUMMYFUNCTION("""COMPUTED_VALUE"""),"uc_Stream3GPM")</f>
        <v>uc_Stream3GPM</v>
      </c>
      <c r="AC15" s="2" t="str">
        <f>IFERROR(__xludf.DUMMYFUNCTION("""COMPUTED_VALUE"""),"uc_Stream4Data")</f>
        <v>uc_Stream4Data</v>
      </c>
      <c r="AD15" s="2" t="str">
        <f>IFERROR(__xludf.DUMMYFUNCTION("""COMPUTED_VALUE"""),"uc_Stream4Device")</f>
        <v>uc_Stream4Device</v>
      </c>
      <c r="AE15" s="2" t="str">
        <f>IFERROR(__xludf.DUMMYFUNCTION("""COMPUTED_VALUE"""),"uc_Stream4PSI")</f>
        <v>uc_Stream4PSI</v>
      </c>
      <c r="AF15" s="2" t="str">
        <f>IFERROR(__xludf.DUMMYFUNCTION("""COMPUTED_VALUE"""),"uc_Stream4GPM")</f>
        <v>uc_Stream4GPM</v>
      </c>
      <c r="AG15" s="2" t="str">
        <f>IFERROR(__xludf.DUMMYFUNCTION("""COMPUTED_VALUE"""),"uc_Stream5Data")</f>
        <v>uc_Stream5Data</v>
      </c>
      <c r="AH15" s="2" t="str">
        <f>IFERROR(__xludf.DUMMYFUNCTION("""COMPUTED_VALUE"""),"uc_Stream5Device")</f>
        <v>uc_Stream5Device</v>
      </c>
      <c r="AI15" s="2" t="str">
        <f>IFERROR(__xludf.DUMMYFUNCTION("""COMPUTED_VALUE"""),"uc_Stream5PSI")</f>
        <v>uc_Stream5PSI</v>
      </c>
      <c r="AJ15" s="2" t="str">
        <f>IFERROR(__xludf.DUMMYFUNCTION("""COMPUTED_VALUE"""),"uc_Stream5GPM")</f>
        <v>uc_Stream5GPM</v>
      </c>
      <c r="AK15" s="2" t="str">
        <f>IFERROR(__xludf.DUMMYFUNCTION("""COMPUTED_VALUE"""),"uc_Stream6Data")</f>
        <v>uc_Stream6Data</v>
      </c>
      <c r="AL15" s="2" t="str">
        <f>IFERROR(__xludf.DUMMYFUNCTION("""COMPUTED_VALUE"""),"uc_Stream6Device")</f>
        <v>uc_Stream6Device</v>
      </c>
      <c r="AM15" s="2" t="str">
        <f>IFERROR(__xludf.DUMMYFUNCTION("""COMPUTED_VALUE"""),"uc_Stream6PSI")</f>
        <v>uc_Stream6PSI</v>
      </c>
      <c r="AN15" s="2" t="str">
        <f>IFERROR(__xludf.DUMMYFUNCTION("""COMPUTED_VALUE"""),"uc_Stream6GPM")</f>
        <v>uc_Stream6GPM</v>
      </c>
      <c r="AO15" s="2" t="str">
        <f>IFERROR(__xludf.DUMMYFUNCTION("""COMPUTED_VALUE"""),"uc_Stream7Data")</f>
        <v>uc_Stream7Data</v>
      </c>
      <c r="AP15" s="2" t="str">
        <f>IFERROR(__xludf.DUMMYFUNCTION("""COMPUTED_VALUE"""),"uc_Stream7Device")</f>
        <v>uc_Stream7Device</v>
      </c>
      <c r="AQ15" s="2" t="str">
        <f>IFERROR(__xludf.DUMMYFUNCTION("""COMPUTED_VALUE"""),"uc_Stream7PSI")</f>
        <v>uc_Stream7PSI</v>
      </c>
      <c r="AR15" s="2" t="str">
        <f>IFERROR(__xludf.DUMMYFUNCTION("""COMPUTED_VALUE"""),"uc_Stream7GPM")</f>
        <v>uc_Stream7GPM</v>
      </c>
      <c r="AS15" s="2" t="str">
        <f>IFERROR(__xludf.DUMMYFUNCTION("""COMPUTED_VALUE"""),"uc_Stream8Data")</f>
        <v>uc_Stream8Data</v>
      </c>
      <c r="AT15" s="2" t="str">
        <f>IFERROR(__xludf.DUMMYFUNCTION("""COMPUTED_VALUE"""),"uc_Stream8Device")</f>
        <v>uc_Stream8Device</v>
      </c>
      <c r="AU15" s="2" t="str">
        <f>IFERROR(__xludf.DUMMYFUNCTION("""COMPUTED_VALUE"""),"uc_Stream8PSI")</f>
        <v>uc_Stream8PSI</v>
      </c>
      <c r="AV15" s="2" t="str">
        <f>IFERROR(__xludf.DUMMYFUNCTION("""COMPUTED_VALUE"""),"uc_Stream8GPM")</f>
        <v>uc_Stream8GPM</v>
      </c>
      <c r="AW15" s="2" t="str">
        <f>IFERROR(__xludf.DUMMYFUNCTION("""COMPUTED_VALUE"""),"uc_Stream9Data")</f>
        <v>uc_Stream9Data</v>
      </c>
      <c r="AX15" s="2" t="str">
        <f>IFERROR(__xludf.DUMMYFUNCTION("""COMPUTED_VALUE"""),"uc_Stream9Device")</f>
        <v>uc_Stream9Device</v>
      </c>
      <c r="AY15" s="2" t="str">
        <f>IFERROR(__xludf.DUMMYFUNCTION("""COMPUTED_VALUE"""),"uc_Stream9PSI")</f>
        <v>uc_Stream9PSI</v>
      </c>
      <c r="AZ15" s="2" t="str">
        <f>IFERROR(__xludf.DUMMYFUNCTION("""COMPUTED_VALUE"""),"uc_Stream9GPM")</f>
        <v>uc_Stream9GPM</v>
      </c>
      <c r="BA15" s="2" t="str">
        <f>IFERROR(__xludf.DUMMYFUNCTION("""COMPUTED_VALUE"""),"uc_Stream10Data")</f>
        <v>uc_Stream10Data</v>
      </c>
      <c r="BB15" s="2" t="str">
        <f>IFERROR(__xludf.DUMMYFUNCTION("""COMPUTED_VALUE"""),"uc_Stream10Device")</f>
        <v>uc_Stream10Device</v>
      </c>
      <c r="BC15" s="2" t="str">
        <f>IFERROR(__xludf.DUMMYFUNCTION("""COMPUTED_VALUE"""),"uc_Stream10PSI")</f>
        <v>uc_Stream10PSI</v>
      </c>
      <c r="BD15" s="2" t="str">
        <f>IFERROR(__xludf.DUMMYFUNCTION("""COMPUTED_VALUE"""),"uc_Stream10GPM")</f>
        <v>uc_Stream10GPM</v>
      </c>
      <c r="BE15" s="2" t="str">
        <f>IFERROR(__xludf.DUMMYFUNCTION("""COMPUTED_VALUE"""),"uc_Stream1Data")</f>
        <v>uc_Stream1Data</v>
      </c>
      <c r="BF15" s="2" t="str">
        <f>IFERROR(__xludf.DUMMYFUNCTION("""COMPUTED_VALUE"""),"uc_Pressures")</f>
        <v>uc_Pressures</v>
      </c>
      <c r="BG15" s="2" t="str">
        <f>IFERROR(__xludf.DUMMYFUNCTION("""COMPUTED_VALUE"""),"uc_Streams")</f>
        <v>uc_Streams</v>
      </c>
      <c r="BH15" s="2" t="str">
        <f>IFERROR(__xludf.DUMMYFUNCTION("""COMPUTED_VALUE"""),"uc_Howmanystreams")</f>
        <v>uc_Howmanystreams</v>
      </c>
      <c r="BI15" s="2" t="str">
        <f>IFERROR(__xludf.DUMMYFUNCTION("""COMPUTED_VALUE"""),"uc_TotalFlow")</f>
        <v>uc_TotalFlow</v>
      </c>
      <c r="BJ15" s="2" t="str">
        <f>IFERROR(__xludf.DUMMYFUNCTION("""COMPUTED_VALUE"""),"uc_FlowGPM")</f>
        <v>uc_FlowGPM</v>
      </c>
      <c r="BK15" s="2" t="str">
        <f>IFERROR(__xludf.DUMMYFUNCTION("""COMPUTED_VALUE"""),"uc_PercentRatedCapacity")</f>
        <v>uc_PercentRatedCapacity</v>
      </c>
      <c r="BL15" s="2" t="str">
        <f>IFERROR(__xludf.DUMMYFUNCTION("""COMPUTED_VALUE"""),"uc_VoltsLeg1")</f>
        <v>uc_VoltsLeg1</v>
      </c>
      <c r="BM15" s="2" t="str">
        <f>IFERROR(__xludf.DUMMYFUNCTION("""COMPUTED_VALUE"""),"uc_AmpsLeg1")</f>
        <v>uc_AmpsLeg1</v>
      </c>
      <c r="BN15" s="2" t="str">
        <f>IFERROR(__xludf.DUMMYFUNCTION("""COMPUTED_VALUE"""),"uc_Corrected")</f>
        <v>uc_Corrected</v>
      </c>
      <c r="BO15" s="2" t="str">
        <f>IFERROR(__xludf.DUMMYFUNCTION("""COMPUTED_VALUE"""),"uc_CorrectedFlowPercent")</f>
        <v>uc_CorrectedFlowPercent</v>
      </c>
      <c r="BP15" s="2" t="str">
        <f>IFERROR(__xludf.DUMMYFUNCTION("""COMPUTED_VALUE"""),"uc_CorrectedPressure")</f>
        <v>uc_CorrectedPressure</v>
      </c>
      <c r="BQ15" s="2" t="str">
        <f>IFERROR(__xludf.DUMMYFUNCTION("""COMPUTED_VALUE"""),"uc_VoltsLeg2")</f>
        <v>uc_VoltsLeg2</v>
      </c>
      <c r="BR15" s="2" t="str">
        <f>IFERROR(__xludf.DUMMYFUNCTION("""COMPUTED_VALUE"""),"uc_VoltsLeg3")</f>
        <v>uc_VoltsLeg3</v>
      </c>
      <c r="BS15" s="2" t="str">
        <f>IFERROR(__xludf.DUMMYFUNCTION("""COMPUTED_VALUE"""),"uc_AmpsLeg2")</f>
        <v>uc_AmpsLeg2</v>
      </c>
      <c r="BT15" s="2" t="str">
        <f>IFERROR(__xludf.DUMMYFUNCTION("""COMPUTED_VALUE"""),"uc_AmpsLeg3")</f>
        <v>uc_AmpsLeg3</v>
      </c>
      <c r="BU15" s="2" t="str">
        <f>IFERROR(__xludf.DUMMYFUNCTION("""COMPUTED_VALUE"""),"uc_Checkthisboxifthisisthefinalstep")</f>
        <v>uc_Checkthisboxifthisisthefinalstep</v>
      </c>
      <c r="BV15" s="2" t="str">
        <f>IFERROR(__xludf.DUMMYFUNCTION("""COMPUTED_VALUE"""),"uc_FlowDevicePartNumber")</f>
        <v>uc_FlowDevicePartNumber</v>
      </c>
      <c r="BW15" s="2" t="str">
        <f>IFERROR(__xludf.DUMMYFUNCTION("""COMPUTED_VALUE"""),"uc_Stream1PN")</f>
        <v>uc_Stream1PN</v>
      </c>
      <c r="BX15" s="2" t="str">
        <f>IFERROR(__xludf.DUMMYFUNCTION("""COMPUTED_VALUE"""),"uc_Stream2PN")</f>
        <v>uc_Stream2PN</v>
      </c>
      <c r="BY15" s="2" t="str">
        <f>IFERROR(__xludf.DUMMYFUNCTION("""COMPUTED_VALUE"""),"uc_Stream3PN")</f>
        <v>uc_Stream3PN</v>
      </c>
      <c r="BZ15" s="2" t="str">
        <f>IFERROR(__xludf.DUMMYFUNCTION("""COMPUTED_VALUE"""),"uc_Stream4PN")</f>
        <v>uc_Stream4PN</v>
      </c>
      <c r="CA15" s="2" t="str">
        <f>IFERROR(__xludf.DUMMYFUNCTION("""COMPUTED_VALUE"""),"uc_Stream5PN")</f>
        <v>uc_Stream5PN</v>
      </c>
      <c r="CB15" s="2" t="str">
        <f>IFERROR(__xludf.DUMMYFUNCTION("""COMPUTED_VALUE"""),"uc_Stream6PN")</f>
        <v>uc_Stream6PN</v>
      </c>
      <c r="CC15" s="2" t="str">
        <f>IFERROR(__xludf.DUMMYFUNCTION("""COMPUTED_VALUE"""),"uc_Stream7PN")</f>
        <v>uc_Stream7PN</v>
      </c>
      <c r="CD15" s="2" t="str">
        <f>IFERROR(__xludf.DUMMYFUNCTION("""COMPUTED_VALUE"""),"uc_Stream8PN")</f>
        <v>uc_Stream8PN</v>
      </c>
      <c r="CE15" s="2" t="str">
        <f>IFERROR(__xludf.DUMMYFUNCTION("""COMPUTED_VALUE"""),"uc_Stream9PN")</f>
        <v>uc_Stream9PN</v>
      </c>
      <c r="CF15" s="2" t="str">
        <f>IFERROR(__xludf.DUMMYFUNCTION("""COMPUTED_VALUE"""),"uc_Stream10PN")</f>
        <v>uc_Stream10PN</v>
      </c>
      <c r="CG15" s="2" t="str">
        <f>IFERROR(__xludf.DUMMYFUNCTION("""COMPUTED_VALUE"""),"uc_Stream1DefaultDevice")</f>
        <v>uc_Stream1DefaultDevice</v>
      </c>
      <c r="CH15" s="2" t="str">
        <f>IFERROR(__xludf.DUMMYFUNCTION("""COMPUTED_VALUE"""),"uc_PreviousStepNumber")</f>
        <v>uc_PreviousStepNumber</v>
      </c>
      <c r="CI15" s="2" t="str">
        <f>IFERROR(__xludf.DUMMYFUNCTION("""COMPUTED_VALUE"""),"uc_Stream1KFactor")</f>
        <v>uc_Stream1KFactor</v>
      </c>
      <c r="CJ15" s="2" t="str">
        <f>IFERROR(__xludf.DUMMYFUNCTION("""COMPUTED_VALUE"""),"uc_Stream2KFactor")</f>
        <v>uc_Stream2KFactor</v>
      </c>
      <c r="CK15" s="2" t="str">
        <f>IFERROR(__xludf.DUMMYFUNCTION("""COMPUTED_VALUE"""),"uc_Stream3KFactor")</f>
        <v>uc_Stream3KFactor</v>
      </c>
      <c r="CL15" s="2" t="str">
        <f>IFERROR(__xludf.DUMMYFUNCTION("""COMPUTED_VALUE"""),"uc_Stream4KFactor")</f>
        <v>uc_Stream4KFactor</v>
      </c>
      <c r="CM15" s="2" t="str">
        <f>IFERROR(__xludf.DUMMYFUNCTION("""COMPUTED_VALUE"""),"uc_Stream5KFactor")</f>
        <v>uc_Stream5KFactor</v>
      </c>
      <c r="CN15" s="2" t="str">
        <f>IFERROR(__xludf.DUMMYFUNCTION("""COMPUTED_VALUE"""),"uc_Stream6KFactor")</f>
        <v>uc_Stream6KFactor</v>
      </c>
      <c r="CO15" s="2" t="str">
        <f>IFERROR(__xludf.DUMMYFUNCTION("""COMPUTED_VALUE"""),"uc_Stream7KFactor")</f>
        <v>uc_Stream7KFactor</v>
      </c>
      <c r="CP15" s="2" t="str">
        <f>IFERROR(__xludf.DUMMYFUNCTION("""COMPUTED_VALUE"""),"uc_Stream8KFactor")</f>
        <v>uc_Stream8KFactor</v>
      </c>
      <c r="CQ15" s="2" t="str">
        <f>IFERROR(__xludf.DUMMYFUNCTION("""COMPUTED_VALUE"""),"uc_Stream9KFactor")</f>
        <v>uc_Stream9KFactor</v>
      </c>
      <c r="CR15" s="2" t="str">
        <f>IFERROR(__xludf.DUMMYFUNCTION("""COMPUTED_VALUE"""),"uc_Stream10KFactor")</f>
        <v>uc_Stream10KFactor</v>
      </c>
      <c r="CS15" s="2" t="str">
        <f>IFERROR(__xludf.DUMMYFUNCTION("""COMPUTED_VALUE"""),"uc_Stream1BBHMKFactor")</f>
        <v>uc_Stream1BBHMKFactor</v>
      </c>
      <c r="CT15" s="2" t="str">
        <f>IFERROR(__xludf.DUMMYFUNCTION("""COMPUTED_VALUE"""),"uc_Stream1CalcKFactor")</f>
        <v>uc_Stream1CalcKFactor</v>
      </c>
      <c r="CU15" s="2" t="str">
        <f>IFERROR(__xludf.DUMMYFUNCTION("""COMPUTED_VALUE"""),"uc_AssetRatedSpeedRPM")</f>
        <v>uc_AssetRatedSpeedRPM</v>
      </c>
      <c r="CV15" s="2" t="str">
        <f>IFERROR(__xludf.DUMMYFUNCTION("""COMPUTED_VALUE"""),"uc_AssetHead0PSI")</f>
        <v>uc_AssetHead0PSI</v>
      </c>
      <c r="CW15" s="2" t="str">
        <f>IFERROR(__xludf.DUMMYFUNCTION("""COMPUTED_VALUE"""),"uc_AssetHead100PSI")</f>
        <v>uc_AssetHead100PSI</v>
      </c>
      <c r="CX15" s="2" t="str">
        <f>IFERROR(__xludf.DUMMYFUNCTION("""COMPUTED_VALUE"""),"uc_AssetHead150PSI")</f>
        <v>uc_AssetHead150PSI</v>
      </c>
      <c r="CY15" s="2" t="str">
        <f>IFERROR(__xludf.DUMMYFUNCTION("""COMPUTED_VALUE"""),"uc_TotalStepsTestedFlowGPM")</f>
        <v>uc_TotalStepsTestedFlowGPM</v>
      </c>
      <c r="CZ15" s="2" t="str">
        <f>IFERROR(__xludf.DUMMYFUNCTION("""COMPUTED_VALUE"""),"uc_5DegradationHeadPSI0")</f>
        <v>uc_5DegradationHeadPSI0</v>
      </c>
      <c r="DA15" s="2" t="str">
        <f>IFERROR(__xludf.DUMMYFUNCTION("""COMPUTED_VALUE"""),"uc_5DegradationHeadPSI100")</f>
        <v>uc_5DegradationHeadPSI100</v>
      </c>
      <c r="DB15" s="2" t="str">
        <f>IFERROR(__xludf.DUMMYFUNCTION("""COMPUTED_VALUE"""),"uc_5DegradationHeadPSI150")</f>
        <v>uc_5DegradationHeadPSI150</v>
      </c>
      <c r="DC15" s="2" t="str">
        <f>IFERROR(__xludf.DUMMYFUNCTION("""COMPUTED_VALUE"""),"uc_Stream2DefaultDevice")</f>
        <v>uc_Stream2DefaultDevice</v>
      </c>
      <c r="DD15" s="2" t="str">
        <f>IFERROR(__xludf.DUMMYFUNCTION("""COMPUTED_VALUE"""),"uc_Stream2BBHMKFactor")</f>
        <v>uc_Stream2BBHMKFactor</v>
      </c>
      <c r="DE15" s="2" t="str">
        <f>IFERROR(__xludf.DUMMYFUNCTION("""COMPUTED_VALUE"""),"uc_Stream2CalcKFactor")</f>
        <v>uc_Stream2CalcKFactor</v>
      </c>
      <c r="DF15" s="2" t="str">
        <f>IFERROR(__xludf.DUMMYFUNCTION("""COMPUTED_VALUE"""),"uc_Stream3DefaultDevice")</f>
        <v>uc_Stream3DefaultDevice</v>
      </c>
      <c r="DG15" s="2" t="str">
        <f>IFERROR(__xludf.DUMMYFUNCTION("""COMPUTED_VALUE"""),"uc_Stream3BBHMKFactor")</f>
        <v>uc_Stream3BBHMKFactor</v>
      </c>
      <c r="DH15" s="2" t="str">
        <f>IFERROR(__xludf.DUMMYFUNCTION("""COMPUTED_VALUE"""),"uc_Stream3CalcKFactor")</f>
        <v>uc_Stream3CalcKFactor</v>
      </c>
      <c r="DI15" s="2" t="str">
        <f>IFERROR(__xludf.DUMMYFUNCTION("""COMPUTED_VALUE"""),"uc_Stream4DefaultDevice")</f>
        <v>uc_Stream4DefaultDevice</v>
      </c>
      <c r="DJ15" s="2" t="str">
        <f>IFERROR(__xludf.DUMMYFUNCTION("""COMPUTED_VALUE"""),"uc_Stream4BBHMKFactor")</f>
        <v>uc_Stream4BBHMKFactor</v>
      </c>
      <c r="DK15" s="2" t="str">
        <f>IFERROR(__xludf.DUMMYFUNCTION("""COMPUTED_VALUE"""),"uc_Stream4CalcKFactor")</f>
        <v>uc_Stream4CalcKFactor</v>
      </c>
      <c r="DL15" s="2" t="str">
        <f>IFERROR(__xludf.DUMMYFUNCTION("""COMPUTED_VALUE"""),"uc_Stream5DefaultDevice")</f>
        <v>uc_Stream5DefaultDevice</v>
      </c>
      <c r="DM15" s="2" t="str">
        <f>IFERROR(__xludf.DUMMYFUNCTION("""COMPUTED_VALUE"""),"uc_Stream5BBHMKFactor")</f>
        <v>uc_Stream5BBHMKFactor</v>
      </c>
      <c r="DN15" s="2" t="str">
        <f>IFERROR(__xludf.DUMMYFUNCTION("""COMPUTED_VALUE"""),"uc_Stream5CalcKFactor")</f>
        <v>uc_Stream5CalcKFactor</v>
      </c>
      <c r="DO15" s="2" t="str">
        <f>IFERROR(__xludf.DUMMYFUNCTION("""COMPUTED_VALUE"""),"uc_Stream6DefaultDevice")</f>
        <v>uc_Stream6DefaultDevice</v>
      </c>
      <c r="DP15" s="2" t="str">
        <f>IFERROR(__xludf.DUMMYFUNCTION("""COMPUTED_VALUE"""),"uc_Stream6BBHMKFactor")</f>
        <v>uc_Stream6BBHMKFactor</v>
      </c>
      <c r="DQ15" s="2" t="str">
        <f>IFERROR(__xludf.DUMMYFUNCTION("""COMPUTED_VALUE"""),"uc_Stream6CalcKFactor")</f>
        <v>uc_Stream6CalcKFactor</v>
      </c>
      <c r="DR15" s="2" t="str">
        <f>IFERROR(__xludf.DUMMYFUNCTION("""COMPUTED_VALUE"""),"uc_Stream7DefaultDevice")</f>
        <v>uc_Stream7DefaultDevice</v>
      </c>
      <c r="DS15" s="2" t="str">
        <f>IFERROR(__xludf.DUMMYFUNCTION("""COMPUTED_VALUE"""),"uc_Stream7BBHMKFactor")</f>
        <v>uc_Stream7BBHMKFactor</v>
      </c>
      <c r="DT15" s="2" t="str">
        <f>IFERROR(__xludf.DUMMYFUNCTION("""COMPUTED_VALUE"""),"uc_Stream7CalcKFactor")</f>
        <v>uc_Stream7CalcKFactor</v>
      </c>
      <c r="DU15" s="2" t="str">
        <f>IFERROR(__xludf.DUMMYFUNCTION("""COMPUTED_VALUE"""),"uc_Stream8DefaultDevice")</f>
        <v>uc_Stream8DefaultDevice</v>
      </c>
      <c r="DV15" s="2" t="str">
        <f>IFERROR(__xludf.DUMMYFUNCTION("""COMPUTED_VALUE"""),"uc_Stream8BBHMKFactor")</f>
        <v>uc_Stream8BBHMKFactor</v>
      </c>
      <c r="DW15" s="2" t="str">
        <f>IFERROR(__xludf.DUMMYFUNCTION("""COMPUTED_VALUE"""),"uc_Stream8CalcKFactor")</f>
        <v>uc_Stream8CalcKFactor</v>
      </c>
      <c r="DX15" s="2" t="str">
        <f>IFERROR(__xludf.DUMMYFUNCTION("""COMPUTED_VALUE"""),"uc_Stream9DefaultDevice")</f>
        <v>uc_Stream9DefaultDevice</v>
      </c>
      <c r="DY15" s="2" t="str">
        <f>IFERROR(__xludf.DUMMYFUNCTION("""COMPUTED_VALUE"""),"uc_Stream9BBHMKFactor")</f>
        <v>uc_Stream9BBHMKFactor</v>
      </c>
      <c r="DZ15" s="2" t="str">
        <f>IFERROR(__xludf.DUMMYFUNCTION("""COMPUTED_VALUE"""),"uc_Stream9CalcKFactor")</f>
        <v>uc_Stream9CalcKFactor</v>
      </c>
      <c r="EA15" s="2" t="str">
        <f>IFERROR(__xludf.DUMMYFUNCTION("""COMPUTED_VALUE"""),"uc_Stream10DefaultDevice")</f>
        <v>uc_Stream10DefaultDevice</v>
      </c>
      <c r="EB15" s="2" t="str">
        <f>IFERROR(__xludf.DUMMYFUNCTION("""COMPUTED_VALUE"""),"uc_Stream10BBHMKFactor")</f>
        <v>uc_Stream10BBHMKFactor</v>
      </c>
      <c r="EC15" s="2" t="str">
        <f>IFERROR(__xludf.DUMMYFUNCTION("""COMPUTED_VALUE"""),"uc_Stream10CalcKFactor")</f>
        <v>uc_Stream10CalcKFactor</v>
      </c>
      <c r="ED15" s="2" t="str">
        <f>IFERROR(__xludf.DUMMYFUNCTION("""COMPUTED_VALUE"""),"uc_Stream1FlowDeviceCategory")</f>
        <v>uc_Stream1FlowDeviceCategory</v>
      </c>
      <c r="EE15" s="2" t="str">
        <f>IFERROR(__xludf.DUMMYFUNCTION("""COMPUTED_VALUE"""),"uc_Stream2FlowDeviceCategory")</f>
        <v>uc_Stream2FlowDeviceCategory</v>
      </c>
      <c r="EF15" s="2" t="str">
        <f>IFERROR(__xludf.DUMMYFUNCTION("""COMPUTED_VALUE"""),"uc_Stream3DeviceCategory")</f>
        <v>uc_Stream3DeviceCategory</v>
      </c>
      <c r="EG15" s="2" t="str">
        <f>IFERROR(__xludf.DUMMYFUNCTION("""COMPUTED_VALUE"""),"uc_Stream4DeviceCategory")</f>
        <v>uc_Stream4DeviceCategory</v>
      </c>
      <c r="EH15" s="2" t="str">
        <f>IFERROR(__xludf.DUMMYFUNCTION("""COMPUTED_VALUE"""),"uc_Stream5DeviceCategory")</f>
        <v>uc_Stream5DeviceCategory</v>
      </c>
      <c r="EI15" s="2" t="str">
        <f>IFERROR(__xludf.DUMMYFUNCTION("""COMPUTED_VALUE"""),"uc_Stream6DeviceCategory")</f>
        <v>uc_Stream6DeviceCategory</v>
      </c>
      <c r="EJ15" s="2" t="str">
        <f>IFERROR(__xludf.DUMMYFUNCTION("""COMPUTED_VALUE"""),"uc_Stream7DeviceCategoryOLD")</f>
        <v>uc_Stream7DeviceCategoryOLD</v>
      </c>
      <c r="EK15" s="2" t="str">
        <f>IFERROR(__xludf.DUMMYFUNCTION("""COMPUTED_VALUE"""),"uc_Stream7DeviceCategory")</f>
        <v>uc_Stream7DeviceCategory</v>
      </c>
      <c r="EL15" s="2" t="str">
        <f>IFERROR(__xludf.DUMMYFUNCTION("""COMPUTED_VALUE"""),"uc_Stream8DeviceCategory")</f>
        <v>uc_Stream8DeviceCategory</v>
      </c>
      <c r="EM15" s="2" t="str">
        <f>IFERROR(__xludf.DUMMYFUNCTION("""COMPUTED_VALUE"""),"uc_Stream9DeviceCategory")</f>
        <v>uc_Stream9DeviceCategory</v>
      </c>
      <c r="EN15" s="2" t="str">
        <f>IFERROR(__xludf.DUMMYFUNCTION("""COMPUTED_VALUE"""),"uc_Stream10DeviceCategory")</f>
        <v>uc_Stream10DeviceCategory</v>
      </c>
      <c r="EO15" s="2" t="str">
        <f>IFERROR(__xludf.DUMMYFUNCTION("""COMPUTED_VALUE"""),"uc_Stream1PNExp")</f>
        <v>uc_Stream1PNExp</v>
      </c>
      <c r="EP15" s="2" t="str">
        <f>IFERROR(__xludf.DUMMYFUNCTION("""COMPUTED_VALUE"""),"uc_Stream2PNExp")</f>
        <v>uc_Stream2PNExp</v>
      </c>
      <c r="EQ15" s="2" t="str">
        <f>IFERROR(__xludf.DUMMYFUNCTION("""COMPUTED_VALUE"""),"uc_Stream3PNExp")</f>
        <v>uc_Stream3PNExp</v>
      </c>
      <c r="ER15" s="2" t="str">
        <f>IFERROR(__xludf.DUMMYFUNCTION("""COMPUTED_VALUE"""),"uc_Stream4PNExp")</f>
        <v>uc_Stream4PNExp</v>
      </c>
      <c r="ES15" s="2" t="str">
        <f>IFERROR(__xludf.DUMMYFUNCTION("""COMPUTED_VALUE"""),"uc_Stream5PNExp")</f>
        <v>uc_Stream5PNExp</v>
      </c>
      <c r="ET15" s="2" t="str">
        <f>IFERROR(__xludf.DUMMYFUNCTION("""COMPUTED_VALUE"""),"uc_Stream6PNExp")</f>
        <v>uc_Stream6PNExp</v>
      </c>
      <c r="EU15" s="2" t="str">
        <f>IFERROR(__xludf.DUMMYFUNCTION("""COMPUTED_VALUE"""),"uc_Stream7PNExp")</f>
        <v>uc_Stream7PNExp</v>
      </c>
      <c r="EV15" s="2" t="str">
        <f>IFERROR(__xludf.DUMMYFUNCTION("""COMPUTED_VALUE"""),"uc_Stream8PNExp")</f>
        <v>uc_Stream8PNExp</v>
      </c>
      <c r="EW15" s="2" t="str">
        <f>IFERROR(__xludf.DUMMYFUNCTION("""COMPUTED_VALUE"""),"uc_Stream9PNExp")</f>
        <v>uc_Stream9PNExp</v>
      </c>
      <c r="EX15" s="2" t="str">
        <f>IFERROR(__xludf.DUMMYFUNCTION("""COMPUTED_VALUE"""),"uc_Stream10PNExp")</f>
        <v>uc_Stream10PNExp</v>
      </c>
      <c r="EY15" s="2" t="str">
        <f>IFERROR(__xludf.DUMMYFUNCTION("""COMPUTED_VALUE"""),"uc_AssetDescription")</f>
        <v>uc_AssetDescription</v>
      </c>
      <c r="EZ15" s="2" t="str">
        <f>IFERROR(__xludf.DUMMYFUNCTION("""COMPUTED_VALUE"""),"uc_AssetTag")</f>
        <v>uc_AssetTag</v>
      </c>
      <c r="FA15" s="2" t="str">
        <f>IFERROR(__xludf.DUMMYFUNCTION("""COMPUTED_VALUE"""),"uc_AssetBy")</f>
        <v>uc_AssetBy</v>
      </c>
      <c r="FB15" s="2" t="str">
        <f>IFERROR(__xludf.DUMMYFUNCTION("""COMPUTED_VALUE"""),"uc_ClientID")</f>
        <v>uc_ClientID</v>
      </c>
      <c r="FC15" s="2" t="str">
        <f>IFERROR(__xludf.DUMMYFUNCTION("""COMPUTED_VALUE"""),"uc_ClientName")</f>
        <v>uc_ClientName</v>
      </c>
      <c r="FD15" s="2" t="str">
        <f>IFERROR(__xludf.DUMMYFUNCTION("""COMPUTED_VALUE"""),"uc_AssetLink")</f>
        <v>uc_AssetLink</v>
      </c>
      <c r="FE15" s="2" t="str">
        <f>IFERROR(__xludf.DUMMYFUNCTION("""COMPUTED_VALUE"""),"uc_InstallDate")</f>
        <v>uc_InstallDate</v>
      </c>
      <c r="FF15" s="2" t="str">
        <f>IFERROR(__xludf.DUMMYFUNCTION("""COMPUTED_VALUE"""),"uc_Lat")</f>
        <v>uc_Lat</v>
      </c>
      <c r="FG15" s="2" t="str">
        <f>IFERROR(__xludf.DUMMYFUNCTION("""COMPUTED_VALUE"""),"uc_Lon")</f>
        <v>uc_Lon</v>
      </c>
      <c r="FH15" s="2" t="str">
        <f>IFERROR(__xludf.DUMMYFUNCTION("""COMPUTED_VALUE"""),"uc_SCADATagPattern")</f>
        <v>uc_SCADATagPattern</v>
      </c>
      <c r="FI15" s="2" t="str">
        <f>IFERROR(__xludf.DUMMYFUNCTION("""COMPUTED_VALUE"""),"uc_AssetID")</f>
        <v>uc_AssetID</v>
      </c>
      <c r="FJ15" s="2" t="str">
        <f>IFERROR(__xludf.DUMMYFUNCTION("""COMPUTED_VALUE"""),"uc_BuildingCity")</f>
        <v>uc_BuildingCity</v>
      </c>
      <c r="FK15" s="2" t="str">
        <f>IFERROR(__xludf.DUMMYFUNCTION("""COMPUTED_VALUE"""),"uc_BuildingName")</f>
        <v>uc_BuildingName</v>
      </c>
      <c r="FL15" s="2" t="str">
        <f>IFERROR(__xludf.DUMMYFUNCTION("""COMPUTED_VALUE"""),"uc_BuildingOwner")</f>
        <v>uc_BuildingOwner</v>
      </c>
      <c r="FM15" s="2" t="str">
        <f>IFERROR(__xludf.DUMMYFUNCTION("""COMPUTED_VALUE"""),"uc_BuildingState")</f>
        <v>uc_BuildingState</v>
      </c>
      <c r="FN15" s="2" t="str">
        <f>IFERROR(__xludf.DUMMYFUNCTION("""COMPUTED_VALUE"""),"uc_BuildingStreetAddress")</f>
        <v>uc_BuildingStreetAddress</v>
      </c>
      <c r="FO15" s="2" t="str">
        <f>IFERROR(__xludf.DUMMYFUNCTION("""COMPUTED_VALUE"""),"uc_BuildingZipCode")</f>
        <v>uc_BuildingZipCode</v>
      </c>
      <c r="FP15" s="2" t="str">
        <f>IFERROR(__xludf.DUMMYFUNCTION("""COMPUTED_VALUE"""),"uc_City")</f>
        <v>uc_City</v>
      </c>
      <c r="FQ15" s="2" t="str">
        <f>IFERROR(__xludf.DUMMYFUNCTION("""COMPUTED_VALUE"""),"uc_Country")</f>
        <v>uc_Country</v>
      </c>
      <c r="FR15" s="2" t="str">
        <f>IFERROR(__xludf.DUMMYFUNCTION("""COMPUTED_VALUE"""),"uc_CustomerCompanyName")</f>
        <v>uc_CustomerCompanyName</v>
      </c>
      <c r="FS15" s="2" t="str">
        <f>IFERROR(__xludf.DUMMYFUNCTION("""COMPUTED_VALUE"""),"uc_CustomerInformation")</f>
        <v>uc_CustomerInformation</v>
      </c>
      <c r="FT15" s="2" t="str">
        <f>IFERROR(__xludf.DUMMYFUNCTION("""COMPUTED_VALUE"""),"uc_CustomerName")</f>
        <v>uc_CustomerName</v>
      </c>
      <c r="FU15" s="2" t="str">
        <f>IFERROR(__xludf.DUMMYFUNCTION("""COMPUTED_VALUE"""),"uc_DateofLastPumpTest")</f>
        <v>uc_DateofLastPumpTest</v>
      </c>
      <c r="FV15" s="2" t="str">
        <f>IFERROR(__xludf.DUMMYFUNCTION("""COMPUTED_VALUE"""),"uc_DateoflastpumptestX")</f>
        <v>uc_DateoflastpumptestX</v>
      </c>
      <c r="FW15" s="2" t="str">
        <f>IFERROR(__xludf.DUMMYFUNCTION("""COMPUTED_VALUE"""),"uc_DriverCycles")</f>
        <v>uc_DriverCycles</v>
      </c>
      <c r="FX15" s="2" t="str">
        <f>IFERROR(__xludf.DUMMYFUNCTION("""COMPUTED_VALUE"""),"uc_DriverFrameSize")</f>
        <v>uc_DriverFrameSize</v>
      </c>
      <c r="FY15" s="2" t="str">
        <f>IFERROR(__xludf.DUMMYFUNCTION("""COMPUTED_VALUE"""),"uc_DriverListed")</f>
        <v>uc_DriverListed</v>
      </c>
      <c r="FZ15" s="2" t="str">
        <f>IFERROR(__xludf.DUMMYFUNCTION("""COMPUTED_VALUE"""),"uc_DriverManufacturer")</f>
        <v>uc_DriverManufacturer</v>
      </c>
      <c r="GA15" s="2" t="str">
        <f>IFERROR(__xludf.DUMMYFUNCTION("""COMPUTED_VALUE"""),"uc_DriverModel")</f>
        <v>uc_DriverModel</v>
      </c>
      <c r="GB15" s="2" t="str">
        <f>IFERROR(__xludf.DUMMYFUNCTION("""COMPUTED_VALUE"""),"uc_DriverMotorEnclosureType")</f>
        <v>uc_DriverMotorEnclosureType</v>
      </c>
      <c r="GC15" s="2" t="str">
        <f>IFERROR(__xludf.DUMMYFUNCTION("""COMPUTED_VALUE"""),"uc_DriverPhases")</f>
        <v>uc_DriverPhases</v>
      </c>
      <c r="GD15" s="2" t="str">
        <f>IFERROR(__xludf.DUMMYFUNCTION("""COMPUTED_VALUE"""),"uc_DriverRatedFullLoadAmps")</f>
        <v>uc_DriverRatedFullLoadAmps</v>
      </c>
      <c r="GE15" s="2" t="str">
        <f>IFERROR(__xludf.DUMMYFUNCTION("""COMPUTED_VALUE"""),"uc_DriverRatedHP")</f>
        <v>uc_DriverRatedHP</v>
      </c>
      <c r="GF15" s="2" t="str">
        <f>IFERROR(__xludf.DUMMYFUNCTION("""COMPUTED_VALUE"""),"uc_DriverRatedSpeed")</f>
        <v>uc_DriverRatedSpeed</v>
      </c>
      <c r="GG15" s="2" t="str">
        <f>IFERROR(__xludf.DUMMYFUNCTION("""COMPUTED_VALUE"""),"uc_DriverRatedVoltage")</f>
        <v>uc_DriverRatedVoltage</v>
      </c>
      <c r="GH15" s="2" t="str">
        <f>IFERROR(__xludf.DUMMYFUNCTION("""COMPUTED_VALUE"""),"uc_DriverSerialNumber")</f>
        <v>uc_DriverSerialNumber</v>
      </c>
      <c r="GI15" s="2" t="str">
        <f>IFERROR(__xludf.DUMMYFUNCTION("""COMPUTED_VALUE"""),"uc_DriverServiceFactor")</f>
        <v>uc_DriverServiceFactor</v>
      </c>
      <c r="GJ15" s="2" t="str">
        <f>IFERROR(__xludf.DUMMYFUNCTION("""COMPUTED_VALUE"""),"uc_DriverType")</f>
        <v>uc_DriverType</v>
      </c>
      <c r="GK15" s="2" t="str">
        <f>IFERROR(__xludf.DUMMYFUNCTION("""COMPUTED_VALUE"""),"uc_ELECTRICALDRIVER")</f>
        <v>uc_ELECTRICALDRIVER</v>
      </c>
      <c r="GL15" s="2" t="str">
        <f>IFERROR(__xludf.DUMMYFUNCTION("""COMPUTED_VALUE"""),"uc_Email")</f>
        <v>uc_Email</v>
      </c>
      <c r="GM15" s="2" t="str">
        <f>IFERROR(__xludf.DUMMYFUNCTION("""COMPUTED_VALUE"""),"uc_FaxNumber")</f>
        <v>uc_FaxNumber</v>
      </c>
      <c r="GN15" s="2" t="str">
        <f>IFERROR(__xludf.DUMMYFUNCTION("""COMPUTED_VALUE"""),"uc_FIREPUMP")</f>
        <v>uc_FIREPUMP</v>
      </c>
      <c r="GO15" s="2" t="str">
        <f>IFERROR(__xludf.DUMMYFUNCTION("""COMPUTED_VALUE"""),"uc_FIREPUMPCONTROLLER")</f>
        <v>uc_FIREPUMPCONTROLLER</v>
      </c>
      <c r="GP15" s="2" t="str">
        <f>IFERROR(__xludf.DUMMYFUNCTION("""COMPUTED_VALUE"""),"uc_FIREPUMPDRIVER")</f>
        <v>uc_FIREPUMPDRIVER</v>
      </c>
      <c r="GQ15" s="2" t="str">
        <f>IFERROR(__xludf.DUMMYFUNCTION("""COMPUTED_VALUE"""),"uc_FPControllerCycles")</f>
        <v>uc_FPControllerCycles</v>
      </c>
      <c r="GR15" s="2" t="str">
        <f>IFERROR(__xludf.DUMMYFUNCTION("""COMPUTED_VALUE"""),"uc_FPControllerListed")</f>
        <v>uc_FPControllerListed</v>
      </c>
      <c r="GS15" s="2" t="str">
        <f>IFERROR(__xludf.DUMMYFUNCTION("""COMPUTED_VALUE"""),"uc_FPControllerManufacturer")</f>
        <v>uc_FPControllerManufacturer</v>
      </c>
      <c r="GT15" s="2" t="str">
        <f>IFERROR(__xludf.DUMMYFUNCTION("""COMPUTED_VALUE"""),"uc_FPControllerModel")</f>
        <v>uc_FPControllerModel</v>
      </c>
      <c r="GU15" s="2" t="str">
        <f>IFERROR(__xludf.DUMMYFUNCTION("""COMPUTED_VALUE"""),"uc_FPControllerOffPSI")</f>
        <v>uc_FPControllerOffPSI</v>
      </c>
      <c r="GV15" s="2" t="str">
        <f>IFERROR(__xludf.DUMMYFUNCTION("""COMPUTED_VALUE"""),"uc_FPControllerOnPSI")</f>
        <v>uc_FPControllerOnPSI</v>
      </c>
      <c r="GW15" s="2" t="str">
        <f>IFERROR(__xludf.DUMMYFUNCTION("""COMPUTED_VALUE"""),"uc_FPControllerPhases")</f>
        <v>uc_FPControllerPhases</v>
      </c>
      <c r="GX15" s="2" t="str">
        <f>IFERROR(__xludf.DUMMYFUNCTION("""COMPUTED_VALUE"""),"uc_FPControllerRatedHP")</f>
        <v>uc_FPControllerRatedHP</v>
      </c>
      <c r="GY15" s="2" t="str">
        <f>IFERROR(__xludf.DUMMYFUNCTION("""COMPUTED_VALUE"""),"uc_FPControllerRatedVoltage")</f>
        <v>uc_FPControllerRatedVoltage</v>
      </c>
      <c r="GZ15" s="2" t="str">
        <f>IFERROR(__xludf.DUMMYFUNCTION("""COMPUTED_VALUE"""),"uc_FPControllerRunTimer")</f>
        <v>uc_FPControllerRunTimer</v>
      </c>
      <c r="HA15" s="2" t="str">
        <f>IFERROR(__xludf.DUMMYFUNCTION("""COMPUTED_VALUE"""),"uc_FPControllerSerialNumber")</f>
        <v>uc_FPControllerSerialNumber</v>
      </c>
      <c r="HB15" s="2" t="str">
        <f>IFERROR(__xludf.DUMMYFUNCTION("""COMPUTED_VALUE"""),"uc_FPControllerType")</f>
        <v>uc_FPControllerType</v>
      </c>
      <c r="HC15" s="2" t="str">
        <f>IFERROR(__xludf.DUMMYFUNCTION("""COMPUTED_VALUE"""),"uc_FPControllerTypeofStart")</f>
        <v>uc_FPControllerTypeofStart</v>
      </c>
      <c r="HD15" s="2" t="str">
        <f>IFERROR(__xludf.DUMMYFUNCTION("""COMPUTED_VALUE"""),"uc_HeadatChurn0PSI")</f>
        <v>uc_HeadatChurn0PSI</v>
      </c>
      <c r="HE15" s="2" t="str">
        <f>IFERROR(__xludf.DUMMYFUNCTION("""COMPUTED_VALUE"""),"uc_HeadatOverload150PSI")</f>
        <v>uc_HeadatOverload150PSI</v>
      </c>
      <c r="HF15" s="2" t="str">
        <f>IFERROR(__xludf.DUMMYFUNCTION("""COMPUTED_VALUE"""),"uc_HeadatRated100PSI")</f>
        <v>uc_HeadatRated100PSI</v>
      </c>
      <c r="HG15" s="2" t="str">
        <f>IFERROR(__xludf.DUMMYFUNCTION("""COMPUTED_VALUE"""),"uc_ImpellerDiameterIN")</f>
        <v>uc_ImpellerDiameterIN</v>
      </c>
      <c r="HH15" s="2" t="str">
        <f>IFERROR(__xludf.DUMMYFUNCTION("""COMPUTED_VALUE"""),"uc_JobSiteContactEmail")</f>
        <v>uc_JobSiteContactEmail</v>
      </c>
      <c r="HI15" s="2" t="str">
        <f>IFERROR(__xludf.DUMMYFUNCTION("""COMPUTED_VALUE"""),"uc_JobSiteContactFax")</f>
        <v>uc_JobSiteContactFax</v>
      </c>
      <c r="HJ15" s="2" t="str">
        <f>IFERROR(__xludf.DUMMYFUNCTION("""COMPUTED_VALUE"""),"uc_JobSiteContactName")</f>
        <v>uc_JobSiteContactName</v>
      </c>
      <c r="HK15" s="2" t="str">
        <f>IFERROR(__xludf.DUMMYFUNCTION("""COMPUTED_VALUE"""),"uc_JobSiteContactPhone")</f>
        <v>uc_JobSiteContactPhone</v>
      </c>
      <c r="HL15" s="2" t="str">
        <f>IFERROR(__xludf.DUMMYFUNCTION("""COMPUTED_VALUE"""),"uc_JobSiteInformation")</f>
        <v>uc_JobSiteInformation</v>
      </c>
      <c r="HM15" s="2" t="str">
        <f>IFERROR(__xludf.DUMMYFUNCTION("""COMPUTED_VALUE"""),"uc_JOCKEYPUMP")</f>
        <v>uc_JOCKEYPUMP</v>
      </c>
      <c r="HN15" s="2" t="str">
        <f>IFERROR(__xludf.DUMMYFUNCTION("""COMPUTED_VALUE"""),"uc_JOCKEYPUMPCONTROLLER")</f>
        <v>uc_JOCKEYPUMPCONTROLLER</v>
      </c>
      <c r="HO15" s="2" t="str">
        <f>IFERROR(__xludf.DUMMYFUNCTION("""COMPUTED_VALUE"""),"uc_JPControllerCycle")</f>
        <v>uc_JPControllerCycle</v>
      </c>
      <c r="HP15" s="2" t="str">
        <f>IFERROR(__xludf.DUMMYFUNCTION("""COMPUTED_VALUE"""),"uc_JPControllerListed")</f>
        <v>uc_JPControllerListed</v>
      </c>
      <c r="HQ15" s="2" t="str">
        <f>IFERROR(__xludf.DUMMYFUNCTION("""COMPUTED_VALUE"""),"uc_JPControllerManufacturer")</f>
        <v>uc_JPControllerManufacturer</v>
      </c>
      <c r="HR15" s="2" t="str">
        <f>IFERROR(__xludf.DUMMYFUNCTION("""COMPUTED_VALUE"""),"uc_JPControllerModel")</f>
        <v>uc_JPControllerModel</v>
      </c>
      <c r="HS15" s="2" t="str">
        <f>IFERROR(__xludf.DUMMYFUNCTION("""COMPUTED_VALUE"""),"uc_JPControllerOffPSI")</f>
        <v>uc_JPControllerOffPSI</v>
      </c>
      <c r="HT15" s="2" t="str">
        <f>IFERROR(__xludf.DUMMYFUNCTION("""COMPUTED_VALUE"""),"uc_JPControllerOnPSI")</f>
        <v>uc_JPControllerOnPSI</v>
      </c>
      <c r="HU15" s="2" t="str">
        <f>IFERROR(__xludf.DUMMYFUNCTION("""COMPUTED_VALUE"""),"uc_JPControllerPhase")</f>
        <v>uc_JPControllerPhase</v>
      </c>
      <c r="HV15" s="2" t="str">
        <f>IFERROR(__xludf.DUMMYFUNCTION("""COMPUTED_VALUE"""),"uc_JPControllerRatedHP")</f>
        <v>uc_JPControllerRatedHP</v>
      </c>
      <c r="HW15" s="2" t="str">
        <f>IFERROR(__xludf.DUMMYFUNCTION("""COMPUTED_VALUE"""),"uc_JPControllerRatedVoltage")</f>
        <v>uc_JPControllerRatedVoltage</v>
      </c>
      <c r="HX15" s="2" t="str">
        <f>IFERROR(__xludf.DUMMYFUNCTION("""COMPUTED_VALUE"""),"uc_JPControllerSerialNumber")</f>
        <v>uc_JPControllerSerialNumber</v>
      </c>
      <c r="HY15" s="2" t="str">
        <f>IFERROR(__xludf.DUMMYFUNCTION("""COMPUTED_VALUE"""),"uc_JPCycle")</f>
        <v>uc_JPCycle</v>
      </c>
      <c r="HZ15" s="2" t="str">
        <f>IFERROR(__xludf.DUMMYFUNCTION("""COMPUTED_VALUE"""),"uc_JPFrameSize")</f>
        <v>uc_JPFrameSize</v>
      </c>
      <c r="IA15" s="2" t="str">
        <f>IFERROR(__xludf.DUMMYFUNCTION("""COMPUTED_VALUE"""),"uc_JPManufacturer")</f>
        <v>uc_JPManufacturer</v>
      </c>
      <c r="IB15" s="2" t="str">
        <f>IFERROR(__xludf.DUMMYFUNCTION("""COMPUTED_VALUE"""),"uc_JPModel")</f>
        <v>uc_JPModel</v>
      </c>
      <c r="IC15" s="2" t="str">
        <f>IFERROR(__xludf.DUMMYFUNCTION("""COMPUTED_VALUE"""),"uc_JPPhase")</f>
        <v>uc_JPPhase</v>
      </c>
      <c r="ID15" s="2" t="str">
        <f>IFERROR(__xludf.DUMMYFUNCTION("""COMPUTED_VALUE"""),"uc_JPRatedAmps")</f>
        <v>uc_JPRatedAmps</v>
      </c>
      <c r="IE15" s="2" t="str">
        <f>IFERROR(__xludf.DUMMYFUNCTION("""COMPUTED_VALUE"""),"uc_JPRatedFlowGPM")</f>
        <v>uc_JPRatedFlowGPM</v>
      </c>
      <c r="IF15" s="2" t="str">
        <f>IFERROR(__xludf.DUMMYFUNCTION("""COMPUTED_VALUE"""),"uc_JPRatedHP")</f>
        <v>uc_JPRatedHP</v>
      </c>
      <c r="IG15" s="2" t="str">
        <f>IFERROR(__xludf.DUMMYFUNCTION("""COMPUTED_VALUE"""),"uc_JPRatedPressurePSI")</f>
        <v>uc_JPRatedPressurePSI</v>
      </c>
      <c r="IH15" s="2" t="str">
        <f>IFERROR(__xludf.DUMMYFUNCTION("""COMPUTED_VALUE"""),"uc_JPRatedSpeedRPM")</f>
        <v>uc_JPRatedSpeedRPM</v>
      </c>
      <c r="II15" s="2" t="str">
        <f>IFERROR(__xludf.DUMMYFUNCTION("""COMPUTED_VALUE"""),"uc_JPRatedVoltage")</f>
        <v>uc_JPRatedVoltage</v>
      </c>
      <c r="IJ15" s="2" t="str">
        <f>IFERROR(__xludf.DUMMYFUNCTION("""COMPUTED_VALUE"""),"uc_JPSerialNumber")</f>
        <v>uc_JPSerialNumber</v>
      </c>
      <c r="IK15" s="2" t="str">
        <f>IFERROR(__xludf.DUMMYFUNCTION("""COMPUTED_VALUE"""),"uc_JPServiceFactor")</f>
        <v>uc_JPServiceFactor</v>
      </c>
      <c r="IL15" s="2" t="str">
        <f>IFERROR(__xludf.DUMMYFUNCTION("""COMPUTED_VALUE"""),"uc_Listed")</f>
        <v>uc_Listed</v>
      </c>
      <c r="IM15" s="2" t="str">
        <f>IFERROR(__xludf.DUMMYFUNCTION("""COMPUTED_VALUE"""),"uc_Manufacturer")</f>
        <v>uc_Manufacturer</v>
      </c>
      <c r="IN15" s="2" t="str">
        <f>IFERROR(__xludf.DUMMYFUNCTION("""COMPUTED_VALUE"""),"uc_Model")</f>
        <v>uc_Model</v>
      </c>
      <c r="IO15" s="2" t="str">
        <f>IFERROR(__xludf.DUMMYFUNCTION("""COMPUTED_VALUE"""),"uc_Notes")</f>
        <v>uc_Notes</v>
      </c>
      <c r="IP15" s="2" t="str">
        <f>IFERROR(__xludf.DUMMYFUNCTION("""COMPUTED_VALUE"""),"uc_OTHERINFORMATION")</f>
        <v>uc_OTHERINFORMATION</v>
      </c>
      <c r="IQ15" s="2" t="str">
        <f>IFERROR(__xludf.DUMMYFUNCTION("""COMPUTED_VALUE"""),"uc_PhoneNumber")</f>
        <v>uc_PhoneNumber</v>
      </c>
      <c r="IR15" s="2" t="str">
        <f>IFERROR(__xludf.DUMMYFUNCTION("""COMPUTED_VALUE"""),"uc_PumpRotation")</f>
        <v>uc_PumpRotation</v>
      </c>
      <c r="IS15" s="2" t="str">
        <f>IFERROR(__xludf.DUMMYFUNCTION("""COMPUTED_VALUE"""),"uc_Pumptype")</f>
        <v>uc_Pumptype</v>
      </c>
      <c r="IT15" s="2" t="str">
        <f>IFERROR(__xludf.DUMMYFUNCTION("""COMPUTED_VALUE"""),"uc_RatedCapacity")</f>
        <v>uc_RatedCapacity</v>
      </c>
      <c r="IU15" s="2" t="str">
        <f>IFERROR(__xludf.DUMMYFUNCTION("""COMPUTED_VALUE"""),"uc_RatedSpeedRPM")</f>
        <v>uc_RatedSpeedRPM</v>
      </c>
      <c r="IV15" s="2" t="str">
        <f>IFERROR(__xludf.DUMMYFUNCTION("""COMPUTED_VALUE"""),"uc_RightAngleDriveGearRatio")</f>
        <v>uc_RightAngleDriveGearRatio</v>
      </c>
      <c r="IW15" s="2" t="str">
        <f>IFERROR(__xludf.DUMMYFUNCTION("""COMPUTED_VALUE"""),"uc_RightAngleDriveListed")</f>
        <v>uc_RightAngleDriveListed</v>
      </c>
      <c r="IX15" s="2" t="str">
        <f>IFERROR(__xludf.DUMMYFUNCTION("""COMPUTED_VALUE"""),"uc_RightAngleDriveMFG")</f>
        <v>uc_RightAngleDriveMFG</v>
      </c>
      <c r="IY15" s="2" t="str">
        <f>IFERROR(__xludf.DUMMYFUNCTION("""COMPUTED_VALUE"""),"uc_RightAngleDriveModel")</f>
        <v>uc_RightAngleDriveModel</v>
      </c>
      <c r="IZ15" s="2" t="str">
        <f>IFERROR(__xludf.DUMMYFUNCTION("""COMPUTED_VALUE"""),"uc_RightAngleDriveSerNo")</f>
        <v>uc_RightAngleDriveSerNo</v>
      </c>
      <c r="JA15" s="2" t="str">
        <f>IFERROR(__xludf.DUMMYFUNCTION("""COMPUTED_VALUE"""),"uc_RIGHTANGLEGEAR")</f>
        <v>uc_RIGHTANGLEGEAR</v>
      </c>
      <c r="JB15" s="2" t="str">
        <f>IFERROR(__xludf.DUMMYFUNCTION("""COMPUTED_VALUE"""),"uc_SerialNumber")</f>
        <v>uc_SerialNumber</v>
      </c>
      <c r="JC15" s="2" t="str">
        <f>IFERROR(__xludf.DUMMYFUNCTION("""COMPUTED_VALUE"""),"uc_State")</f>
        <v>uc_State</v>
      </c>
      <c r="JD15" s="2" t="str">
        <f>IFERROR(__xludf.DUMMYFUNCTION("""COMPUTED_VALUE"""),"uc_Street")</f>
        <v>uc_Street</v>
      </c>
      <c r="JE15" s="2" t="str">
        <f>IFERROR(__xludf.DUMMYFUNCTION("""COMPUTED_VALUE"""),"uc_StreetLine2")</f>
        <v>uc_StreetLine2</v>
      </c>
      <c r="JF15" s="2" t="str">
        <f>IFERROR(__xludf.DUMMYFUNCTION("""COMPUTED_VALUE"""),"uc_SuctionFrom")</f>
        <v>uc_SuctionFrom</v>
      </c>
      <c r="JG15" s="2" t="str">
        <f>IFERROR(__xludf.DUMMYFUNCTION("""COMPUTED_VALUE"""),"uc_TankHeight")</f>
        <v>uc_TankHeight</v>
      </c>
      <c r="JH15" s="2" t="str">
        <f>IFERROR(__xludf.DUMMYFUNCTION("""COMPUTED_VALUE"""),"uc_TankSize")</f>
        <v>uc_TankSize</v>
      </c>
      <c r="JI15" s="2" t="str">
        <f>IFERROR(__xludf.DUMMYFUNCTION("""COMPUTED_VALUE"""),"uc_TestingFirmContact")</f>
        <v>uc_TestingFirmContact</v>
      </c>
      <c r="JJ15" s="2" t="str">
        <f>IFERROR(__xludf.DUMMYFUNCTION("""COMPUTED_VALUE"""),"uc_TestingFirmContactLicenseNumber")</f>
        <v>uc_TestingFirmContactLicenseNumber</v>
      </c>
      <c r="JK15" s="2" t="str">
        <f>IFERROR(__xludf.DUMMYFUNCTION("""COMPUTED_VALUE"""),"uc_TestingFirmInformation")</f>
        <v>uc_TestingFirmInformation</v>
      </c>
      <c r="JL15" s="2" t="str">
        <f>IFERROR(__xludf.DUMMYFUNCTION("""COMPUTED_VALUE"""),"uc_TestingFirmLogo")</f>
        <v>uc_TestingFirmLogo</v>
      </c>
      <c r="JM15" s="2" t="str">
        <f>IFERROR(__xludf.DUMMYFUNCTION("""COMPUTED_VALUE"""),"uc_TestingFirmName")</f>
        <v>uc_TestingFirmName</v>
      </c>
      <c r="JN15" s="2" t="str">
        <f>IFERROR(__xludf.DUMMYFUNCTION("""COMPUTED_VALUE"""),"uc_TotalDynamicHead")</f>
        <v>uc_TotalDynamicHead</v>
      </c>
      <c r="JO15" s="2" t="str">
        <f>IFERROR(__xludf.DUMMYFUNCTION("""COMPUTED_VALUE"""),"uc_ZipCode")</f>
        <v>uc_ZipCode</v>
      </c>
      <c r="JP15" s="2" t="str">
        <f>IFERROR(__xludf.DUMMYFUNCTION("""COMPUTED_VALUE"""),"uc_OwnerName")</f>
        <v>uc_OwnerName</v>
      </c>
      <c r="JQ15" s="2" t="str">
        <f>IFERROR(__xludf.DUMMYFUNCTION("""COMPUTED_VALUE"""),"uc_OwnerAddress1")</f>
        <v>uc_OwnerAddress1</v>
      </c>
      <c r="JR15" s="2" t="str">
        <f>IFERROR(__xludf.DUMMYFUNCTION("""COMPUTED_VALUE"""),"uc_OwnerCity")</f>
        <v>uc_OwnerCity</v>
      </c>
      <c r="JS15" s="2" t="str">
        <f>IFERROR(__xludf.DUMMYFUNCTION("""COMPUTED_VALUE"""),"uc_OwnerState")</f>
        <v>uc_OwnerState</v>
      </c>
      <c r="JT15" s="2" t="str">
        <f>IFERROR(__xludf.DUMMYFUNCTION("""COMPUTED_VALUE"""),"uc_OwnerZip")</f>
        <v>uc_OwnerZip</v>
      </c>
      <c r="JU15" s="2" t="str">
        <f>IFERROR(__xludf.DUMMYFUNCTION("""COMPUTED_VALUE"""),"uc_OwnerTelephone")</f>
        <v>uc_OwnerTelephone</v>
      </c>
      <c r="JV15" s="2" t="str">
        <f>IFERROR(__xludf.DUMMYFUNCTION("""COMPUTED_VALUE"""),"uc_CreatedBy")</f>
        <v>uc_CreatedBy</v>
      </c>
      <c r="JW15" s="2" t="str">
        <f>IFERROR(__xludf.DUMMYFUNCTION("""COMPUTED_VALUE"""),"uc_DateCreated")</f>
        <v>uc_DateCreated</v>
      </c>
      <c r="JX15" s="2" t="str">
        <f>IFERROR(__xludf.DUMMYFUNCTION("""COMPUTED_VALUE"""),"uc_DateDue")</f>
        <v>uc_DateDue</v>
      </c>
      <c r="JY15" s="2" t="str">
        <f>IFERROR(__xludf.DUMMYFUNCTION("""COMPUTED_VALUE"""),"uc_Description")</f>
        <v>uc_Description</v>
      </c>
      <c r="JZ15" s="2" t="str">
        <f>IFERROR(__xludf.DUMMYFUNCTION("""COMPUTED_VALUE"""),"uc_WorkOrderPriority")</f>
        <v>uc_WorkOrderPriority</v>
      </c>
      <c r="KA15" s="2" t="str">
        <f>IFERROR(__xludf.DUMMYFUNCTION("""COMPUTED_VALUE"""),"uc_WorkOrderStatus")</f>
        <v>uc_WorkOrderStatus</v>
      </c>
      <c r="KB15" s="2" t="str">
        <f>IFERROR(__xludf.DUMMYFUNCTION("""COMPUTED_VALUE"""),"uc_WorkOrderType")</f>
        <v>uc_WorkOrderType</v>
      </c>
    </row>
    <row r="16">
      <c r="A16" s="15">
        <f>IFERROR(__xludf.DUMMYFUNCTION("""COMPUTED_VALUE"""),43865.5158912037)</f>
        <v>43865.51589</v>
      </c>
      <c r="B16" s="2" t="str">
        <f>IFERROR(__xludf.DUMMYFUNCTION("""COMPUTED_VALUE"""),"AESC Admin - Hose Monster")</f>
        <v>AESC Admin - Hose Monster</v>
      </c>
      <c r="C16" s="2" t="str">
        <f>IFERROR(__xludf.DUMMYFUNCTION("""COMPUTED_VALUE"""),"")</f>
        <v/>
      </c>
      <c r="D16" s="2">
        <f>IFERROR(__xludf.DUMMYFUNCTION("""COMPUTED_VALUE"""),8.65336882E8)</f>
        <v>865336882</v>
      </c>
      <c r="E16" s="15">
        <f>IFERROR(__xludf.DUMMYFUNCTION("""COMPUTED_VALUE"""),43865.0)</f>
        <v>43865</v>
      </c>
      <c r="F16" s="2" t="str">
        <f>IFERROR(__xludf.DUMMYFUNCTION("""COMPUTED_VALUE"""),"")</f>
        <v/>
      </c>
      <c r="G16" s="2" t="str">
        <f>IFERROR(__xludf.DUMMYFUNCTION("""COMPUTED_VALUE"""),"")</f>
        <v/>
      </c>
      <c r="H16" s="2" t="str">
        <f>IFERROR(__xludf.DUMMYFUNCTION("""COMPUTED_VALUE"""),"")</f>
        <v/>
      </c>
      <c r="I16" s="2" t="str">
        <f>IFERROR(__xludf.DUMMYFUNCTION("""COMPUTED_VALUE"""),"")</f>
        <v/>
      </c>
      <c r="J16" s="2" t="str">
        <f>IFERROR(__xludf.DUMMYFUNCTION("""COMPUTED_VALUE"""),"")</f>
        <v/>
      </c>
      <c r="K16" s="2" t="str">
        <f>IFERROR(__xludf.DUMMYFUNCTION("""COMPUTED_VALUE"""),"1 1/2"" In-line Pitotless Nozzle")</f>
        <v>1 1/2" In-line Pitotless Nozzle</v>
      </c>
      <c r="L16" s="2" t="str">
        <f>IFERROR(__xludf.DUMMYFUNCTION("""COMPUTED_VALUE"""),"In-line Pitotless Nozzle")</f>
        <v>In-line Pitotless Nozzle</v>
      </c>
      <c r="M16" s="2">
        <f>IFERROR(__xludf.DUMMYFUNCTION("""COMPUTED_VALUE"""),1.0)</f>
        <v>1</v>
      </c>
      <c r="N16" s="2">
        <f>IFERROR(__xludf.DUMMYFUNCTION("""COMPUTED_VALUE"""),3574.0)</f>
        <v>3574</v>
      </c>
      <c r="O16" s="2">
        <f>IFERROR(__xludf.DUMMYFUNCTION("""COMPUTED_VALUE"""),164.0)</f>
        <v>164</v>
      </c>
      <c r="P16" s="2">
        <f>IFERROR(__xludf.DUMMYFUNCTION("""COMPUTED_VALUE"""),44.0)</f>
        <v>44</v>
      </c>
      <c r="Q16" s="2">
        <f>IFERROR(__xludf.DUMMYFUNCTION("""COMPUTED_VALUE"""),120.0)</f>
        <v>120</v>
      </c>
      <c r="R16" s="2" t="str">
        <f>IFERROR(__xludf.DUMMYFUNCTION("""COMPUTED_VALUE"""),"1 1/2"" In-line Pitotless Nozzle")</f>
        <v>1 1/2" In-line Pitotless Nozzle</v>
      </c>
      <c r="S16" s="2">
        <f>IFERROR(__xludf.DUMMYFUNCTION("""COMPUTED_VALUE"""),0.0)</f>
        <v>0</v>
      </c>
      <c r="T16" s="2">
        <f>IFERROR(__xludf.DUMMYFUNCTION("""COMPUTED_VALUE"""),0.0)</f>
        <v>0</v>
      </c>
      <c r="U16" s="2" t="str">
        <f>IFERROR(__xludf.DUMMYFUNCTION("""COMPUTED_VALUE"""),"")</f>
        <v/>
      </c>
      <c r="V16" s="2" t="str">
        <f>IFERROR(__xludf.DUMMYFUNCTION("""COMPUTED_VALUE"""),"1 1/2"" In-line Pitotless Nozzle")</f>
        <v>1 1/2" In-line Pitotless Nozzle</v>
      </c>
      <c r="W16" s="2">
        <f>IFERROR(__xludf.DUMMYFUNCTION("""COMPUTED_VALUE"""),0.0)</f>
        <v>0</v>
      </c>
      <c r="X16" s="2">
        <f>IFERROR(__xludf.DUMMYFUNCTION("""COMPUTED_VALUE"""),0.0)</f>
        <v>0</v>
      </c>
      <c r="Y16" s="2" t="str">
        <f>IFERROR(__xludf.DUMMYFUNCTION("""COMPUTED_VALUE"""),"")</f>
        <v/>
      </c>
      <c r="Z16" s="2" t="str">
        <f>IFERROR(__xludf.DUMMYFUNCTION("""COMPUTED_VALUE"""),"1 1/2"" In-line Pitotless Nozzle")</f>
        <v>1 1/2" In-line Pitotless Nozzle</v>
      </c>
      <c r="AA16" s="2">
        <f>IFERROR(__xludf.DUMMYFUNCTION("""COMPUTED_VALUE"""),0.0)</f>
        <v>0</v>
      </c>
      <c r="AB16" s="2">
        <f>IFERROR(__xludf.DUMMYFUNCTION("""COMPUTED_VALUE"""),0.0)</f>
        <v>0</v>
      </c>
      <c r="AC16" s="2" t="str">
        <f>IFERROR(__xludf.DUMMYFUNCTION("""COMPUTED_VALUE"""),"")</f>
        <v/>
      </c>
      <c r="AD16" s="2" t="str">
        <f>IFERROR(__xludf.DUMMYFUNCTION("""COMPUTED_VALUE"""),"")</f>
        <v/>
      </c>
      <c r="AE16" s="2" t="str">
        <f>IFERROR(__xludf.DUMMYFUNCTION("""COMPUTED_VALUE"""),"")</f>
        <v/>
      </c>
      <c r="AF16" s="2" t="str">
        <f>IFERROR(__xludf.DUMMYFUNCTION("""COMPUTED_VALUE"""),"")</f>
        <v/>
      </c>
      <c r="AG16" s="2" t="str">
        <f>IFERROR(__xludf.DUMMYFUNCTION("""COMPUTED_VALUE"""),"")</f>
        <v/>
      </c>
      <c r="AH16" s="2" t="str">
        <f>IFERROR(__xludf.DUMMYFUNCTION("""COMPUTED_VALUE"""),"")</f>
        <v/>
      </c>
      <c r="AI16" s="2" t="str">
        <f>IFERROR(__xludf.DUMMYFUNCTION("""COMPUTED_VALUE"""),"")</f>
        <v/>
      </c>
      <c r="AJ16" s="2" t="str">
        <f>IFERROR(__xludf.DUMMYFUNCTION("""COMPUTED_VALUE"""),"")</f>
        <v/>
      </c>
      <c r="AK16" s="2" t="str">
        <f>IFERROR(__xludf.DUMMYFUNCTION("""COMPUTED_VALUE"""),"")</f>
        <v/>
      </c>
      <c r="AL16" s="2" t="str">
        <f>IFERROR(__xludf.DUMMYFUNCTION("""COMPUTED_VALUE"""),"")</f>
        <v/>
      </c>
      <c r="AM16" s="2" t="str">
        <f>IFERROR(__xludf.DUMMYFUNCTION("""COMPUTED_VALUE"""),"")</f>
        <v/>
      </c>
      <c r="AN16" s="2" t="str">
        <f>IFERROR(__xludf.DUMMYFUNCTION("""COMPUTED_VALUE"""),"")</f>
        <v/>
      </c>
      <c r="AO16" s="2" t="str">
        <f>IFERROR(__xludf.DUMMYFUNCTION("""COMPUTED_VALUE"""),"")</f>
        <v/>
      </c>
      <c r="AP16" s="2" t="str">
        <f>IFERROR(__xludf.DUMMYFUNCTION("""COMPUTED_VALUE"""),"")</f>
        <v/>
      </c>
      <c r="AQ16" s="2" t="str">
        <f>IFERROR(__xludf.DUMMYFUNCTION("""COMPUTED_VALUE"""),"")</f>
        <v/>
      </c>
      <c r="AR16" s="2" t="str">
        <f>IFERROR(__xludf.DUMMYFUNCTION("""COMPUTED_VALUE"""),"")</f>
        <v/>
      </c>
      <c r="AS16" s="2" t="str">
        <f>IFERROR(__xludf.DUMMYFUNCTION("""COMPUTED_VALUE"""),"")</f>
        <v/>
      </c>
      <c r="AT16" s="2" t="str">
        <f>IFERROR(__xludf.DUMMYFUNCTION("""COMPUTED_VALUE"""),"")</f>
        <v/>
      </c>
      <c r="AU16" s="2" t="str">
        <f>IFERROR(__xludf.DUMMYFUNCTION("""COMPUTED_VALUE"""),"")</f>
        <v/>
      </c>
      <c r="AV16" s="2" t="str">
        <f>IFERROR(__xludf.DUMMYFUNCTION("""COMPUTED_VALUE"""),"")</f>
        <v/>
      </c>
      <c r="AW16" s="2" t="str">
        <f>IFERROR(__xludf.DUMMYFUNCTION("""COMPUTED_VALUE"""),"")</f>
        <v/>
      </c>
      <c r="AX16" s="2" t="str">
        <f>IFERROR(__xludf.DUMMYFUNCTION("""COMPUTED_VALUE"""),"")</f>
        <v/>
      </c>
      <c r="AY16" s="2" t="str">
        <f>IFERROR(__xludf.DUMMYFUNCTION("""COMPUTED_VALUE"""),"")</f>
        <v/>
      </c>
      <c r="AZ16" s="2" t="str">
        <f>IFERROR(__xludf.DUMMYFUNCTION("""COMPUTED_VALUE"""),"")</f>
        <v/>
      </c>
      <c r="BA16" s="2" t="str">
        <f>IFERROR(__xludf.DUMMYFUNCTION("""COMPUTED_VALUE"""),"")</f>
        <v/>
      </c>
      <c r="BB16" s="2" t="str">
        <f>IFERROR(__xludf.DUMMYFUNCTION("""COMPUTED_VALUE"""),"")</f>
        <v/>
      </c>
      <c r="BC16" s="2" t="str">
        <f>IFERROR(__xludf.DUMMYFUNCTION("""COMPUTED_VALUE"""),"")</f>
        <v/>
      </c>
      <c r="BD16" s="2" t="str">
        <f>IFERROR(__xludf.DUMMYFUNCTION("""COMPUTED_VALUE"""),"")</f>
        <v/>
      </c>
      <c r="BE16" s="2" t="str">
        <f>IFERROR(__xludf.DUMMYFUNCTION("""COMPUTED_VALUE"""),"")</f>
        <v/>
      </c>
      <c r="BF16" s="2" t="str">
        <f>IFERROR(__xludf.DUMMYFUNCTION("""COMPUTED_VALUE"""),"")</f>
        <v/>
      </c>
      <c r="BG16" s="2" t="str">
        <f>IFERROR(__xludf.DUMMYFUNCTION("""COMPUTED_VALUE"""),"")</f>
        <v/>
      </c>
      <c r="BH16" s="2">
        <f>IFERROR(__xludf.DUMMYFUNCTION("""COMPUTED_VALUE"""),3.0)</f>
        <v>3</v>
      </c>
      <c r="BI16" s="2" t="str">
        <f>IFERROR(__xludf.DUMMYFUNCTION("""COMPUTED_VALUE"""),"")</f>
        <v/>
      </c>
      <c r="BJ16" s="2">
        <f>IFERROR(__xludf.DUMMYFUNCTION("""COMPUTED_VALUE"""),0.0)</f>
        <v>0</v>
      </c>
      <c r="BK16" s="2">
        <f>IFERROR(__xludf.DUMMYFUNCTION("""COMPUTED_VALUE"""),0.0)</f>
        <v>0</v>
      </c>
      <c r="BL16" s="2">
        <f>IFERROR(__xludf.DUMMYFUNCTION("""COMPUTED_VALUE"""),490.0)</f>
        <v>490</v>
      </c>
      <c r="BM16" s="2">
        <f>IFERROR(__xludf.DUMMYFUNCTION("""COMPUTED_VALUE"""),76.0)</f>
        <v>76</v>
      </c>
      <c r="BN16" s="2" t="str">
        <f>IFERROR(__xludf.DUMMYFUNCTION("""COMPUTED_VALUE"""),"")</f>
        <v/>
      </c>
      <c r="BO16" s="2">
        <f>IFERROR(__xludf.DUMMYFUNCTION("""COMPUTED_VALUE"""),0.0)</f>
        <v>0</v>
      </c>
      <c r="BP16" s="2">
        <f>IFERROR(__xludf.DUMMYFUNCTION("""COMPUTED_VALUE"""),115.1)</f>
        <v>115.1</v>
      </c>
      <c r="BQ16" s="2">
        <f>IFERROR(__xludf.DUMMYFUNCTION("""COMPUTED_VALUE"""),495.0)</f>
        <v>495</v>
      </c>
      <c r="BR16" s="2">
        <f>IFERROR(__xludf.DUMMYFUNCTION("""COMPUTED_VALUE"""),493.0)</f>
        <v>493</v>
      </c>
      <c r="BS16" s="2">
        <f>IFERROR(__xludf.DUMMYFUNCTION("""COMPUTED_VALUE"""),80.0)</f>
        <v>80</v>
      </c>
      <c r="BT16" s="2">
        <f>IFERROR(__xludf.DUMMYFUNCTION("""COMPUTED_VALUE"""),82.0)</f>
        <v>82</v>
      </c>
      <c r="BU16" s="2" t="b">
        <f>IFERROR(__xludf.DUMMYFUNCTION("""COMPUTED_VALUE"""),FALSE)</f>
        <v>0</v>
      </c>
      <c r="BV16" s="2" t="str">
        <f>IFERROR(__xludf.DUMMYFUNCTION("""COMPUTED_VALUE"""),"INPN1.5")</f>
        <v>INPN1.5</v>
      </c>
      <c r="BW16" s="2" t="str">
        <f>IFERROR(__xludf.DUMMYFUNCTION("""COMPUTED_VALUE"""),"INPN1.5")</f>
        <v>INPN1.5</v>
      </c>
      <c r="BX16" s="2" t="str">
        <f>IFERROR(__xludf.DUMMYFUNCTION("""COMPUTED_VALUE"""),"INPN1.5")</f>
        <v>INPN1.5</v>
      </c>
      <c r="BY16" s="2" t="str">
        <f>IFERROR(__xludf.DUMMYFUNCTION("""COMPUTED_VALUE"""),"INPN1.5")</f>
        <v>INPN1.5</v>
      </c>
      <c r="BZ16" s="2" t="str">
        <f>IFERROR(__xludf.DUMMYFUNCTION("""COMPUTED_VALUE"""),"INPN1.5")</f>
        <v>INPN1.5</v>
      </c>
      <c r="CA16" s="2" t="str">
        <f>IFERROR(__xludf.DUMMYFUNCTION("""COMPUTED_VALUE"""),"INPN1.5")</f>
        <v>INPN1.5</v>
      </c>
      <c r="CB16" s="2" t="str">
        <f>IFERROR(__xludf.DUMMYFUNCTION("""COMPUTED_VALUE"""),"INPN1.5")</f>
        <v>INPN1.5</v>
      </c>
      <c r="CC16" s="2" t="str">
        <f>IFERROR(__xludf.DUMMYFUNCTION("""COMPUTED_VALUE"""),"INPN1.5")</f>
        <v>INPN1.5</v>
      </c>
      <c r="CD16" s="2" t="str">
        <f>IFERROR(__xludf.DUMMYFUNCTION("""COMPUTED_VALUE"""),"INPN1.5")</f>
        <v>INPN1.5</v>
      </c>
      <c r="CE16" s="2" t="str">
        <f>IFERROR(__xludf.DUMMYFUNCTION("""COMPUTED_VALUE"""),"INPN1.5")</f>
        <v>INPN1.5</v>
      </c>
      <c r="CF16" s="2" t="str">
        <f>IFERROR(__xludf.DUMMYFUNCTION("""COMPUTED_VALUE"""),"INPN1.5")</f>
        <v>INPN1.5</v>
      </c>
      <c r="CG16" s="2" t="str">
        <f>IFERROR(__xludf.DUMMYFUNCTION("""COMPUTED_VALUE"""),"")</f>
        <v/>
      </c>
      <c r="CH16" s="2" t="str">
        <f>IFERROR(__xludf.DUMMYFUNCTION("""COMPUTED_VALUE"""),"")</f>
        <v/>
      </c>
      <c r="CI16" s="2" t="str">
        <f>IFERROR(__xludf.DUMMYFUNCTION("""COMPUTED_VALUE"""),"")</f>
        <v/>
      </c>
      <c r="CJ16" s="2" t="str">
        <f>IFERROR(__xludf.DUMMYFUNCTION("""COMPUTED_VALUE"""),"")</f>
        <v/>
      </c>
      <c r="CK16" s="2" t="str">
        <f>IFERROR(__xludf.DUMMYFUNCTION("""COMPUTED_VALUE"""),"")</f>
        <v/>
      </c>
      <c r="CL16" s="2" t="str">
        <f>IFERROR(__xludf.DUMMYFUNCTION("""COMPUTED_VALUE"""),"")</f>
        <v/>
      </c>
      <c r="CM16" s="2" t="str">
        <f>IFERROR(__xludf.DUMMYFUNCTION("""COMPUTED_VALUE"""),"")</f>
        <v/>
      </c>
      <c r="CN16" s="2" t="str">
        <f>IFERROR(__xludf.DUMMYFUNCTION("""COMPUTED_VALUE"""),"")</f>
        <v/>
      </c>
      <c r="CO16" s="2" t="str">
        <f>IFERROR(__xludf.DUMMYFUNCTION("""COMPUTED_VALUE"""),"")</f>
        <v/>
      </c>
      <c r="CP16" s="2" t="str">
        <f>IFERROR(__xludf.DUMMYFUNCTION("""COMPUTED_VALUE"""),"")</f>
        <v/>
      </c>
      <c r="CQ16" s="2" t="str">
        <f>IFERROR(__xludf.DUMMYFUNCTION("""COMPUTED_VALUE"""),"")</f>
        <v/>
      </c>
      <c r="CR16" s="2" t="str">
        <f>IFERROR(__xludf.DUMMYFUNCTION("""COMPUTED_VALUE"""),"")</f>
        <v/>
      </c>
      <c r="CS16" s="2" t="str">
        <f>IFERROR(__xludf.DUMMYFUNCTION("""COMPUTED_VALUE"""),"")</f>
        <v/>
      </c>
      <c r="CT16" s="2" t="str">
        <f>IFERROR(__xludf.DUMMYFUNCTION("""COMPUTED_VALUE"""),"")</f>
        <v/>
      </c>
      <c r="CU16" s="2" t="str">
        <f>IFERROR(__xludf.DUMMYFUNCTION("""COMPUTED_VALUE"""),"")</f>
        <v/>
      </c>
      <c r="CV16" s="2" t="str">
        <f>IFERROR(__xludf.DUMMYFUNCTION("""COMPUTED_VALUE"""),"")</f>
        <v/>
      </c>
      <c r="CW16" s="2" t="str">
        <f>IFERROR(__xludf.DUMMYFUNCTION("""COMPUTED_VALUE"""),"")</f>
        <v/>
      </c>
      <c r="CX16" s="2" t="str">
        <f>IFERROR(__xludf.DUMMYFUNCTION("""COMPUTED_VALUE"""),"")</f>
        <v/>
      </c>
      <c r="CY16" s="2" t="str">
        <f>IFERROR(__xludf.DUMMYFUNCTION("""COMPUTED_VALUE"""),"")</f>
        <v/>
      </c>
      <c r="CZ16" s="2" t="str">
        <f>IFERROR(__xludf.DUMMYFUNCTION("""COMPUTED_VALUE"""),"")</f>
        <v/>
      </c>
      <c r="DA16" s="2" t="str">
        <f>IFERROR(__xludf.DUMMYFUNCTION("""COMPUTED_VALUE"""),"")</f>
        <v/>
      </c>
      <c r="DB16" s="2" t="str">
        <f>IFERROR(__xludf.DUMMYFUNCTION("""COMPUTED_VALUE"""),"")</f>
        <v/>
      </c>
      <c r="DC16" s="2" t="str">
        <f>IFERROR(__xludf.DUMMYFUNCTION("""COMPUTED_VALUE"""),"")</f>
        <v/>
      </c>
      <c r="DD16" s="2" t="str">
        <f>IFERROR(__xludf.DUMMYFUNCTION("""COMPUTED_VALUE"""),"")</f>
        <v/>
      </c>
      <c r="DE16" s="2" t="str">
        <f>IFERROR(__xludf.DUMMYFUNCTION("""COMPUTED_VALUE"""),"")</f>
        <v/>
      </c>
      <c r="DF16" s="2" t="str">
        <f>IFERROR(__xludf.DUMMYFUNCTION("""COMPUTED_VALUE"""),"")</f>
        <v/>
      </c>
      <c r="DG16" s="2" t="str">
        <f>IFERROR(__xludf.DUMMYFUNCTION("""COMPUTED_VALUE"""),"")</f>
        <v/>
      </c>
      <c r="DH16" s="2" t="str">
        <f>IFERROR(__xludf.DUMMYFUNCTION("""COMPUTED_VALUE"""),"")</f>
        <v/>
      </c>
      <c r="DI16" s="2" t="str">
        <f>IFERROR(__xludf.DUMMYFUNCTION("""COMPUTED_VALUE"""),"")</f>
        <v/>
      </c>
      <c r="DJ16" s="2" t="str">
        <f>IFERROR(__xludf.DUMMYFUNCTION("""COMPUTED_VALUE"""),"")</f>
        <v/>
      </c>
      <c r="DK16" s="2" t="str">
        <f>IFERROR(__xludf.DUMMYFUNCTION("""COMPUTED_VALUE"""),"")</f>
        <v/>
      </c>
      <c r="DL16" s="2" t="str">
        <f>IFERROR(__xludf.DUMMYFUNCTION("""COMPUTED_VALUE"""),"")</f>
        <v/>
      </c>
      <c r="DM16" s="2" t="str">
        <f>IFERROR(__xludf.DUMMYFUNCTION("""COMPUTED_VALUE"""),"")</f>
        <v/>
      </c>
      <c r="DN16" s="2" t="str">
        <f>IFERROR(__xludf.DUMMYFUNCTION("""COMPUTED_VALUE"""),"")</f>
        <v/>
      </c>
      <c r="DO16" s="2" t="str">
        <f>IFERROR(__xludf.DUMMYFUNCTION("""COMPUTED_VALUE"""),"")</f>
        <v/>
      </c>
      <c r="DP16" s="2" t="str">
        <f>IFERROR(__xludf.DUMMYFUNCTION("""COMPUTED_VALUE"""),"")</f>
        <v/>
      </c>
      <c r="DQ16" s="2" t="str">
        <f>IFERROR(__xludf.DUMMYFUNCTION("""COMPUTED_VALUE"""),"")</f>
        <v/>
      </c>
      <c r="DR16" s="2" t="str">
        <f>IFERROR(__xludf.DUMMYFUNCTION("""COMPUTED_VALUE"""),"")</f>
        <v/>
      </c>
      <c r="DS16" s="2" t="str">
        <f>IFERROR(__xludf.DUMMYFUNCTION("""COMPUTED_VALUE"""),"")</f>
        <v/>
      </c>
      <c r="DT16" s="2" t="str">
        <f>IFERROR(__xludf.DUMMYFUNCTION("""COMPUTED_VALUE"""),"")</f>
        <v/>
      </c>
      <c r="DU16" s="2" t="str">
        <f>IFERROR(__xludf.DUMMYFUNCTION("""COMPUTED_VALUE"""),"")</f>
        <v/>
      </c>
      <c r="DV16" s="2" t="str">
        <f>IFERROR(__xludf.DUMMYFUNCTION("""COMPUTED_VALUE"""),"")</f>
        <v/>
      </c>
      <c r="DW16" s="2" t="str">
        <f>IFERROR(__xludf.DUMMYFUNCTION("""COMPUTED_VALUE"""),"")</f>
        <v/>
      </c>
      <c r="DX16" s="2" t="str">
        <f>IFERROR(__xludf.DUMMYFUNCTION("""COMPUTED_VALUE"""),"")</f>
        <v/>
      </c>
      <c r="DY16" s="2" t="str">
        <f>IFERROR(__xludf.DUMMYFUNCTION("""COMPUTED_VALUE"""),"")</f>
        <v/>
      </c>
      <c r="DZ16" s="2" t="str">
        <f>IFERROR(__xludf.DUMMYFUNCTION("""COMPUTED_VALUE"""),"")</f>
        <v/>
      </c>
      <c r="EA16" s="2" t="str">
        <f>IFERROR(__xludf.DUMMYFUNCTION("""COMPUTED_VALUE"""),"")</f>
        <v/>
      </c>
      <c r="EB16" s="2" t="str">
        <f>IFERROR(__xludf.DUMMYFUNCTION("""COMPUTED_VALUE"""),"")</f>
        <v/>
      </c>
      <c r="EC16" s="2" t="str">
        <f>IFERROR(__xludf.DUMMYFUNCTION("""COMPUTED_VALUE"""),"")</f>
        <v/>
      </c>
      <c r="ED16" s="2" t="str">
        <f>IFERROR(__xludf.DUMMYFUNCTION("""COMPUTED_VALUE"""),"")</f>
        <v/>
      </c>
      <c r="EE16" s="2" t="str">
        <f>IFERROR(__xludf.DUMMYFUNCTION("""COMPUTED_VALUE"""),"")</f>
        <v/>
      </c>
      <c r="EF16" s="2" t="str">
        <f>IFERROR(__xludf.DUMMYFUNCTION("""COMPUTED_VALUE"""),"")</f>
        <v/>
      </c>
      <c r="EG16" s="2" t="str">
        <f>IFERROR(__xludf.DUMMYFUNCTION("""COMPUTED_VALUE"""),"")</f>
        <v/>
      </c>
      <c r="EH16" s="2" t="str">
        <f>IFERROR(__xludf.DUMMYFUNCTION("""COMPUTED_VALUE"""),"")</f>
        <v/>
      </c>
      <c r="EI16" s="2" t="str">
        <f>IFERROR(__xludf.DUMMYFUNCTION("""COMPUTED_VALUE"""),"")</f>
        <v/>
      </c>
      <c r="EJ16" s="2" t="str">
        <f>IFERROR(__xludf.DUMMYFUNCTION("""COMPUTED_VALUE"""),"")</f>
        <v/>
      </c>
      <c r="EK16" s="2" t="str">
        <f>IFERROR(__xludf.DUMMYFUNCTION("""COMPUTED_VALUE"""),"")</f>
        <v/>
      </c>
      <c r="EL16" s="2" t="str">
        <f>IFERROR(__xludf.DUMMYFUNCTION("""COMPUTED_VALUE"""),"")</f>
        <v/>
      </c>
      <c r="EM16" s="2" t="str">
        <f>IFERROR(__xludf.DUMMYFUNCTION("""COMPUTED_VALUE"""),"")</f>
        <v/>
      </c>
      <c r="EN16" s="2" t="str">
        <f>IFERROR(__xludf.DUMMYFUNCTION("""COMPUTED_VALUE"""),"")</f>
        <v/>
      </c>
      <c r="EO16" s="2" t="str">
        <f>IFERROR(__xludf.DUMMYFUNCTION("""COMPUTED_VALUE"""),"")</f>
        <v/>
      </c>
      <c r="EP16" s="2" t="str">
        <f>IFERROR(__xludf.DUMMYFUNCTION("""COMPUTED_VALUE"""),"")</f>
        <v/>
      </c>
      <c r="EQ16" s="2" t="str">
        <f>IFERROR(__xludf.DUMMYFUNCTION("""COMPUTED_VALUE"""),"")</f>
        <v/>
      </c>
      <c r="ER16" s="2" t="str">
        <f>IFERROR(__xludf.DUMMYFUNCTION("""COMPUTED_VALUE"""),"")</f>
        <v/>
      </c>
      <c r="ES16" s="2" t="str">
        <f>IFERROR(__xludf.DUMMYFUNCTION("""COMPUTED_VALUE"""),"")</f>
        <v/>
      </c>
      <c r="ET16" s="2" t="str">
        <f>IFERROR(__xludf.DUMMYFUNCTION("""COMPUTED_VALUE"""),"")</f>
        <v/>
      </c>
      <c r="EU16" s="2" t="str">
        <f>IFERROR(__xludf.DUMMYFUNCTION("""COMPUTED_VALUE"""),"")</f>
        <v/>
      </c>
      <c r="EV16" s="2" t="str">
        <f>IFERROR(__xludf.DUMMYFUNCTION("""COMPUTED_VALUE"""),"")</f>
        <v/>
      </c>
      <c r="EW16" s="2" t="str">
        <f>IFERROR(__xludf.DUMMYFUNCTION("""COMPUTED_VALUE"""),"")</f>
        <v/>
      </c>
      <c r="EX16" s="2" t="str">
        <f>IFERROR(__xludf.DUMMYFUNCTION("""COMPUTED_VALUE"""),"")</f>
        <v/>
      </c>
      <c r="EY16" s="2" t="str">
        <f>IFERROR(__xludf.DUMMYFUNCTION("""COMPUTED_VALUE"""),"UC Test Pump")</f>
        <v>UC Test Pump</v>
      </c>
      <c r="EZ16" s="2" t="str">
        <f>IFERROR(__xludf.DUMMYFUNCTION("""COMPUTED_VALUE"""),"UC-FP-1")</f>
        <v>UC-FP-1</v>
      </c>
      <c r="FA16" s="2" t="str">
        <f>IFERROR(__xludf.DUMMYFUNCTION("""COMPUTED_VALUE"""),"AESC Admin - Hose Monster")</f>
        <v>AESC Admin - Hose Monster</v>
      </c>
      <c r="FB16" s="2" t="str">
        <f>IFERROR(__xludf.DUMMYFUNCTION("""COMPUTED_VALUE"""),"c4a602a6-5b8e-4c9d-87bd-335d4071d942")</f>
        <v>c4a602a6-5b8e-4c9d-87bd-335d4071d942</v>
      </c>
      <c r="FC16" s="2" t="str">
        <f>IFERROR(__xludf.DUMMYFUNCTION("""COMPUTED_VALUE"""),"UC Test Testing Firm")</f>
        <v>UC Test Testing Firm</v>
      </c>
      <c r="FD16" s="14" t="str">
        <f>IFERROR(__xludf.DUMMYFUNCTION("""COMPUTED_VALUE"""),"https://ucld.us/_proto/index.html#ajax/AssetDetails.html?assetid=835317036")</f>
        <v>https://ucld.us/_proto/index.html#ajax/AssetDetails.html?assetid=835317036</v>
      </c>
      <c r="FE16" s="15">
        <f>IFERROR(__xludf.DUMMYFUNCTION("""COMPUTED_VALUE"""),43796.0)</f>
        <v>43796</v>
      </c>
      <c r="FF16" s="2">
        <f>IFERROR(__xludf.DUMMYFUNCTION("""COMPUTED_VALUE"""),42.77487)</f>
        <v>42.77487</v>
      </c>
      <c r="FG16" s="2">
        <f>IFERROR(__xludf.DUMMYFUNCTION("""COMPUTED_VALUE"""),-71.249246)</f>
        <v>-71.249246</v>
      </c>
      <c r="FH16" s="2" t="str">
        <f>IFERROR(__xludf.DUMMYFUNCTION("""COMPUTED_VALUE"""),"")</f>
        <v/>
      </c>
      <c r="FI16" s="2">
        <f>IFERROR(__xludf.DUMMYFUNCTION("""COMPUTED_VALUE"""),8.35317036E8)</f>
        <v>835317036</v>
      </c>
      <c r="FJ16" s="2" t="str">
        <f>IFERROR(__xludf.DUMMYFUNCTION("""COMPUTED_VALUE"""),"lsifsldf")</f>
        <v>lsifsldf</v>
      </c>
      <c r="FK16" s="2" t="str">
        <f>IFERROR(__xludf.DUMMYFUNCTION("""COMPUTED_VALUE"""),"bldg name")</f>
        <v>bldg name</v>
      </c>
      <c r="FL16" s="2" t="str">
        <f>IFERROR(__xludf.DUMMYFUNCTION("""COMPUTED_VALUE"""),"sdfj")</f>
        <v>sdfj</v>
      </c>
      <c r="FM16" s="2" t="str">
        <f>IFERROR(__xludf.DUMMYFUNCTION("""COMPUTED_VALUE"""),"sdlifiji")</f>
        <v>sdlifiji</v>
      </c>
      <c r="FN16" s="2" t="str">
        <f>IFERROR(__xludf.DUMMYFUNCTION("""COMPUTED_VALUE"""),"sljsdf")</f>
        <v>sljsdf</v>
      </c>
      <c r="FO16" s="2" t="str">
        <f>IFERROR(__xludf.DUMMYFUNCTION("""COMPUTED_VALUE"""),"ljsf")</f>
        <v>ljsf</v>
      </c>
      <c r="FP16" s="2" t="str">
        <f>IFERROR(__xludf.DUMMYFUNCTION("""COMPUTED_VALUE"""),"Milford")</f>
        <v>Milford</v>
      </c>
      <c r="FQ16" s="2" t="str">
        <f>IFERROR(__xludf.DUMMYFUNCTION("""COMPUTED_VALUE"""),"US")</f>
        <v>US</v>
      </c>
      <c r="FR16" s="2" t="str">
        <f>IFERROR(__xludf.DUMMYFUNCTION("""COMPUTED_VALUE"""),"ABC Big Company")</f>
        <v>ABC Big Company</v>
      </c>
      <c r="FS16" s="2" t="str">
        <f>IFERROR(__xludf.DUMMYFUNCTION("""COMPUTED_VALUE"""),"")</f>
        <v/>
      </c>
      <c r="FT16" s="2" t="str">
        <f>IFERROR(__xludf.DUMMYFUNCTION("""COMPUTED_VALUE"""),"Bill Williams")</f>
        <v>Bill Williams</v>
      </c>
      <c r="FU16" s="16">
        <f>IFERROR(__xludf.DUMMYFUNCTION("""COMPUTED_VALUE"""),43801.0)</f>
        <v>43801</v>
      </c>
      <c r="FV16" s="16">
        <f>IFERROR(__xludf.DUMMYFUNCTION("""COMPUTED_VALUE"""),43770.0)</f>
        <v>43770</v>
      </c>
      <c r="FW16" s="2">
        <f>IFERROR(__xludf.DUMMYFUNCTION("""COMPUTED_VALUE"""),4.0)</f>
        <v>4</v>
      </c>
      <c r="FX16" s="2">
        <f>IFERROR(__xludf.DUMMYFUNCTION("""COMPUTED_VALUE"""),3.0)</f>
        <v>3</v>
      </c>
      <c r="FY16" s="2" t="str">
        <f>IFERROR(__xludf.DUMMYFUNCTION("""COMPUTED_VALUE"""),"FM")</f>
        <v>FM</v>
      </c>
      <c r="FZ16" s="2" t="str">
        <f>IFERROR(__xludf.DUMMYFUNCTION("""COMPUTED_VALUE"""),"grlsfkkjjslfj")</f>
        <v>grlsfkkjjslfj</v>
      </c>
      <c r="GA16" s="2" t="str">
        <f>IFERROR(__xludf.DUMMYFUNCTION("""COMPUTED_VALUE"""),"gdijgs")</f>
        <v>gdijgs</v>
      </c>
      <c r="GB16" s="2" t="str">
        <f>IFERROR(__xludf.DUMMYFUNCTION("""COMPUTED_VALUE"""),"fgdfg")</f>
        <v>fgdfg</v>
      </c>
      <c r="GC16" s="2">
        <f>IFERROR(__xludf.DUMMYFUNCTION("""COMPUTED_VALUE"""),3.0)</f>
        <v>3</v>
      </c>
      <c r="GD16" s="2">
        <f>IFERROR(__xludf.DUMMYFUNCTION("""COMPUTED_VALUE"""),2.0)</f>
        <v>2</v>
      </c>
      <c r="GE16" s="2">
        <f>IFERROR(__xludf.DUMMYFUNCTION("""COMPUTED_VALUE"""),1.0)</f>
        <v>1</v>
      </c>
      <c r="GF16" s="2">
        <f>IFERROR(__xludf.DUMMYFUNCTION("""COMPUTED_VALUE"""),2.0)</f>
        <v>2</v>
      </c>
      <c r="GG16" s="2">
        <f>IFERROR(__xludf.DUMMYFUNCTION("""COMPUTED_VALUE"""),1.0)</f>
        <v>1</v>
      </c>
      <c r="GH16" s="2" t="str">
        <f>IFERROR(__xludf.DUMMYFUNCTION("""COMPUTED_VALUE"""),"dlfjgf")</f>
        <v>dlfjgf</v>
      </c>
      <c r="GI16" s="2" t="str">
        <f>IFERROR(__xludf.DUMMYFUNCTION("""COMPUTED_VALUE"""),"gdfsf")</f>
        <v>gdfsf</v>
      </c>
      <c r="GJ16" s="2" t="str">
        <f>IFERROR(__xludf.DUMMYFUNCTION("""COMPUTED_VALUE"""),"Electric Motor")</f>
        <v>Electric Motor</v>
      </c>
      <c r="GK16" s="2" t="str">
        <f>IFERROR(__xludf.DUMMYFUNCTION("""COMPUTED_VALUE"""),"")</f>
        <v/>
      </c>
      <c r="GL16" s="2" t="str">
        <f>IFERROR(__xludf.DUMMYFUNCTION("""COMPUTED_VALUE"""),"example@example.com")</f>
        <v>example@example.com</v>
      </c>
      <c r="GM16" s="2" t="str">
        <f>IFERROR(__xludf.DUMMYFUNCTION("""COMPUTED_VALUE"""),"999-999-9999")</f>
        <v>999-999-9999</v>
      </c>
      <c r="GN16" s="2" t="str">
        <f>IFERROR(__xludf.DUMMYFUNCTION("""COMPUTED_VALUE"""),"")</f>
        <v/>
      </c>
      <c r="GO16" s="2" t="str">
        <f>IFERROR(__xludf.DUMMYFUNCTION("""COMPUTED_VALUE"""),"")</f>
        <v/>
      </c>
      <c r="GP16" s="2" t="str">
        <f>IFERROR(__xludf.DUMMYFUNCTION("""COMPUTED_VALUE"""),"")</f>
        <v/>
      </c>
      <c r="GQ16" s="2">
        <f>IFERROR(__xludf.DUMMYFUNCTION("""COMPUTED_VALUE"""),3.0)</f>
        <v>3</v>
      </c>
      <c r="GR16" s="2" t="str">
        <f>IFERROR(__xludf.DUMMYFUNCTION("""COMPUTED_VALUE"""),"UL")</f>
        <v>UL</v>
      </c>
      <c r="GS16" s="2" t="str">
        <f>IFERROR(__xludf.DUMMYFUNCTION("""COMPUTED_VALUE"""),"sldf")</f>
        <v>sldf</v>
      </c>
      <c r="GT16" s="2" t="str">
        <f>IFERROR(__xludf.DUMMYFUNCTION("""COMPUTED_VALUE"""),"sflj")</f>
        <v>sflj</v>
      </c>
      <c r="GU16" s="2">
        <f>IFERROR(__xludf.DUMMYFUNCTION("""COMPUTED_VALUE"""),6.0)</f>
        <v>6</v>
      </c>
      <c r="GV16" s="2">
        <f>IFERROR(__xludf.DUMMYFUNCTION("""COMPUTED_VALUE"""),5.0)</f>
        <v>5</v>
      </c>
      <c r="GW16" s="2">
        <f>IFERROR(__xludf.DUMMYFUNCTION("""COMPUTED_VALUE"""),2.0)</f>
        <v>2</v>
      </c>
      <c r="GX16" s="2">
        <f>IFERROR(__xludf.DUMMYFUNCTION("""COMPUTED_VALUE"""),1.0)</f>
        <v>1</v>
      </c>
      <c r="GY16" s="2">
        <f>IFERROR(__xludf.DUMMYFUNCTION("""COMPUTED_VALUE"""),4.0)</f>
        <v>4</v>
      </c>
      <c r="GZ16" s="2" t="str">
        <f>IFERROR(__xludf.DUMMYFUNCTION("""COMPUTED_VALUE"""),"slkjsdfdl")</f>
        <v>slkjsdfdl</v>
      </c>
      <c r="HA16" s="2" t="str">
        <f>IFERROR(__xludf.DUMMYFUNCTION("""COMPUTED_VALUE"""),"slfj")</f>
        <v>slfj</v>
      </c>
      <c r="HB16" s="2" t="str">
        <f>IFERROR(__xludf.DUMMYFUNCTION("""COMPUTED_VALUE"""),"sdfj")</f>
        <v>sdfj</v>
      </c>
      <c r="HC16" s="2" t="str">
        <f>IFERROR(__xludf.DUMMYFUNCTION("""COMPUTED_VALUE"""),"lsflsdk")</f>
        <v>lsflsdk</v>
      </c>
      <c r="HD16" s="2">
        <f>IFERROR(__xludf.DUMMYFUNCTION("""COMPUTED_VALUE"""),120.0)</f>
        <v>120</v>
      </c>
      <c r="HE16" s="2">
        <f>IFERROR(__xludf.DUMMYFUNCTION("""COMPUTED_VALUE"""),67.0)</f>
        <v>67</v>
      </c>
      <c r="HF16" s="2">
        <f>IFERROR(__xludf.DUMMYFUNCTION("""COMPUTED_VALUE"""),100.0)</f>
        <v>100</v>
      </c>
      <c r="HG16" s="2">
        <f>IFERROR(__xludf.DUMMYFUNCTION("""COMPUTED_VALUE"""),3.0)</f>
        <v>3</v>
      </c>
      <c r="HH16" s="2" t="str">
        <f>IFERROR(__xludf.DUMMYFUNCTION("""COMPUTED_VALUE"""),"sj;")</f>
        <v>sj;</v>
      </c>
      <c r="HI16" s="2" t="str">
        <f>IFERROR(__xludf.DUMMYFUNCTION("""COMPUTED_VALUE"""),"sf;os")</f>
        <v>sf;os</v>
      </c>
      <c r="HJ16" s="2" t="str">
        <f>IFERROR(__xludf.DUMMYFUNCTION("""COMPUTED_VALUE"""),"ljsf")</f>
        <v>ljsf</v>
      </c>
      <c r="HK16" s="2" t="str">
        <f>IFERROR(__xludf.DUMMYFUNCTION("""COMPUTED_VALUE"""),"lkjsdf")</f>
        <v>lkjsdf</v>
      </c>
      <c r="HL16" s="2" t="str">
        <f>IFERROR(__xludf.DUMMYFUNCTION("""COMPUTED_VALUE"""),"")</f>
        <v/>
      </c>
      <c r="HM16" s="2" t="str">
        <f>IFERROR(__xludf.DUMMYFUNCTION("""COMPUTED_VALUE"""),"")</f>
        <v/>
      </c>
      <c r="HN16" s="2" t="str">
        <f>IFERROR(__xludf.DUMMYFUNCTION("""COMPUTED_VALUE"""),"")</f>
        <v/>
      </c>
      <c r="HO16" s="2">
        <f>IFERROR(__xludf.DUMMYFUNCTION("""COMPUTED_VALUE"""),3.0)</f>
        <v>3</v>
      </c>
      <c r="HP16" s="2" t="str">
        <f>IFERROR(__xludf.DUMMYFUNCTION("""COMPUTED_VALUE"""),"ULC")</f>
        <v>ULC</v>
      </c>
      <c r="HQ16" s="2" t="str">
        <f>IFERROR(__xludf.DUMMYFUNCTION("""COMPUTED_VALUE"""),"gkiksjf")</f>
        <v>gkiksjf</v>
      </c>
      <c r="HR16" s="2" t="str">
        <f>IFERROR(__xludf.DUMMYFUNCTION("""COMPUTED_VALUE"""),"OJSFDLJ")</f>
        <v>OJSFDLJ</v>
      </c>
      <c r="HS16" s="2">
        <f>IFERROR(__xludf.DUMMYFUNCTION("""COMPUTED_VALUE"""),6.0)</f>
        <v>6</v>
      </c>
      <c r="HT16" s="2">
        <f>IFERROR(__xludf.DUMMYFUNCTION("""COMPUTED_VALUE"""),5.0)</f>
        <v>5</v>
      </c>
      <c r="HU16" s="2">
        <f>IFERROR(__xludf.DUMMYFUNCTION("""COMPUTED_VALUE"""),2.0)</f>
        <v>2</v>
      </c>
      <c r="HV16" s="2">
        <f>IFERROR(__xludf.DUMMYFUNCTION("""COMPUTED_VALUE"""),1.0)</f>
        <v>1</v>
      </c>
      <c r="HW16" s="2">
        <f>IFERROR(__xludf.DUMMYFUNCTION("""COMPUTED_VALUE"""),4.0)</f>
        <v>4</v>
      </c>
      <c r="HX16" s="2" t="str">
        <f>IFERROR(__xludf.DUMMYFUNCTION("""COMPUTED_VALUE"""),"SSL")</f>
        <v>SSL</v>
      </c>
      <c r="HY16" s="2">
        <f>IFERROR(__xludf.DUMMYFUNCTION("""COMPUTED_VALUE"""),3.0)</f>
        <v>3</v>
      </c>
      <c r="HZ16" s="2">
        <f>IFERROR(__xludf.DUMMYFUNCTION("""COMPUTED_VALUE"""),7.0)</f>
        <v>7</v>
      </c>
      <c r="IA16" s="2" t="str">
        <f>IFERROR(__xludf.DUMMYFUNCTION("""COMPUTED_VALUE"""),"sdfljsd")</f>
        <v>sdfljsd</v>
      </c>
      <c r="IB16" s="2" t="str">
        <f>IFERROR(__xludf.DUMMYFUNCTION("""COMPUTED_VALUE"""),"gierp")</f>
        <v>gierp</v>
      </c>
      <c r="IC16" s="2">
        <f>IFERROR(__xludf.DUMMYFUNCTION("""COMPUTED_VALUE"""),2.0)</f>
        <v>2</v>
      </c>
      <c r="ID16" s="2">
        <f>IFERROR(__xludf.DUMMYFUNCTION("""COMPUTED_VALUE"""),6.0)</f>
        <v>6</v>
      </c>
      <c r="IE16" s="2">
        <f>IFERROR(__xludf.DUMMYFUNCTION("""COMPUTED_VALUE"""),3.0)</f>
        <v>3</v>
      </c>
      <c r="IF16" s="2">
        <f>IFERROR(__xludf.DUMMYFUNCTION("""COMPUTED_VALUE"""),1.0)</f>
        <v>1</v>
      </c>
      <c r="IG16" s="2">
        <f>IFERROR(__xludf.DUMMYFUNCTION("""COMPUTED_VALUE"""),4.0)</f>
        <v>4</v>
      </c>
      <c r="IH16" s="2">
        <f>IFERROR(__xludf.DUMMYFUNCTION("""COMPUTED_VALUE"""),2.0)</f>
        <v>2</v>
      </c>
      <c r="II16" s="2">
        <f>IFERROR(__xludf.DUMMYFUNCTION("""COMPUTED_VALUE"""),4.0)</f>
        <v>4</v>
      </c>
      <c r="IJ16" s="2" t="str">
        <f>IFERROR(__xludf.DUMMYFUNCTION("""COMPUTED_VALUE"""),"grgdfl")</f>
        <v>grgdfl</v>
      </c>
      <c r="IK16" s="2">
        <f>IFERROR(__xludf.DUMMYFUNCTION("""COMPUTED_VALUE"""),5.0)</f>
        <v>5</v>
      </c>
      <c r="IL16" s="2" t="str">
        <f>IFERROR(__xludf.DUMMYFUNCTION("""COMPUTED_VALUE"""),"FM")</f>
        <v>FM</v>
      </c>
      <c r="IM16" s="2" t="str">
        <f>IFERROR(__xludf.DUMMYFUNCTION("""COMPUTED_VALUE"""),"grrgrg")</f>
        <v>grrgrg</v>
      </c>
      <c r="IN16" s="2" t="str">
        <f>IFERROR(__xludf.DUMMYFUNCTION("""COMPUTED_VALUE"""),"rthrt")</f>
        <v>rthrt</v>
      </c>
      <c r="IO16" s="2" t="str">
        <f>IFERROR(__xludf.DUMMYFUNCTION("""COMPUTED_VALUE"""),"dfjsdfljsd")</f>
        <v>dfjsdfljsd</v>
      </c>
      <c r="IP16" s="2" t="str">
        <f>IFERROR(__xludf.DUMMYFUNCTION("""COMPUTED_VALUE"""),"")</f>
        <v/>
      </c>
      <c r="IQ16" s="2" t="str">
        <f>IFERROR(__xludf.DUMMYFUNCTION("""COMPUTED_VALUE"""),"999-999-9999")</f>
        <v>999-999-9999</v>
      </c>
      <c r="IR16" s="2" t="str">
        <f>IFERROR(__xludf.DUMMYFUNCTION("""COMPUTED_VALUE"""),"clockwise")</f>
        <v>clockwise</v>
      </c>
      <c r="IS16" s="2" t="str">
        <f>IFERROR(__xludf.DUMMYFUNCTION("""COMPUTED_VALUE"""),"end-suction")</f>
        <v>end-suction</v>
      </c>
      <c r="IT16" s="2">
        <f>IFERROR(__xludf.DUMMYFUNCTION("""COMPUTED_VALUE"""),1000.0)</f>
        <v>1000</v>
      </c>
      <c r="IU16" s="2">
        <f>IFERROR(__xludf.DUMMYFUNCTION("""COMPUTED_VALUE"""),3500.0)</f>
        <v>3500</v>
      </c>
      <c r="IV16" s="2" t="str">
        <f>IFERROR(__xludf.DUMMYFUNCTION("""COMPUTED_VALUE"""),"sfpu")</f>
        <v>sfpu</v>
      </c>
      <c r="IW16" s="2" t="str">
        <f>IFERROR(__xludf.DUMMYFUNCTION("""COMPUTED_VALUE"""),"UL")</f>
        <v>UL</v>
      </c>
      <c r="IX16" s="2" t="str">
        <f>IFERROR(__xludf.DUMMYFUNCTION("""COMPUTED_VALUE"""),"dgdln")</f>
        <v>dgdln</v>
      </c>
      <c r="IY16" s="2" t="str">
        <f>IFERROR(__xludf.DUMMYFUNCTION("""COMPUTED_VALUE"""),"ssdfl")</f>
        <v>ssdfl</v>
      </c>
      <c r="IZ16" s="2" t="str">
        <f>IFERROR(__xludf.DUMMYFUNCTION("""COMPUTED_VALUE"""),"lijsfljsd")</f>
        <v>lijsfljsd</v>
      </c>
      <c r="JA16" s="2" t="str">
        <f>IFERROR(__xludf.DUMMYFUNCTION("""COMPUTED_VALUE"""),"")</f>
        <v/>
      </c>
      <c r="JB16" s="2" t="str">
        <f>IFERROR(__xludf.DUMMYFUNCTION("""COMPUTED_VALUE"""),"jlj")</f>
        <v>jlj</v>
      </c>
      <c r="JC16" s="2" t="str">
        <f>IFERROR(__xludf.DUMMYFUNCTION("""COMPUTED_VALUE"""),"NH")</f>
        <v>NH</v>
      </c>
      <c r="JD16" s="2" t="str">
        <f>IFERROR(__xludf.DUMMYFUNCTION("""COMPUTED_VALUE"""),"123 ABC Street")</f>
        <v>123 ABC Street</v>
      </c>
      <c r="JE16" s="2" t="str">
        <f>IFERROR(__xludf.DUMMYFUNCTION("""COMPUTED_VALUE"""),"Suite 1")</f>
        <v>Suite 1</v>
      </c>
      <c r="JF16" s="2" t="str">
        <f>IFERROR(__xludf.DUMMYFUNCTION("""COMPUTED_VALUE"""),"ffdsfs")</f>
        <v>ffdsfs</v>
      </c>
      <c r="JG16" s="2">
        <f>IFERROR(__xludf.DUMMYFUNCTION("""COMPUTED_VALUE"""),2.0)</f>
        <v>2</v>
      </c>
      <c r="JH16" s="2">
        <f>IFERROR(__xludf.DUMMYFUNCTION("""COMPUTED_VALUE"""),1.0)</f>
        <v>1</v>
      </c>
      <c r="JI16" s="2" t="str">
        <f>IFERROR(__xludf.DUMMYFUNCTION("""COMPUTED_VALUE"""),"Joseph Smith")</f>
        <v>Joseph Smith</v>
      </c>
      <c r="JJ16" s="2">
        <f>IFERROR(__xludf.DUMMYFUNCTION("""COMPUTED_VALUE"""),1.23456789E8)</f>
        <v>123456789</v>
      </c>
      <c r="JK16" s="2" t="str">
        <f>IFERROR(__xludf.DUMMYFUNCTION("""COMPUTED_VALUE"""),"")</f>
        <v/>
      </c>
      <c r="JL16" s="14" t="str">
        <f>IFERROR(__xludf.DUMMYFUNCTION("""COMPUTED_VALUE"""),"https://s3.amazonaws.com/UcAssetDataProduction/8ffa21a4-feeb-4341-b99f-0ff6134736c7.jpg")</f>
        <v>https://s3.amazonaws.com/UcAssetDataProduction/8ffa21a4-feeb-4341-b99f-0ff6134736c7.jpg</v>
      </c>
      <c r="JM16" s="2" t="str">
        <f>IFERROR(__xludf.DUMMYFUNCTION("""COMPUTED_VALUE"""),"My Testing Firm Name")</f>
        <v>My Testing Firm Name</v>
      </c>
      <c r="JN16" s="2">
        <f>IFERROR(__xludf.DUMMYFUNCTION("""COMPUTED_VALUE"""),231.0)</f>
        <v>231</v>
      </c>
      <c r="JO16" s="2">
        <f>IFERROR(__xludf.DUMMYFUNCTION("""COMPUTED_VALUE"""),3055.0)</f>
        <v>3055</v>
      </c>
      <c r="JP16" s="2" t="str">
        <f>IFERROR(__xludf.DUMMYFUNCTION("""COMPUTED_VALUE"""),"AESC Admin - Hose Monster")</f>
        <v>AESC Admin - Hose Monster</v>
      </c>
      <c r="JQ16" s="2" t="str">
        <f>IFERROR(__xludf.DUMMYFUNCTION("""COMPUTED_VALUE"""),"")</f>
        <v/>
      </c>
      <c r="JR16" s="2" t="str">
        <f>IFERROR(__xludf.DUMMYFUNCTION("""COMPUTED_VALUE"""),"")</f>
        <v/>
      </c>
      <c r="JS16" s="2" t="str">
        <f>IFERROR(__xludf.DUMMYFUNCTION("""COMPUTED_VALUE"""),"")</f>
        <v/>
      </c>
      <c r="JT16" s="2" t="str">
        <f>IFERROR(__xludf.DUMMYFUNCTION("""COMPUTED_VALUE"""),"")</f>
        <v/>
      </c>
      <c r="JU16" s="2" t="str">
        <f>IFERROR(__xludf.DUMMYFUNCTION("""COMPUTED_VALUE"""),"603-111-2222")</f>
        <v>603-111-2222</v>
      </c>
      <c r="JV16" s="2" t="str">
        <f>IFERROR(__xludf.DUMMYFUNCTION("""COMPUTED_VALUE"""),"AESC Admin - Hose Monster")</f>
        <v>AESC Admin - Hose Monster</v>
      </c>
      <c r="JW16" s="15">
        <f>IFERROR(__xludf.DUMMYFUNCTION("""COMPUTED_VALUE"""),43865.71989583333)</f>
        <v>43865.7199</v>
      </c>
      <c r="JX16" s="2" t="str">
        <f>IFERROR(__xludf.DUMMYFUNCTION("""COMPUTED_VALUE"""),"")</f>
        <v/>
      </c>
      <c r="JY16" s="2" t="str">
        <f>IFERROR(__xludf.DUMMYFUNCTION("""COMPUTED_VALUE"""),"sdfsdf")</f>
        <v>sdfsdf</v>
      </c>
      <c r="JZ16" s="2" t="str">
        <f>IFERROR(__xludf.DUMMYFUNCTION("""COMPUTED_VALUE"""),"Minor")</f>
        <v>Minor</v>
      </c>
      <c r="KA16" s="2" t="str">
        <f>IFERROR(__xludf.DUMMYFUNCTION("""COMPUTED_VALUE"""),"Complete")</f>
        <v>Complete</v>
      </c>
      <c r="KB16" s="2" t="str">
        <f>IFERROR(__xludf.DUMMYFUNCTION("""COMPUTED_VALUE"""),"PM")</f>
        <v>PM</v>
      </c>
    </row>
    <row r="17">
      <c r="A17" s="15">
        <f>IFERROR(__xludf.DUMMYFUNCTION("""COMPUTED_VALUE"""),43865.51819444444)</f>
        <v>43865.51819</v>
      </c>
      <c r="B17" s="2" t="str">
        <f>IFERROR(__xludf.DUMMYFUNCTION("""COMPUTED_VALUE"""),"AESC Admin - Hose Monster")</f>
        <v>AESC Admin - Hose Monster</v>
      </c>
      <c r="C17" s="2" t="str">
        <f>IFERROR(__xludf.DUMMYFUNCTION("""COMPUTED_VALUE"""),"")</f>
        <v/>
      </c>
      <c r="D17" s="2">
        <f>IFERROR(__xludf.DUMMYFUNCTION("""COMPUTED_VALUE"""),8.65336944E8)</f>
        <v>865336944</v>
      </c>
      <c r="E17" s="15">
        <f>IFERROR(__xludf.DUMMYFUNCTION("""COMPUTED_VALUE"""),43865.0)</f>
        <v>43865</v>
      </c>
      <c r="F17" s="2" t="str">
        <f>IFERROR(__xludf.DUMMYFUNCTION("""COMPUTED_VALUE"""),"")</f>
        <v/>
      </c>
      <c r="G17" s="2" t="str">
        <f>IFERROR(__xludf.DUMMYFUNCTION("""COMPUTED_VALUE"""),"")</f>
        <v/>
      </c>
      <c r="H17" s="2" t="str">
        <f>IFERROR(__xludf.DUMMYFUNCTION("""COMPUTED_VALUE"""),"")</f>
        <v/>
      </c>
      <c r="I17" s="2" t="str">
        <f>IFERROR(__xludf.DUMMYFUNCTION("""COMPUTED_VALUE"""),"")</f>
        <v/>
      </c>
      <c r="J17" s="2" t="str">
        <f>IFERROR(__xludf.DUMMYFUNCTION("""COMPUTED_VALUE"""),"")</f>
        <v/>
      </c>
      <c r="K17" s="2" t="str">
        <f>IFERROR(__xludf.DUMMYFUNCTION("""COMPUTED_VALUE"""),"1 1/2"" In-line Pitotless Nozzle")</f>
        <v>1 1/2" In-line Pitotless Nozzle</v>
      </c>
      <c r="L17" s="2" t="str">
        <f>IFERROR(__xludf.DUMMYFUNCTION("""COMPUTED_VALUE"""),"In-line Pitotless Nozzle")</f>
        <v>In-line Pitotless Nozzle</v>
      </c>
      <c r="M17" s="2">
        <f>IFERROR(__xludf.DUMMYFUNCTION("""COMPUTED_VALUE"""),2.0)</f>
        <v>2</v>
      </c>
      <c r="N17" s="2">
        <f>IFERROR(__xludf.DUMMYFUNCTION("""COMPUTED_VALUE"""),3570.0)</f>
        <v>3570</v>
      </c>
      <c r="O17" s="2">
        <f>IFERROR(__xludf.DUMMYFUNCTION("""COMPUTED_VALUE"""),160.0)</f>
        <v>160</v>
      </c>
      <c r="P17" s="2">
        <f>IFERROR(__xludf.DUMMYFUNCTION("""COMPUTED_VALUE"""),44.0)</f>
        <v>44</v>
      </c>
      <c r="Q17" s="2">
        <f>IFERROR(__xludf.DUMMYFUNCTION("""COMPUTED_VALUE"""),116.0)</f>
        <v>116</v>
      </c>
      <c r="R17" s="2" t="str">
        <f>IFERROR(__xludf.DUMMYFUNCTION("""COMPUTED_VALUE"""),"1 1/2"" In-line Pitotless Nozzle")</f>
        <v>1 1/2" In-line Pitotless Nozzle</v>
      </c>
      <c r="S17" s="2">
        <f>IFERROR(__xludf.DUMMYFUNCTION("""COMPUTED_VALUE"""),8.0)</f>
        <v>8</v>
      </c>
      <c r="T17" s="2">
        <f>IFERROR(__xludf.DUMMYFUNCTION("""COMPUTED_VALUE"""),252.0)</f>
        <v>252</v>
      </c>
      <c r="U17" s="2" t="str">
        <f>IFERROR(__xludf.DUMMYFUNCTION("""COMPUTED_VALUE"""),"")</f>
        <v/>
      </c>
      <c r="V17" s="2" t="str">
        <f>IFERROR(__xludf.DUMMYFUNCTION("""COMPUTED_VALUE"""),"1 1/2"" In-line Pitotless Nozzle")</f>
        <v>1 1/2" In-line Pitotless Nozzle</v>
      </c>
      <c r="W17" s="2">
        <f>IFERROR(__xludf.DUMMYFUNCTION("""COMPUTED_VALUE"""),9.0)</f>
        <v>9</v>
      </c>
      <c r="X17" s="2">
        <f>IFERROR(__xludf.DUMMYFUNCTION("""COMPUTED_VALUE"""),267.0)</f>
        <v>267</v>
      </c>
      <c r="Y17" s="2" t="str">
        <f>IFERROR(__xludf.DUMMYFUNCTION("""COMPUTED_VALUE"""),"")</f>
        <v/>
      </c>
      <c r="Z17" s="2" t="str">
        <f>IFERROR(__xludf.DUMMYFUNCTION("""COMPUTED_VALUE"""),"")</f>
        <v/>
      </c>
      <c r="AA17" s="2" t="str">
        <f>IFERROR(__xludf.DUMMYFUNCTION("""COMPUTED_VALUE"""),"")</f>
        <v/>
      </c>
      <c r="AB17" s="2" t="str">
        <f>IFERROR(__xludf.DUMMYFUNCTION("""COMPUTED_VALUE"""),"")</f>
        <v/>
      </c>
      <c r="AC17" s="2" t="str">
        <f>IFERROR(__xludf.DUMMYFUNCTION("""COMPUTED_VALUE"""),"")</f>
        <v/>
      </c>
      <c r="AD17" s="2" t="str">
        <f>IFERROR(__xludf.DUMMYFUNCTION("""COMPUTED_VALUE"""),"")</f>
        <v/>
      </c>
      <c r="AE17" s="2" t="str">
        <f>IFERROR(__xludf.DUMMYFUNCTION("""COMPUTED_VALUE"""),"")</f>
        <v/>
      </c>
      <c r="AF17" s="2" t="str">
        <f>IFERROR(__xludf.DUMMYFUNCTION("""COMPUTED_VALUE"""),"")</f>
        <v/>
      </c>
      <c r="AG17" s="2" t="str">
        <f>IFERROR(__xludf.DUMMYFUNCTION("""COMPUTED_VALUE"""),"")</f>
        <v/>
      </c>
      <c r="AH17" s="2" t="str">
        <f>IFERROR(__xludf.DUMMYFUNCTION("""COMPUTED_VALUE"""),"")</f>
        <v/>
      </c>
      <c r="AI17" s="2" t="str">
        <f>IFERROR(__xludf.DUMMYFUNCTION("""COMPUTED_VALUE"""),"")</f>
        <v/>
      </c>
      <c r="AJ17" s="2" t="str">
        <f>IFERROR(__xludf.DUMMYFUNCTION("""COMPUTED_VALUE"""),"")</f>
        <v/>
      </c>
      <c r="AK17" s="2" t="str">
        <f>IFERROR(__xludf.DUMMYFUNCTION("""COMPUTED_VALUE"""),"")</f>
        <v/>
      </c>
      <c r="AL17" s="2" t="str">
        <f>IFERROR(__xludf.DUMMYFUNCTION("""COMPUTED_VALUE"""),"")</f>
        <v/>
      </c>
      <c r="AM17" s="2" t="str">
        <f>IFERROR(__xludf.DUMMYFUNCTION("""COMPUTED_VALUE"""),"")</f>
        <v/>
      </c>
      <c r="AN17" s="2" t="str">
        <f>IFERROR(__xludf.DUMMYFUNCTION("""COMPUTED_VALUE"""),"")</f>
        <v/>
      </c>
      <c r="AO17" s="2" t="str">
        <f>IFERROR(__xludf.DUMMYFUNCTION("""COMPUTED_VALUE"""),"")</f>
        <v/>
      </c>
      <c r="AP17" s="2" t="str">
        <f>IFERROR(__xludf.DUMMYFUNCTION("""COMPUTED_VALUE"""),"")</f>
        <v/>
      </c>
      <c r="AQ17" s="2" t="str">
        <f>IFERROR(__xludf.DUMMYFUNCTION("""COMPUTED_VALUE"""),"")</f>
        <v/>
      </c>
      <c r="AR17" s="2" t="str">
        <f>IFERROR(__xludf.DUMMYFUNCTION("""COMPUTED_VALUE"""),"")</f>
        <v/>
      </c>
      <c r="AS17" s="2" t="str">
        <f>IFERROR(__xludf.DUMMYFUNCTION("""COMPUTED_VALUE"""),"")</f>
        <v/>
      </c>
      <c r="AT17" s="2" t="str">
        <f>IFERROR(__xludf.DUMMYFUNCTION("""COMPUTED_VALUE"""),"")</f>
        <v/>
      </c>
      <c r="AU17" s="2" t="str">
        <f>IFERROR(__xludf.DUMMYFUNCTION("""COMPUTED_VALUE"""),"")</f>
        <v/>
      </c>
      <c r="AV17" s="2" t="str">
        <f>IFERROR(__xludf.DUMMYFUNCTION("""COMPUTED_VALUE"""),"")</f>
        <v/>
      </c>
      <c r="AW17" s="2" t="str">
        <f>IFERROR(__xludf.DUMMYFUNCTION("""COMPUTED_VALUE"""),"")</f>
        <v/>
      </c>
      <c r="AX17" s="2" t="str">
        <f>IFERROR(__xludf.DUMMYFUNCTION("""COMPUTED_VALUE"""),"")</f>
        <v/>
      </c>
      <c r="AY17" s="2" t="str">
        <f>IFERROR(__xludf.DUMMYFUNCTION("""COMPUTED_VALUE"""),"")</f>
        <v/>
      </c>
      <c r="AZ17" s="2" t="str">
        <f>IFERROR(__xludf.DUMMYFUNCTION("""COMPUTED_VALUE"""),"")</f>
        <v/>
      </c>
      <c r="BA17" s="2" t="str">
        <f>IFERROR(__xludf.DUMMYFUNCTION("""COMPUTED_VALUE"""),"")</f>
        <v/>
      </c>
      <c r="BB17" s="2" t="str">
        <f>IFERROR(__xludf.DUMMYFUNCTION("""COMPUTED_VALUE"""),"")</f>
        <v/>
      </c>
      <c r="BC17" s="2" t="str">
        <f>IFERROR(__xludf.DUMMYFUNCTION("""COMPUTED_VALUE"""),"")</f>
        <v/>
      </c>
      <c r="BD17" s="2" t="str">
        <f>IFERROR(__xludf.DUMMYFUNCTION("""COMPUTED_VALUE"""),"")</f>
        <v/>
      </c>
      <c r="BE17" s="2" t="str">
        <f>IFERROR(__xludf.DUMMYFUNCTION("""COMPUTED_VALUE"""),"")</f>
        <v/>
      </c>
      <c r="BF17" s="2" t="str">
        <f>IFERROR(__xludf.DUMMYFUNCTION("""COMPUTED_VALUE"""),"")</f>
        <v/>
      </c>
      <c r="BG17" s="2" t="str">
        <f>IFERROR(__xludf.DUMMYFUNCTION("""COMPUTED_VALUE"""),"")</f>
        <v/>
      </c>
      <c r="BH17" s="2">
        <f>IFERROR(__xludf.DUMMYFUNCTION("""COMPUTED_VALUE"""),2.0)</f>
        <v>2</v>
      </c>
      <c r="BI17" s="2" t="str">
        <f>IFERROR(__xludf.DUMMYFUNCTION("""COMPUTED_VALUE"""),"")</f>
        <v/>
      </c>
      <c r="BJ17" s="2">
        <f>IFERROR(__xludf.DUMMYFUNCTION("""COMPUTED_VALUE"""),519.0)</f>
        <v>519</v>
      </c>
      <c r="BK17" s="2">
        <f>IFERROR(__xludf.DUMMYFUNCTION("""COMPUTED_VALUE"""),51.9)</f>
        <v>51.9</v>
      </c>
      <c r="BL17" s="2">
        <f>IFERROR(__xludf.DUMMYFUNCTION("""COMPUTED_VALUE"""),487.0)</f>
        <v>487</v>
      </c>
      <c r="BM17" s="2">
        <f>IFERROR(__xludf.DUMMYFUNCTION("""COMPUTED_VALUE"""),82.0)</f>
        <v>82</v>
      </c>
      <c r="BN17" s="2" t="str">
        <f>IFERROR(__xludf.DUMMYFUNCTION("""COMPUTED_VALUE"""),"")</f>
        <v/>
      </c>
      <c r="BO17" s="2">
        <f>IFERROR(__xludf.DUMMYFUNCTION("""COMPUTED_VALUE"""),50.9)</f>
        <v>50.9</v>
      </c>
      <c r="BP17" s="2">
        <f>IFERROR(__xludf.DUMMYFUNCTION("""COMPUTED_VALUE"""),111.5)</f>
        <v>111.5</v>
      </c>
      <c r="BQ17" s="2">
        <f>IFERROR(__xludf.DUMMYFUNCTION("""COMPUTED_VALUE"""),491.0)</f>
        <v>491</v>
      </c>
      <c r="BR17" s="2">
        <f>IFERROR(__xludf.DUMMYFUNCTION("""COMPUTED_VALUE"""),488.0)</f>
        <v>488</v>
      </c>
      <c r="BS17" s="2">
        <f>IFERROR(__xludf.DUMMYFUNCTION("""COMPUTED_VALUE"""),85.0)</f>
        <v>85</v>
      </c>
      <c r="BT17" s="2">
        <f>IFERROR(__xludf.DUMMYFUNCTION("""COMPUTED_VALUE"""),87.0)</f>
        <v>87</v>
      </c>
      <c r="BU17" s="2" t="b">
        <f>IFERROR(__xludf.DUMMYFUNCTION("""COMPUTED_VALUE"""),FALSE)</f>
        <v>0</v>
      </c>
      <c r="BV17" s="2" t="str">
        <f>IFERROR(__xludf.DUMMYFUNCTION("""COMPUTED_VALUE"""),"")</f>
        <v/>
      </c>
      <c r="BW17" s="2" t="str">
        <f>IFERROR(__xludf.DUMMYFUNCTION("""COMPUTED_VALUE"""),"")</f>
        <v/>
      </c>
      <c r="BX17" s="2" t="str">
        <f>IFERROR(__xludf.DUMMYFUNCTION("""COMPUTED_VALUE"""),"")</f>
        <v/>
      </c>
      <c r="BY17" s="2" t="str">
        <f>IFERROR(__xludf.DUMMYFUNCTION("""COMPUTED_VALUE"""),"")</f>
        <v/>
      </c>
      <c r="BZ17" s="2" t="str">
        <f>IFERROR(__xludf.DUMMYFUNCTION("""COMPUTED_VALUE"""),"")</f>
        <v/>
      </c>
      <c r="CA17" s="2" t="str">
        <f>IFERROR(__xludf.DUMMYFUNCTION("""COMPUTED_VALUE"""),"")</f>
        <v/>
      </c>
      <c r="CB17" s="2" t="str">
        <f>IFERROR(__xludf.DUMMYFUNCTION("""COMPUTED_VALUE"""),"")</f>
        <v/>
      </c>
      <c r="CC17" s="2" t="str">
        <f>IFERROR(__xludf.DUMMYFUNCTION("""COMPUTED_VALUE"""),"")</f>
        <v/>
      </c>
      <c r="CD17" s="2" t="str">
        <f>IFERROR(__xludf.DUMMYFUNCTION("""COMPUTED_VALUE"""),"")</f>
        <v/>
      </c>
      <c r="CE17" s="2" t="str">
        <f>IFERROR(__xludf.DUMMYFUNCTION("""COMPUTED_VALUE"""),"")</f>
        <v/>
      </c>
      <c r="CF17" s="2" t="str">
        <f>IFERROR(__xludf.DUMMYFUNCTION("""COMPUTED_VALUE"""),"")</f>
        <v/>
      </c>
      <c r="CG17" s="2" t="str">
        <f>IFERROR(__xludf.DUMMYFUNCTION("""COMPUTED_VALUE"""),"")</f>
        <v/>
      </c>
      <c r="CH17" s="2" t="str">
        <f>IFERROR(__xludf.DUMMYFUNCTION("""COMPUTED_VALUE"""),"")</f>
        <v/>
      </c>
      <c r="CI17" s="2" t="str">
        <f>IFERROR(__xludf.DUMMYFUNCTION("""COMPUTED_VALUE"""),"")</f>
        <v/>
      </c>
      <c r="CJ17" s="2" t="str">
        <f>IFERROR(__xludf.DUMMYFUNCTION("""COMPUTED_VALUE"""),"")</f>
        <v/>
      </c>
      <c r="CK17" s="2" t="str">
        <f>IFERROR(__xludf.DUMMYFUNCTION("""COMPUTED_VALUE"""),"")</f>
        <v/>
      </c>
      <c r="CL17" s="2" t="str">
        <f>IFERROR(__xludf.DUMMYFUNCTION("""COMPUTED_VALUE"""),"")</f>
        <v/>
      </c>
      <c r="CM17" s="2" t="str">
        <f>IFERROR(__xludf.DUMMYFUNCTION("""COMPUTED_VALUE"""),"")</f>
        <v/>
      </c>
      <c r="CN17" s="2" t="str">
        <f>IFERROR(__xludf.DUMMYFUNCTION("""COMPUTED_VALUE"""),"")</f>
        <v/>
      </c>
      <c r="CO17" s="2" t="str">
        <f>IFERROR(__xludf.DUMMYFUNCTION("""COMPUTED_VALUE"""),"")</f>
        <v/>
      </c>
      <c r="CP17" s="2" t="str">
        <f>IFERROR(__xludf.DUMMYFUNCTION("""COMPUTED_VALUE"""),"")</f>
        <v/>
      </c>
      <c r="CQ17" s="2" t="str">
        <f>IFERROR(__xludf.DUMMYFUNCTION("""COMPUTED_VALUE"""),"")</f>
        <v/>
      </c>
      <c r="CR17" s="2" t="str">
        <f>IFERROR(__xludf.DUMMYFUNCTION("""COMPUTED_VALUE"""),"")</f>
        <v/>
      </c>
      <c r="CS17" s="2" t="str">
        <f>IFERROR(__xludf.DUMMYFUNCTION("""COMPUTED_VALUE"""),"")</f>
        <v/>
      </c>
      <c r="CT17" s="2" t="str">
        <f>IFERROR(__xludf.DUMMYFUNCTION("""COMPUTED_VALUE"""),"")</f>
        <v/>
      </c>
      <c r="CU17" s="2" t="str">
        <f>IFERROR(__xludf.DUMMYFUNCTION("""COMPUTED_VALUE"""),"")</f>
        <v/>
      </c>
      <c r="CV17" s="2" t="str">
        <f>IFERROR(__xludf.DUMMYFUNCTION("""COMPUTED_VALUE"""),"")</f>
        <v/>
      </c>
      <c r="CW17" s="2" t="str">
        <f>IFERROR(__xludf.DUMMYFUNCTION("""COMPUTED_VALUE"""),"")</f>
        <v/>
      </c>
      <c r="CX17" s="2" t="str">
        <f>IFERROR(__xludf.DUMMYFUNCTION("""COMPUTED_VALUE"""),"")</f>
        <v/>
      </c>
      <c r="CY17" s="2" t="str">
        <f>IFERROR(__xludf.DUMMYFUNCTION("""COMPUTED_VALUE"""),"")</f>
        <v/>
      </c>
      <c r="CZ17" s="2" t="str">
        <f>IFERROR(__xludf.DUMMYFUNCTION("""COMPUTED_VALUE"""),"")</f>
        <v/>
      </c>
      <c r="DA17" s="2" t="str">
        <f>IFERROR(__xludf.DUMMYFUNCTION("""COMPUTED_VALUE"""),"")</f>
        <v/>
      </c>
      <c r="DB17" s="2" t="str">
        <f>IFERROR(__xludf.DUMMYFUNCTION("""COMPUTED_VALUE"""),"")</f>
        <v/>
      </c>
      <c r="DC17" s="2" t="str">
        <f>IFERROR(__xludf.DUMMYFUNCTION("""COMPUTED_VALUE"""),"")</f>
        <v/>
      </c>
      <c r="DD17" s="2" t="str">
        <f>IFERROR(__xludf.DUMMYFUNCTION("""COMPUTED_VALUE"""),"")</f>
        <v/>
      </c>
      <c r="DE17" s="2" t="str">
        <f>IFERROR(__xludf.DUMMYFUNCTION("""COMPUTED_VALUE"""),"")</f>
        <v/>
      </c>
      <c r="DF17" s="2" t="str">
        <f>IFERROR(__xludf.DUMMYFUNCTION("""COMPUTED_VALUE"""),"")</f>
        <v/>
      </c>
      <c r="DG17" s="2" t="str">
        <f>IFERROR(__xludf.DUMMYFUNCTION("""COMPUTED_VALUE"""),"")</f>
        <v/>
      </c>
      <c r="DH17" s="2" t="str">
        <f>IFERROR(__xludf.DUMMYFUNCTION("""COMPUTED_VALUE"""),"")</f>
        <v/>
      </c>
      <c r="DI17" s="2" t="str">
        <f>IFERROR(__xludf.DUMMYFUNCTION("""COMPUTED_VALUE"""),"")</f>
        <v/>
      </c>
      <c r="DJ17" s="2" t="str">
        <f>IFERROR(__xludf.DUMMYFUNCTION("""COMPUTED_VALUE"""),"")</f>
        <v/>
      </c>
      <c r="DK17" s="2" t="str">
        <f>IFERROR(__xludf.DUMMYFUNCTION("""COMPUTED_VALUE"""),"")</f>
        <v/>
      </c>
      <c r="DL17" s="2" t="str">
        <f>IFERROR(__xludf.DUMMYFUNCTION("""COMPUTED_VALUE"""),"")</f>
        <v/>
      </c>
      <c r="DM17" s="2" t="str">
        <f>IFERROR(__xludf.DUMMYFUNCTION("""COMPUTED_VALUE"""),"")</f>
        <v/>
      </c>
      <c r="DN17" s="2" t="str">
        <f>IFERROR(__xludf.DUMMYFUNCTION("""COMPUTED_VALUE"""),"")</f>
        <v/>
      </c>
      <c r="DO17" s="2" t="str">
        <f>IFERROR(__xludf.DUMMYFUNCTION("""COMPUTED_VALUE"""),"")</f>
        <v/>
      </c>
      <c r="DP17" s="2" t="str">
        <f>IFERROR(__xludf.DUMMYFUNCTION("""COMPUTED_VALUE"""),"")</f>
        <v/>
      </c>
      <c r="DQ17" s="2" t="str">
        <f>IFERROR(__xludf.DUMMYFUNCTION("""COMPUTED_VALUE"""),"")</f>
        <v/>
      </c>
      <c r="DR17" s="2" t="str">
        <f>IFERROR(__xludf.DUMMYFUNCTION("""COMPUTED_VALUE"""),"")</f>
        <v/>
      </c>
      <c r="DS17" s="2" t="str">
        <f>IFERROR(__xludf.DUMMYFUNCTION("""COMPUTED_VALUE"""),"")</f>
        <v/>
      </c>
      <c r="DT17" s="2" t="str">
        <f>IFERROR(__xludf.DUMMYFUNCTION("""COMPUTED_VALUE"""),"")</f>
        <v/>
      </c>
      <c r="DU17" s="2" t="str">
        <f>IFERROR(__xludf.DUMMYFUNCTION("""COMPUTED_VALUE"""),"")</f>
        <v/>
      </c>
      <c r="DV17" s="2" t="str">
        <f>IFERROR(__xludf.DUMMYFUNCTION("""COMPUTED_VALUE"""),"")</f>
        <v/>
      </c>
      <c r="DW17" s="2" t="str">
        <f>IFERROR(__xludf.DUMMYFUNCTION("""COMPUTED_VALUE"""),"")</f>
        <v/>
      </c>
      <c r="DX17" s="2" t="str">
        <f>IFERROR(__xludf.DUMMYFUNCTION("""COMPUTED_VALUE"""),"")</f>
        <v/>
      </c>
      <c r="DY17" s="2" t="str">
        <f>IFERROR(__xludf.DUMMYFUNCTION("""COMPUTED_VALUE"""),"")</f>
        <v/>
      </c>
      <c r="DZ17" s="2" t="str">
        <f>IFERROR(__xludf.DUMMYFUNCTION("""COMPUTED_VALUE"""),"")</f>
        <v/>
      </c>
      <c r="EA17" s="2" t="str">
        <f>IFERROR(__xludf.DUMMYFUNCTION("""COMPUTED_VALUE"""),"")</f>
        <v/>
      </c>
      <c r="EB17" s="2" t="str">
        <f>IFERROR(__xludf.DUMMYFUNCTION("""COMPUTED_VALUE"""),"")</f>
        <v/>
      </c>
      <c r="EC17" s="2" t="str">
        <f>IFERROR(__xludf.DUMMYFUNCTION("""COMPUTED_VALUE"""),"")</f>
        <v/>
      </c>
      <c r="ED17" s="2" t="str">
        <f>IFERROR(__xludf.DUMMYFUNCTION("""COMPUTED_VALUE"""),"")</f>
        <v/>
      </c>
      <c r="EE17" s="2" t="str">
        <f>IFERROR(__xludf.DUMMYFUNCTION("""COMPUTED_VALUE"""),"")</f>
        <v/>
      </c>
      <c r="EF17" s="2" t="str">
        <f>IFERROR(__xludf.DUMMYFUNCTION("""COMPUTED_VALUE"""),"")</f>
        <v/>
      </c>
      <c r="EG17" s="2" t="str">
        <f>IFERROR(__xludf.DUMMYFUNCTION("""COMPUTED_VALUE"""),"")</f>
        <v/>
      </c>
      <c r="EH17" s="2" t="str">
        <f>IFERROR(__xludf.DUMMYFUNCTION("""COMPUTED_VALUE"""),"")</f>
        <v/>
      </c>
      <c r="EI17" s="2" t="str">
        <f>IFERROR(__xludf.DUMMYFUNCTION("""COMPUTED_VALUE"""),"")</f>
        <v/>
      </c>
      <c r="EJ17" s="2" t="str">
        <f>IFERROR(__xludf.DUMMYFUNCTION("""COMPUTED_VALUE"""),"")</f>
        <v/>
      </c>
      <c r="EK17" s="2" t="str">
        <f>IFERROR(__xludf.DUMMYFUNCTION("""COMPUTED_VALUE"""),"")</f>
        <v/>
      </c>
      <c r="EL17" s="2" t="str">
        <f>IFERROR(__xludf.DUMMYFUNCTION("""COMPUTED_VALUE"""),"")</f>
        <v/>
      </c>
      <c r="EM17" s="2" t="str">
        <f>IFERROR(__xludf.DUMMYFUNCTION("""COMPUTED_VALUE"""),"")</f>
        <v/>
      </c>
      <c r="EN17" s="2" t="str">
        <f>IFERROR(__xludf.DUMMYFUNCTION("""COMPUTED_VALUE"""),"")</f>
        <v/>
      </c>
      <c r="EO17" s="2" t="str">
        <f>IFERROR(__xludf.DUMMYFUNCTION("""COMPUTED_VALUE"""),"")</f>
        <v/>
      </c>
      <c r="EP17" s="2" t="str">
        <f>IFERROR(__xludf.DUMMYFUNCTION("""COMPUTED_VALUE"""),"")</f>
        <v/>
      </c>
      <c r="EQ17" s="2" t="str">
        <f>IFERROR(__xludf.DUMMYFUNCTION("""COMPUTED_VALUE"""),"")</f>
        <v/>
      </c>
      <c r="ER17" s="2" t="str">
        <f>IFERROR(__xludf.DUMMYFUNCTION("""COMPUTED_VALUE"""),"")</f>
        <v/>
      </c>
      <c r="ES17" s="2" t="str">
        <f>IFERROR(__xludf.DUMMYFUNCTION("""COMPUTED_VALUE"""),"")</f>
        <v/>
      </c>
      <c r="ET17" s="2" t="str">
        <f>IFERROR(__xludf.DUMMYFUNCTION("""COMPUTED_VALUE"""),"")</f>
        <v/>
      </c>
      <c r="EU17" s="2" t="str">
        <f>IFERROR(__xludf.DUMMYFUNCTION("""COMPUTED_VALUE"""),"")</f>
        <v/>
      </c>
      <c r="EV17" s="2" t="str">
        <f>IFERROR(__xludf.DUMMYFUNCTION("""COMPUTED_VALUE"""),"")</f>
        <v/>
      </c>
      <c r="EW17" s="2" t="str">
        <f>IFERROR(__xludf.DUMMYFUNCTION("""COMPUTED_VALUE"""),"")</f>
        <v/>
      </c>
      <c r="EX17" s="2" t="str">
        <f>IFERROR(__xludf.DUMMYFUNCTION("""COMPUTED_VALUE"""),"")</f>
        <v/>
      </c>
      <c r="EY17" s="2" t="str">
        <f>IFERROR(__xludf.DUMMYFUNCTION("""COMPUTED_VALUE"""),"UC Test Pump")</f>
        <v>UC Test Pump</v>
      </c>
      <c r="EZ17" s="2" t="str">
        <f>IFERROR(__xludf.DUMMYFUNCTION("""COMPUTED_VALUE"""),"UC-FP-1")</f>
        <v>UC-FP-1</v>
      </c>
      <c r="FA17" s="2" t="str">
        <f>IFERROR(__xludf.DUMMYFUNCTION("""COMPUTED_VALUE"""),"AESC Admin - Hose Monster")</f>
        <v>AESC Admin - Hose Monster</v>
      </c>
      <c r="FB17" s="2" t="str">
        <f>IFERROR(__xludf.DUMMYFUNCTION("""COMPUTED_VALUE"""),"c4a602a6-5b8e-4c9d-87bd-335d4071d942")</f>
        <v>c4a602a6-5b8e-4c9d-87bd-335d4071d942</v>
      </c>
      <c r="FC17" s="2" t="str">
        <f>IFERROR(__xludf.DUMMYFUNCTION("""COMPUTED_VALUE"""),"UC Test Testing Firm")</f>
        <v>UC Test Testing Firm</v>
      </c>
      <c r="FD17" s="14" t="str">
        <f>IFERROR(__xludf.DUMMYFUNCTION("""COMPUTED_VALUE"""),"https://ucld.us/_proto/index.html#ajax/AssetDetails.html?assetid=835317036")</f>
        <v>https://ucld.us/_proto/index.html#ajax/AssetDetails.html?assetid=835317036</v>
      </c>
      <c r="FE17" s="15">
        <f>IFERROR(__xludf.DUMMYFUNCTION("""COMPUTED_VALUE"""),43796.0)</f>
        <v>43796</v>
      </c>
      <c r="FF17" s="2">
        <f>IFERROR(__xludf.DUMMYFUNCTION("""COMPUTED_VALUE"""),42.77487)</f>
        <v>42.77487</v>
      </c>
      <c r="FG17" s="2">
        <f>IFERROR(__xludf.DUMMYFUNCTION("""COMPUTED_VALUE"""),-71.249246)</f>
        <v>-71.249246</v>
      </c>
      <c r="FH17" s="2" t="str">
        <f>IFERROR(__xludf.DUMMYFUNCTION("""COMPUTED_VALUE"""),"")</f>
        <v/>
      </c>
      <c r="FI17" s="2">
        <f>IFERROR(__xludf.DUMMYFUNCTION("""COMPUTED_VALUE"""),8.35317036E8)</f>
        <v>835317036</v>
      </c>
      <c r="FJ17" s="2" t="str">
        <f>IFERROR(__xludf.DUMMYFUNCTION("""COMPUTED_VALUE"""),"lsifsldf")</f>
        <v>lsifsldf</v>
      </c>
      <c r="FK17" s="2" t="str">
        <f>IFERROR(__xludf.DUMMYFUNCTION("""COMPUTED_VALUE"""),"bldg name")</f>
        <v>bldg name</v>
      </c>
      <c r="FL17" s="2" t="str">
        <f>IFERROR(__xludf.DUMMYFUNCTION("""COMPUTED_VALUE"""),"sdfj")</f>
        <v>sdfj</v>
      </c>
      <c r="FM17" s="2" t="str">
        <f>IFERROR(__xludf.DUMMYFUNCTION("""COMPUTED_VALUE"""),"sdlifiji")</f>
        <v>sdlifiji</v>
      </c>
      <c r="FN17" s="2" t="str">
        <f>IFERROR(__xludf.DUMMYFUNCTION("""COMPUTED_VALUE"""),"sljsdf")</f>
        <v>sljsdf</v>
      </c>
      <c r="FO17" s="2" t="str">
        <f>IFERROR(__xludf.DUMMYFUNCTION("""COMPUTED_VALUE"""),"ljsf")</f>
        <v>ljsf</v>
      </c>
      <c r="FP17" s="2" t="str">
        <f>IFERROR(__xludf.DUMMYFUNCTION("""COMPUTED_VALUE"""),"Milford")</f>
        <v>Milford</v>
      </c>
      <c r="FQ17" s="2" t="str">
        <f>IFERROR(__xludf.DUMMYFUNCTION("""COMPUTED_VALUE"""),"US")</f>
        <v>US</v>
      </c>
      <c r="FR17" s="2" t="str">
        <f>IFERROR(__xludf.DUMMYFUNCTION("""COMPUTED_VALUE"""),"ABC Big Company")</f>
        <v>ABC Big Company</v>
      </c>
      <c r="FS17" s="2" t="str">
        <f>IFERROR(__xludf.DUMMYFUNCTION("""COMPUTED_VALUE"""),"")</f>
        <v/>
      </c>
      <c r="FT17" s="2" t="str">
        <f>IFERROR(__xludf.DUMMYFUNCTION("""COMPUTED_VALUE"""),"Bill Williams")</f>
        <v>Bill Williams</v>
      </c>
      <c r="FU17" s="16">
        <f>IFERROR(__xludf.DUMMYFUNCTION("""COMPUTED_VALUE"""),43801.0)</f>
        <v>43801</v>
      </c>
      <c r="FV17" s="16">
        <f>IFERROR(__xludf.DUMMYFUNCTION("""COMPUTED_VALUE"""),43770.0)</f>
        <v>43770</v>
      </c>
      <c r="FW17" s="2">
        <f>IFERROR(__xludf.DUMMYFUNCTION("""COMPUTED_VALUE"""),4.0)</f>
        <v>4</v>
      </c>
      <c r="FX17" s="2">
        <f>IFERROR(__xludf.DUMMYFUNCTION("""COMPUTED_VALUE"""),3.0)</f>
        <v>3</v>
      </c>
      <c r="FY17" s="2" t="str">
        <f>IFERROR(__xludf.DUMMYFUNCTION("""COMPUTED_VALUE"""),"FM")</f>
        <v>FM</v>
      </c>
      <c r="FZ17" s="2" t="str">
        <f>IFERROR(__xludf.DUMMYFUNCTION("""COMPUTED_VALUE"""),"grlsfkkjjslfj")</f>
        <v>grlsfkkjjslfj</v>
      </c>
      <c r="GA17" s="2" t="str">
        <f>IFERROR(__xludf.DUMMYFUNCTION("""COMPUTED_VALUE"""),"gdijgs")</f>
        <v>gdijgs</v>
      </c>
      <c r="GB17" s="2" t="str">
        <f>IFERROR(__xludf.DUMMYFUNCTION("""COMPUTED_VALUE"""),"fgdfg")</f>
        <v>fgdfg</v>
      </c>
      <c r="GC17" s="2">
        <f>IFERROR(__xludf.DUMMYFUNCTION("""COMPUTED_VALUE"""),3.0)</f>
        <v>3</v>
      </c>
      <c r="GD17" s="2">
        <f>IFERROR(__xludf.DUMMYFUNCTION("""COMPUTED_VALUE"""),2.0)</f>
        <v>2</v>
      </c>
      <c r="GE17" s="2">
        <f>IFERROR(__xludf.DUMMYFUNCTION("""COMPUTED_VALUE"""),1.0)</f>
        <v>1</v>
      </c>
      <c r="GF17" s="2">
        <f>IFERROR(__xludf.DUMMYFUNCTION("""COMPUTED_VALUE"""),2.0)</f>
        <v>2</v>
      </c>
      <c r="GG17" s="2">
        <f>IFERROR(__xludf.DUMMYFUNCTION("""COMPUTED_VALUE"""),1.0)</f>
        <v>1</v>
      </c>
      <c r="GH17" s="2" t="str">
        <f>IFERROR(__xludf.DUMMYFUNCTION("""COMPUTED_VALUE"""),"dlfjgf")</f>
        <v>dlfjgf</v>
      </c>
      <c r="GI17" s="2" t="str">
        <f>IFERROR(__xludf.DUMMYFUNCTION("""COMPUTED_VALUE"""),"gdfsf")</f>
        <v>gdfsf</v>
      </c>
      <c r="GJ17" s="2" t="str">
        <f>IFERROR(__xludf.DUMMYFUNCTION("""COMPUTED_VALUE"""),"Electric Motor")</f>
        <v>Electric Motor</v>
      </c>
      <c r="GK17" s="2" t="str">
        <f>IFERROR(__xludf.DUMMYFUNCTION("""COMPUTED_VALUE"""),"")</f>
        <v/>
      </c>
      <c r="GL17" s="2" t="str">
        <f>IFERROR(__xludf.DUMMYFUNCTION("""COMPUTED_VALUE"""),"example@example.com")</f>
        <v>example@example.com</v>
      </c>
      <c r="GM17" s="2" t="str">
        <f>IFERROR(__xludf.DUMMYFUNCTION("""COMPUTED_VALUE"""),"999-999-9999")</f>
        <v>999-999-9999</v>
      </c>
      <c r="GN17" s="2" t="str">
        <f>IFERROR(__xludf.DUMMYFUNCTION("""COMPUTED_VALUE"""),"")</f>
        <v/>
      </c>
      <c r="GO17" s="2" t="str">
        <f>IFERROR(__xludf.DUMMYFUNCTION("""COMPUTED_VALUE"""),"")</f>
        <v/>
      </c>
      <c r="GP17" s="2" t="str">
        <f>IFERROR(__xludf.DUMMYFUNCTION("""COMPUTED_VALUE"""),"")</f>
        <v/>
      </c>
      <c r="GQ17" s="2">
        <f>IFERROR(__xludf.DUMMYFUNCTION("""COMPUTED_VALUE"""),3.0)</f>
        <v>3</v>
      </c>
      <c r="GR17" s="2" t="str">
        <f>IFERROR(__xludf.DUMMYFUNCTION("""COMPUTED_VALUE"""),"UL")</f>
        <v>UL</v>
      </c>
      <c r="GS17" s="2" t="str">
        <f>IFERROR(__xludf.DUMMYFUNCTION("""COMPUTED_VALUE"""),"sldf")</f>
        <v>sldf</v>
      </c>
      <c r="GT17" s="2" t="str">
        <f>IFERROR(__xludf.DUMMYFUNCTION("""COMPUTED_VALUE"""),"sflj")</f>
        <v>sflj</v>
      </c>
      <c r="GU17" s="2">
        <f>IFERROR(__xludf.DUMMYFUNCTION("""COMPUTED_VALUE"""),6.0)</f>
        <v>6</v>
      </c>
      <c r="GV17" s="2">
        <f>IFERROR(__xludf.DUMMYFUNCTION("""COMPUTED_VALUE"""),5.0)</f>
        <v>5</v>
      </c>
      <c r="GW17" s="2">
        <f>IFERROR(__xludf.DUMMYFUNCTION("""COMPUTED_VALUE"""),2.0)</f>
        <v>2</v>
      </c>
      <c r="GX17" s="2">
        <f>IFERROR(__xludf.DUMMYFUNCTION("""COMPUTED_VALUE"""),1.0)</f>
        <v>1</v>
      </c>
      <c r="GY17" s="2">
        <f>IFERROR(__xludf.DUMMYFUNCTION("""COMPUTED_VALUE"""),4.0)</f>
        <v>4</v>
      </c>
      <c r="GZ17" s="2" t="str">
        <f>IFERROR(__xludf.DUMMYFUNCTION("""COMPUTED_VALUE"""),"slkjsdfdl")</f>
        <v>slkjsdfdl</v>
      </c>
      <c r="HA17" s="2" t="str">
        <f>IFERROR(__xludf.DUMMYFUNCTION("""COMPUTED_VALUE"""),"slfj")</f>
        <v>slfj</v>
      </c>
      <c r="HB17" s="2" t="str">
        <f>IFERROR(__xludf.DUMMYFUNCTION("""COMPUTED_VALUE"""),"sdfj")</f>
        <v>sdfj</v>
      </c>
      <c r="HC17" s="2" t="str">
        <f>IFERROR(__xludf.DUMMYFUNCTION("""COMPUTED_VALUE"""),"lsflsdk")</f>
        <v>lsflsdk</v>
      </c>
      <c r="HD17" s="2">
        <f>IFERROR(__xludf.DUMMYFUNCTION("""COMPUTED_VALUE"""),120.0)</f>
        <v>120</v>
      </c>
      <c r="HE17" s="2">
        <f>IFERROR(__xludf.DUMMYFUNCTION("""COMPUTED_VALUE"""),67.0)</f>
        <v>67</v>
      </c>
      <c r="HF17" s="2">
        <f>IFERROR(__xludf.DUMMYFUNCTION("""COMPUTED_VALUE"""),100.0)</f>
        <v>100</v>
      </c>
      <c r="HG17" s="2">
        <f>IFERROR(__xludf.DUMMYFUNCTION("""COMPUTED_VALUE"""),3.0)</f>
        <v>3</v>
      </c>
      <c r="HH17" s="2" t="str">
        <f>IFERROR(__xludf.DUMMYFUNCTION("""COMPUTED_VALUE"""),"sj;")</f>
        <v>sj;</v>
      </c>
      <c r="HI17" s="2" t="str">
        <f>IFERROR(__xludf.DUMMYFUNCTION("""COMPUTED_VALUE"""),"sf;os")</f>
        <v>sf;os</v>
      </c>
      <c r="HJ17" s="2" t="str">
        <f>IFERROR(__xludf.DUMMYFUNCTION("""COMPUTED_VALUE"""),"ljsf")</f>
        <v>ljsf</v>
      </c>
      <c r="HK17" s="2" t="str">
        <f>IFERROR(__xludf.DUMMYFUNCTION("""COMPUTED_VALUE"""),"lkjsdf")</f>
        <v>lkjsdf</v>
      </c>
      <c r="HL17" s="2" t="str">
        <f>IFERROR(__xludf.DUMMYFUNCTION("""COMPUTED_VALUE"""),"")</f>
        <v/>
      </c>
      <c r="HM17" s="2" t="str">
        <f>IFERROR(__xludf.DUMMYFUNCTION("""COMPUTED_VALUE"""),"")</f>
        <v/>
      </c>
      <c r="HN17" s="2" t="str">
        <f>IFERROR(__xludf.DUMMYFUNCTION("""COMPUTED_VALUE"""),"")</f>
        <v/>
      </c>
      <c r="HO17" s="2">
        <f>IFERROR(__xludf.DUMMYFUNCTION("""COMPUTED_VALUE"""),3.0)</f>
        <v>3</v>
      </c>
      <c r="HP17" s="2" t="str">
        <f>IFERROR(__xludf.DUMMYFUNCTION("""COMPUTED_VALUE"""),"ULC")</f>
        <v>ULC</v>
      </c>
      <c r="HQ17" s="2" t="str">
        <f>IFERROR(__xludf.DUMMYFUNCTION("""COMPUTED_VALUE"""),"gkiksjf")</f>
        <v>gkiksjf</v>
      </c>
      <c r="HR17" s="2" t="str">
        <f>IFERROR(__xludf.DUMMYFUNCTION("""COMPUTED_VALUE"""),"OJSFDLJ")</f>
        <v>OJSFDLJ</v>
      </c>
      <c r="HS17" s="2">
        <f>IFERROR(__xludf.DUMMYFUNCTION("""COMPUTED_VALUE"""),6.0)</f>
        <v>6</v>
      </c>
      <c r="HT17" s="2">
        <f>IFERROR(__xludf.DUMMYFUNCTION("""COMPUTED_VALUE"""),5.0)</f>
        <v>5</v>
      </c>
      <c r="HU17" s="2">
        <f>IFERROR(__xludf.DUMMYFUNCTION("""COMPUTED_VALUE"""),2.0)</f>
        <v>2</v>
      </c>
      <c r="HV17" s="2">
        <f>IFERROR(__xludf.DUMMYFUNCTION("""COMPUTED_VALUE"""),1.0)</f>
        <v>1</v>
      </c>
      <c r="HW17" s="2">
        <f>IFERROR(__xludf.DUMMYFUNCTION("""COMPUTED_VALUE"""),4.0)</f>
        <v>4</v>
      </c>
      <c r="HX17" s="2" t="str">
        <f>IFERROR(__xludf.DUMMYFUNCTION("""COMPUTED_VALUE"""),"SSL")</f>
        <v>SSL</v>
      </c>
      <c r="HY17" s="2">
        <f>IFERROR(__xludf.DUMMYFUNCTION("""COMPUTED_VALUE"""),3.0)</f>
        <v>3</v>
      </c>
      <c r="HZ17" s="2">
        <f>IFERROR(__xludf.DUMMYFUNCTION("""COMPUTED_VALUE"""),7.0)</f>
        <v>7</v>
      </c>
      <c r="IA17" s="2" t="str">
        <f>IFERROR(__xludf.DUMMYFUNCTION("""COMPUTED_VALUE"""),"sdfljsd")</f>
        <v>sdfljsd</v>
      </c>
      <c r="IB17" s="2" t="str">
        <f>IFERROR(__xludf.DUMMYFUNCTION("""COMPUTED_VALUE"""),"gierp")</f>
        <v>gierp</v>
      </c>
      <c r="IC17" s="2">
        <f>IFERROR(__xludf.DUMMYFUNCTION("""COMPUTED_VALUE"""),2.0)</f>
        <v>2</v>
      </c>
      <c r="ID17" s="2">
        <f>IFERROR(__xludf.DUMMYFUNCTION("""COMPUTED_VALUE"""),6.0)</f>
        <v>6</v>
      </c>
      <c r="IE17" s="2">
        <f>IFERROR(__xludf.DUMMYFUNCTION("""COMPUTED_VALUE"""),3.0)</f>
        <v>3</v>
      </c>
      <c r="IF17" s="2">
        <f>IFERROR(__xludf.DUMMYFUNCTION("""COMPUTED_VALUE"""),1.0)</f>
        <v>1</v>
      </c>
      <c r="IG17" s="2">
        <f>IFERROR(__xludf.DUMMYFUNCTION("""COMPUTED_VALUE"""),4.0)</f>
        <v>4</v>
      </c>
      <c r="IH17" s="2">
        <f>IFERROR(__xludf.DUMMYFUNCTION("""COMPUTED_VALUE"""),2.0)</f>
        <v>2</v>
      </c>
      <c r="II17" s="2">
        <f>IFERROR(__xludf.DUMMYFUNCTION("""COMPUTED_VALUE"""),4.0)</f>
        <v>4</v>
      </c>
      <c r="IJ17" s="2" t="str">
        <f>IFERROR(__xludf.DUMMYFUNCTION("""COMPUTED_VALUE"""),"grgdfl")</f>
        <v>grgdfl</v>
      </c>
      <c r="IK17" s="2">
        <f>IFERROR(__xludf.DUMMYFUNCTION("""COMPUTED_VALUE"""),5.0)</f>
        <v>5</v>
      </c>
      <c r="IL17" s="2" t="str">
        <f>IFERROR(__xludf.DUMMYFUNCTION("""COMPUTED_VALUE"""),"FM")</f>
        <v>FM</v>
      </c>
      <c r="IM17" s="2" t="str">
        <f>IFERROR(__xludf.DUMMYFUNCTION("""COMPUTED_VALUE"""),"grrgrg")</f>
        <v>grrgrg</v>
      </c>
      <c r="IN17" s="2" t="str">
        <f>IFERROR(__xludf.DUMMYFUNCTION("""COMPUTED_VALUE"""),"rthrt")</f>
        <v>rthrt</v>
      </c>
      <c r="IO17" s="2" t="str">
        <f>IFERROR(__xludf.DUMMYFUNCTION("""COMPUTED_VALUE"""),"dfjsdfljsd")</f>
        <v>dfjsdfljsd</v>
      </c>
      <c r="IP17" s="2" t="str">
        <f>IFERROR(__xludf.DUMMYFUNCTION("""COMPUTED_VALUE"""),"")</f>
        <v/>
      </c>
      <c r="IQ17" s="2" t="str">
        <f>IFERROR(__xludf.DUMMYFUNCTION("""COMPUTED_VALUE"""),"999-999-9999")</f>
        <v>999-999-9999</v>
      </c>
      <c r="IR17" s="2" t="str">
        <f>IFERROR(__xludf.DUMMYFUNCTION("""COMPUTED_VALUE"""),"clockwise")</f>
        <v>clockwise</v>
      </c>
      <c r="IS17" s="2" t="str">
        <f>IFERROR(__xludf.DUMMYFUNCTION("""COMPUTED_VALUE"""),"end-suction")</f>
        <v>end-suction</v>
      </c>
      <c r="IT17" s="2">
        <f>IFERROR(__xludf.DUMMYFUNCTION("""COMPUTED_VALUE"""),1000.0)</f>
        <v>1000</v>
      </c>
      <c r="IU17" s="2">
        <f>IFERROR(__xludf.DUMMYFUNCTION("""COMPUTED_VALUE"""),3500.0)</f>
        <v>3500</v>
      </c>
      <c r="IV17" s="2" t="str">
        <f>IFERROR(__xludf.DUMMYFUNCTION("""COMPUTED_VALUE"""),"sfpu")</f>
        <v>sfpu</v>
      </c>
      <c r="IW17" s="2" t="str">
        <f>IFERROR(__xludf.DUMMYFUNCTION("""COMPUTED_VALUE"""),"UL")</f>
        <v>UL</v>
      </c>
      <c r="IX17" s="2" t="str">
        <f>IFERROR(__xludf.DUMMYFUNCTION("""COMPUTED_VALUE"""),"dgdln")</f>
        <v>dgdln</v>
      </c>
      <c r="IY17" s="2" t="str">
        <f>IFERROR(__xludf.DUMMYFUNCTION("""COMPUTED_VALUE"""),"ssdfl")</f>
        <v>ssdfl</v>
      </c>
      <c r="IZ17" s="2" t="str">
        <f>IFERROR(__xludf.DUMMYFUNCTION("""COMPUTED_VALUE"""),"lijsfljsd")</f>
        <v>lijsfljsd</v>
      </c>
      <c r="JA17" s="2" t="str">
        <f>IFERROR(__xludf.DUMMYFUNCTION("""COMPUTED_VALUE"""),"")</f>
        <v/>
      </c>
      <c r="JB17" s="2" t="str">
        <f>IFERROR(__xludf.DUMMYFUNCTION("""COMPUTED_VALUE"""),"jlj")</f>
        <v>jlj</v>
      </c>
      <c r="JC17" s="2" t="str">
        <f>IFERROR(__xludf.DUMMYFUNCTION("""COMPUTED_VALUE"""),"NH")</f>
        <v>NH</v>
      </c>
      <c r="JD17" s="2" t="str">
        <f>IFERROR(__xludf.DUMMYFUNCTION("""COMPUTED_VALUE"""),"123 ABC Street")</f>
        <v>123 ABC Street</v>
      </c>
      <c r="JE17" s="2" t="str">
        <f>IFERROR(__xludf.DUMMYFUNCTION("""COMPUTED_VALUE"""),"Suite 1")</f>
        <v>Suite 1</v>
      </c>
      <c r="JF17" s="2" t="str">
        <f>IFERROR(__xludf.DUMMYFUNCTION("""COMPUTED_VALUE"""),"ffdsfs")</f>
        <v>ffdsfs</v>
      </c>
      <c r="JG17" s="2">
        <f>IFERROR(__xludf.DUMMYFUNCTION("""COMPUTED_VALUE"""),2.0)</f>
        <v>2</v>
      </c>
      <c r="JH17" s="2">
        <f>IFERROR(__xludf.DUMMYFUNCTION("""COMPUTED_VALUE"""),1.0)</f>
        <v>1</v>
      </c>
      <c r="JI17" s="2" t="str">
        <f>IFERROR(__xludf.DUMMYFUNCTION("""COMPUTED_VALUE"""),"Joseph Smith")</f>
        <v>Joseph Smith</v>
      </c>
      <c r="JJ17" s="2">
        <f>IFERROR(__xludf.DUMMYFUNCTION("""COMPUTED_VALUE"""),1.23456789E8)</f>
        <v>123456789</v>
      </c>
      <c r="JK17" s="2" t="str">
        <f>IFERROR(__xludf.DUMMYFUNCTION("""COMPUTED_VALUE"""),"")</f>
        <v/>
      </c>
      <c r="JL17" s="14" t="str">
        <f>IFERROR(__xludf.DUMMYFUNCTION("""COMPUTED_VALUE"""),"https://s3.amazonaws.com/UcAssetDataProduction/8ffa21a4-feeb-4341-b99f-0ff6134736c7.jpg")</f>
        <v>https://s3.amazonaws.com/UcAssetDataProduction/8ffa21a4-feeb-4341-b99f-0ff6134736c7.jpg</v>
      </c>
      <c r="JM17" s="2" t="str">
        <f>IFERROR(__xludf.DUMMYFUNCTION("""COMPUTED_VALUE"""),"My Testing Firm Name")</f>
        <v>My Testing Firm Name</v>
      </c>
      <c r="JN17" s="2">
        <f>IFERROR(__xludf.DUMMYFUNCTION("""COMPUTED_VALUE"""),231.0)</f>
        <v>231</v>
      </c>
      <c r="JO17" s="2">
        <f>IFERROR(__xludf.DUMMYFUNCTION("""COMPUTED_VALUE"""),3055.0)</f>
        <v>3055</v>
      </c>
      <c r="JP17" s="2" t="str">
        <f>IFERROR(__xludf.DUMMYFUNCTION("""COMPUTED_VALUE"""),"AESC Admin - Hose Monster")</f>
        <v>AESC Admin - Hose Monster</v>
      </c>
      <c r="JQ17" s="2" t="str">
        <f>IFERROR(__xludf.DUMMYFUNCTION("""COMPUTED_VALUE"""),"")</f>
        <v/>
      </c>
      <c r="JR17" s="2" t="str">
        <f>IFERROR(__xludf.DUMMYFUNCTION("""COMPUTED_VALUE"""),"")</f>
        <v/>
      </c>
      <c r="JS17" s="2" t="str">
        <f>IFERROR(__xludf.DUMMYFUNCTION("""COMPUTED_VALUE"""),"")</f>
        <v/>
      </c>
      <c r="JT17" s="2" t="str">
        <f>IFERROR(__xludf.DUMMYFUNCTION("""COMPUTED_VALUE"""),"")</f>
        <v/>
      </c>
      <c r="JU17" s="2" t="str">
        <f>IFERROR(__xludf.DUMMYFUNCTION("""COMPUTED_VALUE"""),"603-111-2222")</f>
        <v>603-111-2222</v>
      </c>
      <c r="JV17" s="2" t="str">
        <f>IFERROR(__xludf.DUMMYFUNCTION("""COMPUTED_VALUE"""),"AESC Admin - Hose Monster")</f>
        <v>AESC Admin - Hose Monster</v>
      </c>
      <c r="JW17" s="15">
        <f>IFERROR(__xludf.DUMMYFUNCTION("""COMPUTED_VALUE"""),43865.72557870371)</f>
        <v>43865.72558</v>
      </c>
      <c r="JX17" s="2" t="str">
        <f>IFERROR(__xludf.DUMMYFUNCTION("""COMPUTED_VALUE"""),"")</f>
        <v/>
      </c>
      <c r="JY17" s="2" t="str">
        <f>IFERROR(__xludf.DUMMYFUNCTION("""COMPUTED_VALUE"""),"DFLJSD")</f>
        <v>DFLJSD</v>
      </c>
      <c r="JZ17" s="2" t="str">
        <f>IFERROR(__xludf.DUMMYFUNCTION("""COMPUTED_VALUE"""),"Minor")</f>
        <v>Minor</v>
      </c>
      <c r="KA17" s="2" t="str">
        <f>IFERROR(__xludf.DUMMYFUNCTION("""COMPUTED_VALUE"""),"Complete")</f>
        <v>Complete</v>
      </c>
      <c r="KB17" s="2" t="str">
        <f>IFERROR(__xludf.DUMMYFUNCTION("""COMPUTED_VALUE"""),"PM")</f>
        <v>PM</v>
      </c>
    </row>
    <row r="18">
      <c r="A18" s="15">
        <f>IFERROR(__xludf.DUMMYFUNCTION("""COMPUTED_VALUE"""),43865.526342592595)</f>
        <v>43865.52634</v>
      </c>
      <c r="B18" s="2" t="str">
        <f>IFERROR(__xludf.DUMMYFUNCTION("""COMPUTED_VALUE"""),"AESC Admin - Hose Monster")</f>
        <v>AESC Admin - Hose Monster</v>
      </c>
      <c r="C18" s="2" t="str">
        <f>IFERROR(__xludf.DUMMYFUNCTION("""COMPUTED_VALUE"""),"")</f>
        <v/>
      </c>
      <c r="D18" s="2">
        <f>IFERROR(__xludf.DUMMYFUNCTION("""COMPUTED_VALUE"""),8.65337118E8)</f>
        <v>865337118</v>
      </c>
      <c r="E18" s="15">
        <f>IFERROR(__xludf.DUMMYFUNCTION("""COMPUTED_VALUE"""),43865.0)</f>
        <v>43865</v>
      </c>
      <c r="F18" s="2" t="str">
        <f>IFERROR(__xludf.DUMMYFUNCTION("""COMPUTED_VALUE"""),"")</f>
        <v/>
      </c>
      <c r="G18" s="2" t="str">
        <f>IFERROR(__xludf.DUMMYFUNCTION("""COMPUTED_VALUE"""),"")</f>
        <v/>
      </c>
      <c r="H18" s="2" t="str">
        <f>IFERROR(__xludf.DUMMYFUNCTION("""COMPUTED_VALUE"""),"")</f>
        <v/>
      </c>
      <c r="I18" s="2" t="str">
        <f>IFERROR(__xludf.DUMMYFUNCTION("""COMPUTED_VALUE"""),"")</f>
        <v/>
      </c>
      <c r="J18" s="2" t="str">
        <f>IFERROR(__xludf.DUMMYFUNCTION("""COMPUTED_VALUE"""),"")</f>
        <v/>
      </c>
      <c r="K18" s="2" t="str">
        <f>IFERROR(__xludf.DUMMYFUNCTION("""COMPUTED_VALUE"""),"1 1/2"" In-line Pitotless Nozzle")</f>
        <v>1 1/2" In-line Pitotless Nozzle</v>
      </c>
      <c r="L18" s="2" t="str">
        <f>IFERROR(__xludf.DUMMYFUNCTION("""COMPUTED_VALUE"""),"In-line Pitotless Nozzle")</f>
        <v>In-line Pitotless Nozzle</v>
      </c>
      <c r="M18" s="2">
        <f>IFERROR(__xludf.DUMMYFUNCTION("""COMPUTED_VALUE"""),3.0)</f>
        <v>3</v>
      </c>
      <c r="N18" s="2">
        <f>IFERROR(__xludf.DUMMYFUNCTION("""COMPUTED_VALUE"""),3566.0)</f>
        <v>3566</v>
      </c>
      <c r="O18" s="2">
        <f>IFERROR(__xludf.DUMMYFUNCTION("""COMPUTED_VALUE"""),155.0)</f>
        <v>155</v>
      </c>
      <c r="P18" s="2">
        <f>IFERROR(__xludf.DUMMYFUNCTION("""COMPUTED_VALUE"""),44.0)</f>
        <v>44</v>
      </c>
      <c r="Q18" s="2">
        <f>IFERROR(__xludf.DUMMYFUNCTION("""COMPUTED_VALUE"""),111.0)</f>
        <v>111</v>
      </c>
      <c r="R18" s="2" t="str">
        <f>IFERROR(__xludf.DUMMYFUNCTION("""COMPUTED_VALUE"""),"1 1/2"" In-line Pitotless Nozzle")</f>
        <v>1 1/2" In-line Pitotless Nozzle</v>
      </c>
      <c r="S18" s="2">
        <f>IFERROR(__xludf.DUMMYFUNCTION("""COMPUTED_VALUE"""),18.0)</f>
        <v>18</v>
      </c>
      <c r="T18" s="2">
        <f>IFERROR(__xludf.DUMMYFUNCTION("""COMPUTED_VALUE"""),377.8)</f>
        <v>377.8</v>
      </c>
      <c r="U18" s="2" t="str">
        <f>IFERROR(__xludf.DUMMYFUNCTION("""COMPUTED_VALUE"""),"")</f>
        <v/>
      </c>
      <c r="V18" s="2" t="str">
        <f>IFERROR(__xludf.DUMMYFUNCTION("""COMPUTED_VALUE"""),"1 1/2"" In-line Pitotless Nozzle")</f>
        <v>1 1/2" In-line Pitotless Nozzle</v>
      </c>
      <c r="W18" s="2">
        <f>IFERROR(__xludf.DUMMYFUNCTION("""COMPUTED_VALUE"""),18.0)</f>
        <v>18</v>
      </c>
      <c r="X18" s="2">
        <f>IFERROR(__xludf.DUMMYFUNCTION("""COMPUTED_VALUE"""),378.0)</f>
        <v>378</v>
      </c>
      <c r="Y18" s="2" t="str">
        <f>IFERROR(__xludf.DUMMYFUNCTION("""COMPUTED_VALUE"""),"")</f>
        <v/>
      </c>
      <c r="Z18" s="2" t="str">
        <f>IFERROR(__xludf.DUMMYFUNCTION("""COMPUTED_VALUE"""),"")</f>
        <v/>
      </c>
      <c r="AA18" s="2" t="str">
        <f>IFERROR(__xludf.DUMMYFUNCTION("""COMPUTED_VALUE"""),"")</f>
        <v/>
      </c>
      <c r="AB18" s="2" t="str">
        <f>IFERROR(__xludf.DUMMYFUNCTION("""COMPUTED_VALUE"""),"")</f>
        <v/>
      </c>
      <c r="AC18" s="2" t="str">
        <f>IFERROR(__xludf.DUMMYFUNCTION("""COMPUTED_VALUE"""),"")</f>
        <v/>
      </c>
      <c r="AD18" s="2" t="str">
        <f>IFERROR(__xludf.DUMMYFUNCTION("""COMPUTED_VALUE"""),"")</f>
        <v/>
      </c>
      <c r="AE18" s="2" t="str">
        <f>IFERROR(__xludf.DUMMYFUNCTION("""COMPUTED_VALUE"""),"")</f>
        <v/>
      </c>
      <c r="AF18" s="2" t="str">
        <f>IFERROR(__xludf.DUMMYFUNCTION("""COMPUTED_VALUE"""),"")</f>
        <v/>
      </c>
      <c r="AG18" s="2" t="str">
        <f>IFERROR(__xludf.DUMMYFUNCTION("""COMPUTED_VALUE"""),"")</f>
        <v/>
      </c>
      <c r="AH18" s="2" t="str">
        <f>IFERROR(__xludf.DUMMYFUNCTION("""COMPUTED_VALUE"""),"")</f>
        <v/>
      </c>
      <c r="AI18" s="2" t="str">
        <f>IFERROR(__xludf.DUMMYFUNCTION("""COMPUTED_VALUE"""),"")</f>
        <v/>
      </c>
      <c r="AJ18" s="2" t="str">
        <f>IFERROR(__xludf.DUMMYFUNCTION("""COMPUTED_VALUE"""),"")</f>
        <v/>
      </c>
      <c r="AK18" s="2" t="str">
        <f>IFERROR(__xludf.DUMMYFUNCTION("""COMPUTED_VALUE"""),"")</f>
        <v/>
      </c>
      <c r="AL18" s="2" t="str">
        <f>IFERROR(__xludf.DUMMYFUNCTION("""COMPUTED_VALUE"""),"")</f>
        <v/>
      </c>
      <c r="AM18" s="2" t="str">
        <f>IFERROR(__xludf.DUMMYFUNCTION("""COMPUTED_VALUE"""),"")</f>
        <v/>
      </c>
      <c r="AN18" s="2" t="str">
        <f>IFERROR(__xludf.DUMMYFUNCTION("""COMPUTED_VALUE"""),"")</f>
        <v/>
      </c>
      <c r="AO18" s="2" t="str">
        <f>IFERROR(__xludf.DUMMYFUNCTION("""COMPUTED_VALUE"""),"")</f>
        <v/>
      </c>
      <c r="AP18" s="2" t="str">
        <f>IFERROR(__xludf.DUMMYFUNCTION("""COMPUTED_VALUE"""),"")</f>
        <v/>
      </c>
      <c r="AQ18" s="2" t="str">
        <f>IFERROR(__xludf.DUMMYFUNCTION("""COMPUTED_VALUE"""),"")</f>
        <v/>
      </c>
      <c r="AR18" s="2" t="str">
        <f>IFERROR(__xludf.DUMMYFUNCTION("""COMPUTED_VALUE"""),"")</f>
        <v/>
      </c>
      <c r="AS18" s="2" t="str">
        <f>IFERROR(__xludf.DUMMYFUNCTION("""COMPUTED_VALUE"""),"")</f>
        <v/>
      </c>
      <c r="AT18" s="2" t="str">
        <f>IFERROR(__xludf.DUMMYFUNCTION("""COMPUTED_VALUE"""),"")</f>
        <v/>
      </c>
      <c r="AU18" s="2" t="str">
        <f>IFERROR(__xludf.DUMMYFUNCTION("""COMPUTED_VALUE"""),"")</f>
        <v/>
      </c>
      <c r="AV18" s="2" t="str">
        <f>IFERROR(__xludf.DUMMYFUNCTION("""COMPUTED_VALUE"""),"")</f>
        <v/>
      </c>
      <c r="AW18" s="2" t="str">
        <f>IFERROR(__xludf.DUMMYFUNCTION("""COMPUTED_VALUE"""),"")</f>
        <v/>
      </c>
      <c r="AX18" s="2" t="str">
        <f>IFERROR(__xludf.DUMMYFUNCTION("""COMPUTED_VALUE"""),"")</f>
        <v/>
      </c>
      <c r="AY18" s="2" t="str">
        <f>IFERROR(__xludf.DUMMYFUNCTION("""COMPUTED_VALUE"""),"")</f>
        <v/>
      </c>
      <c r="AZ18" s="2" t="str">
        <f>IFERROR(__xludf.DUMMYFUNCTION("""COMPUTED_VALUE"""),"")</f>
        <v/>
      </c>
      <c r="BA18" s="2" t="str">
        <f>IFERROR(__xludf.DUMMYFUNCTION("""COMPUTED_VALUE"""),"")</f>
        <v/>
      </c>
      <c r="BB18" s="2" t="str">
        <f>IFERROR(__xludf.DUMMYFUNCTION("""COMPUTED_VALUE"""),"")</f>
        <v/>
      </c>
      <c r="BC18" s="2" t="str">
        <f>IFERROR(__xludf.DUMMYFUNCTION("""COMPUTED_VALUE"""),"")</f>
        <v/>
      </c>
      <c r="BD18" s="2" t="str">
        <f>IFERROR(__xludf.DUMMYFUNCTION("""COMPUTED_VALUE"""),"")</f>
        <v/>
      </c>
      <c r="BE18" s="2" t="str">
        <f>IFERROR(__xludf.DUMMYFUNCTION("""COMPUTED_VALUE"""),"")</f>
        <v/>
      </c>
      <c r="BF18" s="2" t="str">
        <f>IFERROR(__xludf.DUMMYFUNCTION("""COMPUTED_VALUE"""),"")</f>
        <v/>
      </c>
      <c r="BG18" s="2" t="str">
        <f>IFERROR(__xludf.DUMMYFUNCTION("""COMPUTED_VALUE"""),"")</f>
        <v/>
      </c>
      <c r="BH18" s="2">
        <f>IFERROR(__xludf.DUMMYFUNCTION("""COMPUTED_VALUE"""),2.0)</f>
        <v>2</v>
      </c>
      <c r="BI18" s="2" t="str">
        <f>IFERROR(__xludf.DUMMYFUNCTION("""COMPUTED_VALUE"""),"")</f>
        <v/>
      </c>
      <c r="BJ18" s="2">
        <f>IFERROR(__xludf.DUMMYFUNCTION("""COMPUTED_VALUE"""),755.5)</f>
        <v>755.5</v>
      </c>
      <c r="BK18" s="2">
        <f>IFERROR(__xludf.DUMMYFUNCTION("""COMPUTED_VALUE"""),75.6)</f>
        <v>75.6</v>
      </c>
      <c r="BL18" s="2">
        <f>IFERROR(__xludf.DUMMYFUNCTION("""COMPUTED_VALUE"""),486.0)</f>
        <v>486</v>
      </c>
      <c r="BM18" s="2">
        <f>IFERROR(__xludf.DUMMYFUNCTION("""COMPUTED_VALUE"""),88.0)</f>
        <v>88</v>
      </c>
      <c r="BN18" s="2" t="str">
        <f>IFERROR(__xludf.DUMMYFUNCTION("""COMPUTED_VALUE"""),"")</f>
        <v/>
      </c>
      <c r="BO18" s="2">
        <f>IFERROR(__xludf.DUMMYFUNCTION("""COMPUTED_VALUE"""),74.2)</f>
        <v>74.2</v>
      </c>
      <c r="BP18" s="2">
        <f>IFERROR(__xludf.DUMMYFUNCTION("""COMPUTED_VALUE"""),106.9)</f>
        <v>106.9</v>
      </c>
      <c r="BQ18" s="2">
        <f>IFERROR(__xludf.DUMMYFUNCTION("""COMPUTED_VALUE"""),489.0)</f>
        <v>489</v>
      </c>
      <c r="BR18" s="2">
        <f>IFERROR(__xludf.DUMMYFUNCTION("""COMPUTED_VALUE"""),485.0)</f>
        <v>485</v>
      </c>
      <c r="BS18" s="2">
        <f>IFERROR(__xludf.DUMMYFUNCTION("""COMPUTED_VALUE"""),92.0)</f>
        <v>92</v>
      </c>
      <c r="BT18" s="2">
        <f>IFERROR(__xludf.DUMMYFUNCTION("""COMPUTED_VALUE"""),95.0)</f>
        <v>95</v>
      </c>
      <c r="BU18" s="2" t="b">
        <f>IFERROR(__xludf.DUMMYFUNCTION("""COMPUTED_VALUE"""),FALSE)</f>
        <v>0</v>
      </c>
      <c r="BV18" s="2" t="str">
        <f>IFERROR(__xludf.DUMMYFUNCTION("""COMPUTED_VALUE"""),"")</f>
        <v/>
      </c>
      <c r="BW18" s="2" t="str">
        <f>IFERROR(__xludf.DUMMYFUNCTION("""COMPUTED_VALUE"""),"")</f>
        <v/>
      </c>
      <c r="BX18" s="2" t="str">
        <f>IFERROR(__xludf.DUMMYFUNCTION("""COMPUTED_VALUE"""),"")</f>
        <v/>
      </c>
      <c r="BY18" s="2" t="str">
        <f>IFERROR(__xludf.DUMMYFUNCTION("""COMPUTED_VALUE"""),"")</f>
        <v/>
      </c>
      <c r="BZ18" s="2" t="str">
        <f>IFERROR(__xludf.DUMMYFUNCTION("""COMPUTED_VALUE"""),"")</f>
        <v/>
      </c>
      <c r="CA18" s="2" t="str">
        <f>IFERROR(__xludf.DUMMYFUNCTION("""COMPUTED_VALUE"""),"")</f>
        <v/>
      </c>
      <c r="CB18" s="2" t="str">
        <f>IFERROR(__xludf.DUMMYFUNCTION("""COMPUTED_VALUE"""),"")</f>
        <v/>
      </c>
      <c r="CC18" s="2" t="str">
        <f>IFERROR(__xludf.DUMMYFUNCTION("""COMPUTED_VALUE"""),"")</f>
        <v/>
      </c>
      <c r="CD18" s="2" t="str">
        <f>IFERROR(__xludf.DUMMYFUNCTION("""COMPUTED_VALUE"""),"")</f>
        <v/>
      </c>
      <c r="CE18" s="2" t="str">
        <f>IFERROR(__xludf.DUMMYFUNCTION("""COMPUTED_VALUE"""),"")</f>
        <v/>
      </c>
      <c r="CF18" s="2" t="str">
        <f>IFERROR(__xludf.DUMMYFUNCTION("""COMPUTED_VALUE"""),"")</f>
        <v/>
      </c>
      <c r="CG18" s="2" t="str">
        <f>IFERROR(__xludf.DUMMYFUNCTION("""COMPUTED_VALUE"""),"")</f>
        <v/>
      </c>
      <c r="CH18" s="2" t="str">
        <f>IFERROR(__xludf.DUMMYFUNCTION("""COMPUTED_VALUE"""),"")</f>
        <v/>
      </c>
      <c r="CI18" s="2" t="str">
        <f>IFERROR(__xludf.DUMMYFUNCTION("""COMPUTED_VALUE"""),"")</f>
        <v/>
      </c>
      <c r="CJ18" s="2" t="str">
        <f>IFERROR(__xludf.DUMMYFUNCTION("""COMPUTED_VALUE"""),"")</f>
        <v/>
      </c>
      <c r="CK18" s="2" t="str">
        <f>IFERROR(__xludf.DUMMYFUNCTION("""COMPUTED_VALUE"""),"")</f>
        <v/>
      </c>
      <c r="CL18" s="2" t="str">
        <f>IFERROR(__xludf.DUMMYFUNCTION("""COMPUTED_VALUE"""),"")</f>
        <v/>
      </c>
      <c r="CM18" s="2" t="str">
        <f>IFERROR(__xludf.DUMMYFUNCTION("""COMPUTED_VALUE"""),"")</f>
        <v/>
      </c>
      <c r="CN18" s="2" t="str">
        <f>IFERROR(__xludf.DUMMYFUNCTION("""COMPUTED_VALUE"""),"")</f>
        <v/>
      </c>
      <c r="CO18" s="2" t="str">
        <f>IFERROR(__xludf.DUMMYFUNCTION("""COMPUTED_VALUE"""),"")</f>
        <v/>
      </c>
      <c r="CP18" s="2" t="str">
        <f>IFERROR(__xludf.DUMMYFUNCTION("""COMPUTED_VALUE"""),"")</f>
        <v/>
      </c>
      <c r="CQ18" s="2" t="str">
        <f>IFERROR(__xludf.DUMMYFUNCTION("""COMPUTED_VALUE"""),"")</f>
        <v/>
      </c>
      <c r="CR18" s="2" t="str">
        <f>IFERROR(__xludf.DUMMYFUNCTION("""COMPUTED_VALUE"""),"")</f>
        <v/>
      </c>
      <c r="CS18" s="2" t="str">
        <f>IFERROR(__xludf.DUMMYFUNCTION("""COMPUTED_VALUE"""),"")</f>
        <v/>
      </c>
      <c r="CT18" s="2" t="str">
        <f>IFERROR(__xludf.DUMMYFUNCTION("""COMPUTED_VALUE"""),"")</f>
        <v/>
      </c>
      <c r="CU18" s="2" t="str">
        <f>IFERROR(__xludf.DUMMYFUNCTION("""COMPUTED_VALUE"""),"")</f>
        <v/>
      </c>
      <c r="CV18" s="2" t="str">
        <f>IFERROR(__xludf.DUMMYFUNCTION("""COMPUTED_VALUE"""),"")</f>
        <v/>
      </c>
      <c r="CW18" s="2" t="str">
        <f>IFERROR(__xludf.DUMMYFUNCTION("""COMPUTED_VALUE"""),"")</f>
        <v/>
      </c>
      <c r="CX18" s="2" t="str">
        <f>IFERROR(__xludf.DUMMYFUNCTION("""COMPUTED_VALUE"""),"")</f>
        <v/>
      </c>
      <c r="CY18" s="2" t="str">
        <f>IFERROR(__xludf.DUMMYFUNCTION("""COMPUTED_VALUE"""),"")</f>
        <v/>
      </c>
      <c r="CZ18" s="2" t="str">
        <f>IFERROR(__xludf.DUMMYFUNCTION("""COMPUTED_VALUE"""),"")</f>
        <v/>
      </c>
      <c r="DA18" s="2" t="str">
        <f>IFERROR(__xludf.DUMMYFUNCTION("""COMPUTED_VALUE"""),"")</f>
        <v/>
      </c>
      <c r="DB18" s="2" t="str">
        <f>IFERROR(__xludf.DUMMYFUNCTION("""COMPUTED_VALUE"""),"")</f>
        <v/>
      </c>
      <c r="DC18" s="2" t="str">
        <f>IFERROR(__xludf.DUMMYFUNCTION("""COMPUTED_VALUE"""),"")</f>
        <v/>
      </c>
      <c r="DD18" s="2" t="str">
        <f>IFERROR(__xludf.DUMMYFUNCTION("""COMPUTED_VALUE"""),"")</f>
        <v/>
      </c>
      <c r="DE18" s="2" t="str">
        <f>IFERROR(__xludf.DUMMYFUNCTION("""COMPUTED_VALUE"""),"")</f>
        <v/>
      </c>
      <c r="DF18" s="2" t="str">
        <f>IFERROR(__xludf.DUMMYFUNCTION("""COMPUTED_VALUE"""),"")</f>
        <v/>
      </c>
      <c r="DG18" s="2" t="str">
        <f>IFERROR(__xludf.DUMMYFUNCTION("""COMPUTED_VALUE"""),"")</f>
        <v/>
      </c>
      <c r="DH18" s="2" t="str">
        <f>IFERROR(__xludf.DUMMYFUNCTION("""COMPUTED_VALUE"""),"")</f>
        <v/>
      </c>
      <c r="DI18" s="2" t="str">
        <f>IFERROR(__xludf.DUMMYFUNCTION("""COMPUTED_VALUE"""),"")</f>
        <v/>
      </c>
      <c r="DJ18" s="2" t="str">
        <f>IFERROR(__xludf.DUMMYFUNCTION("""COMPUTED_VALUE"""),"")</f>
        <v/>
      </c>
      <c r="DK18" s="2" t="str">
        <f>IFERROR(__xludf.DUMMYFUNCTION("""COMPUTED_VALUE"""),"")</f>
        <v/>
      </c>
      <c r="DL18" s="2" t="str">
        <f>IFERROR(__xludf.DUMMYFUNCTION("""COMPUTED_VALUE"""),"")</f>
        <v/>
      </c>
      <c r="DM18" s="2" t="str">
        <f>IFERROR(__xludf.DUMMYFUNCTION("""COMPUTED_VALUE"""),"")</f>
        <v/>
      </c>
      <c r="DN18" s="2" t="str">
        <f>IFERROR(__xludf.DUMMYFUNCTION("""COMPUTED_VALUE"""),"")</f>
        <v/>
      </c>
      <c r="DO18" s="2" t="str">
        <f>IFERROR(__xludf.DUMMYFUNCTION("""COMPUTED_VALUE"""),"")</f>
        <v/>
      </c>
      <c r="DP18" s="2" t="str">
        <f>IFERROR(__xludf.DUMMYFUNCTION("""COMPUTED_VALUE"""),"")</f>
        <v/>
      </c>
      <c r="DQ18" s="2" t="str">
        <f>IFERROR(__xludf.DUMMYFUNCTION("""COMPUTED_VALUE"""),"")</f>
        <v/>
      </c>
      <c r="DR18" s="2" t="str">
        <f>IFERROR(__xludf.DUMMYFUNCTION("""COMPUTED_VALUE"""),"")</f>
        <v/>
      </c>
      <c r="DS18" s="2" t="str">
        <f>IFERROR(__xludf.DUMMYFUNCTION("""COMPUTED_VALUE"""),"")</f>
        <v/>
      </c>
      <c r="DT18" s="2" t="str">
        <f>IFERROR(__xludf.DUMMYFUNCTION("""COMPUTED_VALUE"""),"")</f>
        <v/>
      </c>
      <c r="DU18" s="2" t="str">
        <f>IFERROR(__xludf.DUMMYFUNCTION("""COMPUTED_VALUE"""),"")</f>
        <v/>
      </c>
      <c r="DV18" s="2" t="str">
        <f>IFERROR(__xludf.DUMMYFUNCTION("""COMPUTED_VALUE"""),"")</f>
        <v/>
      </c>
      <c r="DW18" s="2" t="str">
        <f>IFERROR(__xludf.DUMMYFUNCTION("""COMPUTED_VALUE"""),"")</f>
        <v/>
      </c>
      <c r="DX18" s="2" t="str">
        <f>IFERROR(__xludf.DUMMYFUNCTION("""COMPUTED_VALUE"""),"")</f>
        <v/>
      </c>
      <c r="DY18" s="2" t="str">
        <f>IFERROR(__xludf.DUMMYFUNCTION("""COMPUTED_VALUE"""),"")</f>
        <v/>
      </c>
      <c r="DZ18" s="2" t="str">
        <f>IFERROR(__xludf.DUMMYFUNCTION("""COMPUTED_VALUE"""),"")</f>
        <v/>
      </c>
      <c r="EA18" s="2" t="str">
        <f>IFERROR(__xludf.DUMMYFUNCTION("""COMPUTED_VALUE"""),"")</f>
        <v/>
      </c>
      <c r="EB18" s="2" t="str">
        <f>IFERROR(__xludf.DUMMYFUNCTION("""COMPUTED_VALUE"""),"")</f>
        <v/>
      </c>
      <c r="EC18" s="2" t="str">
        <f>IFERROR(__xludf.DUMMYFUNCTION("""COMPUTED_VALUE"""),"")</f>
        <v/>
      </c>
      <c r="ED18" s="2" t="str">
        <f>IFERROR(__xludf.DUMMYFUNCTION("""COMPUTED_VALUE"""),"")</f>
        <v/>
      </c>
      <c r="EE18" s="2" t="str">
        <f>IFERROR(__xludf.DUMMYFUNCTION("""COMPUTED_VALUE"""),"")</f>
        <v/>
      </c>
      <c r="EF18" s="2" t="str">
        <f>IFERROR(__xludf.DUMMYFUNCTION("""COMPUTED_VALUE"""),"")</f>
        <v/>
      </c>
      <c r="EG18" s="2" t="str">
        <f>IFERROR(__xludf.DUMMYFUNCTION("""COMPUTED_VALUE"""),"")</f>
        <v/>
      </c>
      <c r="EH18" s="2" t="str">
        <f>IFERROR(__xludf.DUMMYFUNCTION("""COMPUTED_VALUE"""),"")</f>
        <v/>
      </c>
      <c r="EI18" s="2" t="str">
        <f>IFERROR(__xludf.DUMMYFUNCTION("""COMPUTED_VALUE"""),"")</f>
        <v/>
      </c>
      <c r="EJ18" s="2" t="str">
        <f>IFERROR(__xludf.DUMMYFUNCTION("""COMPUTED_VALUE"""),"")</f>
        <v/>
      </c>
      <c r="EK18" s="2" t="str">
        <f>IFERROR(__xludf.DUMMYFUNCTION("""COMPUTED_VALUE"""),"")</f>
        <v/>
      </c>
      <c r="EL18" s="2" t="str">
        <f>IFERROR(__xludf.DUMMYFUNCTION("""COMPUTED_VALUE"""),"")</f>
        <v/>
      </c>
      <c r="EM18" s="2" t="str">
        <f>IFERROR(__xludf.DUMMYFUNCTION("""COMPUTED_VALUE"""),"")</f>
        <v/>
      </c>
      <c r="EN18" s="2" t="str">
        <f>IFERROR(__xludf.DUMMYFUNCTION("""COMPUTED_VALUE"""),"")</f>
        <v/>
      </c>
      <c r="EO18" s="2" t="str">
        <f>IFERROR(__xludf.DUMMYFUNCTION("""COMPUTED_VALUE"""),"")</f>
        <v/>
      </c>
      <c r="EP18" s="2" t="str">
        <f>IFERROR(__xludf.DUMMYFUNCTION("""COMPUTED_VALUE"""),"")</f>
        <v/>
      </c>
      <c r="EQ18" s="2" t="str">
        <f>IFERROR(__xludf.DUMMYFUNCTION("""COMPUTED_VALUE"""),"")</f>
        <v/>
      </c>
      <c r="ER18" s="2" t="str">
        <f>IFERROR(__xludf.DUMMYFUNCTION("""COMPUTED_VALUE"""),"")</f>
        <v/>
      </c>
      <c r="ES18" s="2" t="str">
        <f>IFERROR(__xludf.DUMMYFUNCTION("""COMPUTED_VALUE"""),"")</f>
        <v/>
      </c>
      <c r="ET18" s="2" t="str">
        <f>IFERROR(__xludf.DUMMYFUNCTION("""COMPUTED_VALUE"""),"")</f>
        <v/>
      </c>
      <c r="EU18" s="2" t="str">
        <f>IFERROR(__xludf.DUMMYFUNCTION("""COMPUTED_VALUE"""),"")</f>
        <v/>
      </c>
      <c r="EV18" s="2" t="str">
        <f>IFERROR(__xludf.DUMMYFUNCTION("""COMPUTED_VALUE"""),"")</f>
        <v/>
      </c>
      <c r="EW18" s="2" t="str">
        <f>IFERROR(__xludf.DUMMYFUNCTION("""COMPUTED_VALUE"""),"")</f>
        <v/>
      </c>
      <c r="EX18" s="2" t="str">
        <f>IFERROR(__xludf.DUMMYFUNCTION("""COMPUTED_VALUE"""),"")</f>
        <v/>
      </c>
      <c r="EY18" s="2" t="str">
        <f>IFERROR(__xludf.DUMMYFUNCTION("""COMPUTED_VALUE"""),"UC Test Pump")</f>
        <v>UC Test Pump</v>
      </c>
      <c r="EZ18" s="2" t="str">
        <f>IFERROR(__xludf.DUMMYFUNCTION("""COMPUTED_VALUE"""),"UC-FP-1")</f>
        <v>UC-FP-1</v>
      </c>
      <c r="FA18" s="2" t="str">
        <f>IFERROR(__xludf.DUMMYFUNCTION("""COMPUTED_VALUE"""),"AESC Admin - Hose Monster")</f>
        <v>AESC Admin - Hose Monster</v>
      </c>
      <c r="FB18" s="2" t="str">
        <f>IFERROR(__xludf.DUMMYFUNCTION("""COMPUTED_VALUE"""),"c4a602a6-5b8e-4c9d-87bd-335d4071d942")</f>
        <v>c4a602a6-5b8e-4c9d-87bd-335d4071d942</v>
      </c>
      <c r="FC18" s="2" t="str">
        <f>IFERROR(__xludf.DUMMYFUNCTION("""COMPUTED_VALUE"""),"UC Test Testing Firm")</f>
        <v>UC Test Testing Firm</v>
      </c>
      <c r="FD18" s="14" t="str">
        <f>IFERROR(__xludf.DUMMYFUNCTION("""COMPUTED_VALUE"""),"https://ucld.us/_proto/index.html#ajax/AssetDetails.html?assetid=835317036")</f>
        <v>https://ucld.us/_proto/index.html#ajax/AssetDetails.html?assetid=835317036</v>
      </c>
      <c r="FE18" s="15">
        <f>IFERROR(__xludf.DUMMYFUNCTION("""COMPUTED_VALUE"""),43796.0)</f>
        <v>43796</v>
      </c>
      <c r="FF18" s="2">
        <f>IFERROR(__xludf.DUMMYFUNCTION("""COMPUTED_VALUE"""),42.77487)</f>
        <v>42.77487</v>
      </c>
      <c r="FG18" s="2">
        <f>IFERROR(__xludf.DUMMYFUNCTION("""COMPUTED_VALUE"""),-71.249246)</f>
        <v>-71.249246</v>
      </c>
      <c r="FH18" s="2" t="str">
        <f>IFERROR(__xludf.DUMMYFUNCTION("""COMPUTED_VALUE"""),"")</f>
        <v/>
      </c>
      <c r="FI18" s="2">
        <f>IFERROR(__xludf.DUMMYFUNCTION("""COMPUTED_VALUE"""),8.35317036E8)</f>
        <v>835317036</v>
      </c>
      <c r="FJ18" s="2" t="str">
        <f>IFERROR(__xludf.DUMMYFUNCTION("""COMPUTED_VALUE"""),"lsifsldf")</f>
        <v>lsifsldf</v>
      </c>
      <c r="FK18" s="2" t="str">
        <f>IFERROR(__xludf.DUMMYFUNCTION("""COMPUTED_VALUE"""),"bldg name")</f>
        <v>bldg name</v>
      </c>
      <c r="FL18" s="2" t="str">
        <f>IFERROR(__xludf.DUMMYFUNCTION("""COMPUTED_VALUE"""),"sdfj")</f>
        <v>sdfj</v>
      </c>
      <c r="FM18" s="2" t="str">
        <f>IFERROR(__xludf.DUMMYFUNCTION("""COMPUTED_VALUE"""),"sdlifiji")</f>
        <v>sdlifiji</v>
      </c>
      <c r="FN18" s="2" t="str">
        <f>IFERROR(__xludf.DUMMYFUNCTION("""COMPUTED_VALUE"""),"sljsdf")</f>
        <v>sljsdf</v>
      </c>
      <c r="FO18" s="2" t="str">
        <f>IFERROR(__xludf.DUMMYFUNCTION("""COMPUTED_VALUE"""),"ljsf")</f>
        <v>ljsf</v>
      </c>
      <c r="FP18" s="2" t="str">
        <f>IFERROR(__xludf.DUMMYFUNCTION("""COMPUTED_VALUE"""),"Milford")</f>
        <v>Milford</v>
      </c>
      <c r="FQ18" s="2" t="str">
        <f>IFERROR(__xludf.DUMMYFUNCTION("""COMPUTED_VALUE"""),"US")</f>
        <v>US</v>
      </c>
      <c r="FR18" s="2" t="str">
        <f>IFERROR(__xludf.DUMMYFUNCTION("""COMPUTED_VALUE"""),"ABC Big Company")</f>
        <v>ABC Big Company</v>
      </c>
      <c r="FS18" s="2" t="str">
        <f>IFERROR(__xludf.DUMMYFUNCTION("""COMPUTED_VALUE"""),"")</f>
        <v/>
      </c>
      <c r="FT18" s="2" t="str">
        <f>IFERROR(__xludf.DUMMYFUNCTION("""COMPUTED_VALUE"""),"Bill Williams")</f>
        <v>Bill Williams</v>
      </c>
      <c r="FU18" s="16">
        <f>IFERROR(__xludf.DUMMYFUNCTION("""COMPUTED_VALUE"""),43801.0)</f>
        <v>43801</v>
      </c>
      <c r="FV18" s="16">
        <f>IFERROR(__xludf.DUMMYFUNCTION("""COMPUTED_VALUE"""),43770.0)</f>
        <v>43770</v>
      </c>
      <c r="FW18" s="2">
        <f>IFERROR(__xludf.DUMMYFUNCTION("""COMPUTED_VALUE"""),4.0)</f>
        <v>4</v>
      </c>
      <c r="FX18" s="2">
        <f>IFERROR(__xludf.DUMMYFUNCTION("""COMPUTED_VALUE"""),3.0)</f>
        <v>3</v>
      </c>
      <c r="FY18" s="2" t="str">
        <f>IFERROR(__xludf.DUMMYFUNCTION("""COMPUTED_VALUE"""),"FM")</f>
        <v>FM</v>
      </c>
      <c r="FZ18" s="2" t="str">
        <f>IFERROR(__xludf.DUMMYFUNCTION("""COMPUTED_VALUE"""),"grlsfkkjjslfj")</f>
        <v>grlsfkkjjslfj</v>
      </c>
      <c r="GA18" s="2" t="str">
        <f>IFERROR(__xludf.DUMMYFUNCTION("""COMPUTED_VALUE"""),"gdijgs")</f>
        <v>gdijgs</v>
      </c>
      <c r="GB18" s="2" t="str">
        <f>IFERROR(__xludf.DUMMYFUNCTION("""COMPUTED_VALUE"""),"fgdfg")</f>
        <v>fgdfg</v>
      </c>
      <c r="GC18" s="2">
        <f>IFERROR(__xludf.DUMMYFUNCTION("""COMPUTED_VALUE"""),3.0)</f>
        <v>3</v>
      </c>
      <c r="GD18" s="2">
        <f>IFERROR(__xludf.DUMMYFUNCTION("""COMPUTED_VALUE"""),2.0)</f>
        <v>2</v>
      </c>
      <c r="GE18" s="2">
        <f>IFERROR(__xludf.DUMMYFUNCTION("""COMPUTED_VALUE"""),1.0)</f>
        <v>1</v>
      </c>
      <c r="GF18" s="2">
        <f>IFERROR(__xludf.DUMMYFUNCTION("""COMPUTED_VALUE"""),2.0)</f>
        <v>2</v>
      </c>
      <c r="GG18" s="2">
        <f>IFERROR(__xludf.DUMMYFUNCTION("""COMPUTED_VALUE"""),1.0)</f>
        <v>1</v>
      </c>
      <c r="GH18" s="2" t="str">
        <f>IFERROR(__xludf.DUMMYFUNCTION("""COMPUTED_VALUE"""),"dlfjgf")</f>
        <v>dlfjgf</v>
      </c>
      <c r="GI18" s="2" t="str">
        <f>IFERROR(__xludf.DUMMYFUNCTION("""COMPUTED_VALUE"""),"gdfsf")</f>
        <v>gdfsf</v>
      </c>
      <c r="GJ18" s="2" t="str">
        <f>IFERROR(__xludf.DUMMYFUNCTION("""COMPUTED_VALUE"""),"Electric Motor")</f>
        <v>Electric Motor</v>
      </c>
      <c r="GK18" s="2" t="str">
        <f>IFERROR(__xludf.DUMMYFUNCTION("""COMPUTED_VALUE"""),"")</f>
        <v/>
      </c>
      <c r="GL18" s="2" t="str">
        <f>IFERROR(__xludf.DUMMYFUNCTION("""COMPUTED_VALUE"""),"example@example.com")</f>
        <v>example@example.com</v>
      </c>
      <c r="GM18" s="2" t="str">
        <f>IFERROR(__xludf.DUMMYFUNCTION("""COMPUTED_VALUE"""),"999-999-9999")</f>
        <v>999-999-9999</v>
      </c>
      <c r="GN18" s="2" t="str">
        <f>IFERROR(__xludf.DUMMYFUNCTION("""COMPUTED_VALUE"""),"")</f>
        <v/>
      </c>
      <c r="GO18" s="2" t="str">
        <f>IFERROR(__xludf.DUMMYFUNCTION("""COMPUTED_VALUE"""),"")</f>
        <v/>
      </c>
      <c r="GP18" s="2" t="str">
        <f>IFERROR(__xludf.DUMMYFUNCTION("""COMPUTED_VALUE"""),"")</f>
        <v/>
      </c>
      <c r="GQ18" s="2">
        <f>IFERROR(__xludf.DUMMYFUNCTION("""COMPUTED_VALUE"""),3.0)</f>
        <v>3</v>
      </c>
      <c r="GR18" s="2" t="str">
        <f>IFERROR(__xludf.DUMMYFUNCTION("""COMPUTED_VALUE"""),"UL")</f>
        <v>UL</v>
      </c>
      <c r="GS18" s="2" t="str">
        <f>IFERROR(__xludf.DUMMYFUNCTION("""COMPUTED_VALUE"""),"sldf")</f>
        <v>sldf</v>
      </c>
      <c r="GT18" s="2" t="str">
        <f>IFERROR(__xludf.DUMMYFUNCTION("""COMPUTED_VALUE"""),"sflj")</f>
        <v>sflj</v>
      </c>
      <c r="GU18" s="2">
        <f>IFERROR(__xludf.DUMMYFUNCTION("""COMPUTED_VALUE"""),6.0)</f>
        <v>6</v>
      </c>
      <c r="GV18" s="2">
        <f>IFERROR(__xludf.DUMMYFUNCTION("""COMPUTED_VALUE"""),5.0)</f>
        <v>5</v>
      </c>
      <c r="GW18" s="2">
        <f>IFERROR(__xludf.DUMMYFUNCTION("""COMPUTED_VALUE"""),2.0)</f>
        <v>2</v>
      </c>
      <c r="GX18" s="2">
        <f>IFERROR(__xludf.DUMMYFUNCTION("""COMPUTED_VALUE"""),1.0)</f>
        <v>1</v>
      </c>
      <c r="GY18" s="2">
        <f>IFERROR(__xludf.DUMMYFUNCTION("""COMPUTED_VALUE"""),4.0)</f>
        <v>4</v>
      </c>
      <c r="GZ18" s="2" t="str">
        <f>IFERROR(__xludf.DUMMYFUNCTION("""COMPUTED_VALUE"""),"slkjsdfdl")</f>
        <v>slkjsdfdl</v>
      </c>
      <c r="HA18" s="2" t="str">
        <f>IFERROR(__xludf.DUMMYFUNCTION("""COMPUTED_VALUE"""),"slfj")</f>
        <v>slfj</v>
      </c>
      <c r="HB18" s="2" t="str">
        <f>IFERROR(__xludf.DUMMYFUNCTION("""COMPUTED_VALUE"""),"sdfj")</f>
        <v>sdfj</v>
      </c>
      <c r="HC18" s="2" t="str">
        <f>IFERROR(__xludf.DUMMYFUNCTION("""COMPUTED_VALUE"""),"lsflsdk")</f>
        <v>lsflsdk</v>
      </c>
      <c r="HD18" s="2">
        <f>IFERROR(__xludf.DUMMYFUNCTION("""COMPUTED_VALUE"""),120.0)</f>
        <v>120</v>
      </c>
      <c r="HE18" s="2">
        <f>IFERROR(__xludf.DUMMYFUNCTION("""COMPUTED_VALUE"""),67.0)</f>
        <v>67</v>
      </c>
      <c r="HF18" s="2">
        <f>IFERROR(__xludf.DUMMYFUNCTION("""COMPUTED_VALUE"""),100.0)</f>
        <v>100</v>
      </c>
      <c r="HG18" s="2">
        <f>IFERROR(__xludf.DUMMYFUNCTION("""COMPUTED_VALUE"""),3.0)</f>
        <v>3</v>
      </c>
      <c r="HH18" s="2" t="str">
        <f>IFERROR(__xludf.DUMMYFUNCTION("""COMPUTED_VALUE"""),"sj;")</f>
        <v>sj;</v>
      </c>
      <c r="HI18" s="2" t="str">
        <f>IFERROR(__xludf.DUMMYFUNCTION("""COMPUTED_VALUE"""),"sf;os")</f>
        <v>sf;os</v>
      </c>
      <c r="HJ18" s="2" t="str">
        <f>IFERROR(__xludf.DUMMYFUNCTION("""COMPUTED_VALUE"""),"ljsf")</f>
        <v>ljsf</v>
      </c>
      <c r="HK18" s="2" t="str">
        <f>IFERROR(__xludf.DUMMYFUNCTION("""COMPUTED_VALUE"""),"lkjsdf")</f>
        <v>lkjsdf</v>
      </c>
      <c r="HL18" s="2" t="str">
        <f>IFERROR(__xludf.DUMMYFUNCTION("""COMPUTED_VALUE"""),"")</f>
        <v/>
      </c>
      <c r="HM18" s="2" t="str">
        <f>IFERROR(__xludf.DUMMYFUNCTION("""COMPUTED_VALUE"""),"")</f>
        <v/>
      </c>
      <c r="HN18" s="2" t="str">
        <f>IFERROR(__xludf.DUMMYFUNCTION("""COMPUTED_VALUE"""),"")</f>
        <v/>
      </c>
      <c r="HO18" s="2">
        <f>IFERROR(__xludf.DUMMYFUNCTION("""COMPUTED_VALUE"""),3.0)</f>
        <v>3</v>
      </c>
      <c r="HP18" s="2" t="str">
        <f>IFERROR(__xludf.DUMMYFUNCTION("""COMPUTED_VALUE"""),"ULC")</f>
        <v>ULC</v>
      </c>
      <c r="HQ18" s="2" t="str">
        <f>IFERROR(__xludf.DUMMYFUNCTION("""COMPUTED_VALUE"""),"gkiksjf")</f>
        <v>gkiksjf</v>
      </c>
      <c r="HR18" s="2" t="str">
        <f>IFERROR(__xludf.DUMMYFUNCTION("""COMPUTED_VALUE"""),"OJSFDLJ")</f>
        <v>OJSFDLJ</v>
      </c>
      <c r="HS18" s="2">
        <f>IFERROR(__xludf.DUMMYFUNCTION("""COMPUTED_VALUE"""),6.0)</f>
        <v>6</v>
      </c>
      <c r="HT18" s="2">
        <f>IFERROR(__xludf.DUMMYFUNCTION("""COMPUTED_VALUE"""),5.0)</f>
        <v>5</v>
      </c>
      <c r="HU18" s="2">
        <f>IFERROR(__xludf.DUMMYFUNCTION("""COMPUTED_VALUE"""),2.0)</f>
        <v>2</v>
      </c>
      <c r="HV18" s="2">
        <f>IFERROR(__xludf.DUMMYFUNCTION("""COMPUTED_VALUE"""),1.0)</f>
        <v>1</v>
      </c>
      <c r="HW18" s="2">
        <f>IFERROR(__xludf.DUMMYFUNCTION("""COMPUTED_VALUE"""),4.0)</f>
        <v>4</v>
      </c>
      <c r="HX18" s="2" t="str">
        <f>IFERROR(__xludf.DUMMYFUNCTION("""COMPUTED_VALUE"""),"SSL")</f>
        <v>SSL</v>
      </c>
      <c r="HY18" s="2">
        <f>IFERROR(__xludf.DUMMYFUNCTION("""COMPUTED_VALUE"""),3.0)</f>
        <v>3</v>
      </c>
      <c r="HZ18" s="2">
        <f>IFERROR(__xludf.DUMMYFUNCTION("""COMPUTED_VALUE"""),7.0)</f>
        <v>7</v>
      </c>
      <c r="IA18" s="2" t="str">
        <f>IFERROR(__xludf.DUMMYFUNCTION("""COMPUTED_VALUE"""),"sdfljsd")</f>
        <v>sdfljsd</v>
      </c>
      <c r="IB18" s="2" t="str">
        <f>IFERROR(__xludf.DUMMYFUNCTION("""COMPUTED_VALUE"""),"gierp")</f>
        <v>gierp</v>
      </c>
      <c r="IC18" s="2">
        <f>IFERROR(__xludf.DUMMYFUNCTION("""COMPUTED_VALUE"""),2.0)</f>
        <v>2</v>
      </c>
      <c r="ID18" s="2">
        <f>IFERROR(__xludf.DUMMYFUNCTION("""COMPUTED_VALUE"""),6.0)</f>
        <v>6</v>
      </c>
      <c r="IE18" s="2">
        <f>IFERROR(__xludf.DUMMYFUNCTION("""COMPUTED_VALUE"""),3.0)</f>
        <v>3</v>
      </c>
      <c r="IF18" s="2">
        <f>IFERROR(__xludf.DUMMYFUNCTION("""COMPUTED_VALUE"""),1.0)</f>
        <v>1</v>
      </c>
      <c r="IG18" s="2">
        <f>IFERROR(__xludf.DUMMYFUNCTION("""COMPUTED_VALUE"""),4.0)</f>
        <v>4</v>
      </c>
      <c r="IH18" s="2">
        <f>IFERROR(__xludf.DUMMYFUNCTION("""COMPUTED_VALUE"""),2.0)</f>
        <v>2</v>
      </c>
      <c r="II18" s="2">
        <f>IFERROR(__xludf.DUMMYFUNCTION("""COMPUTED_VALUE"""),4.0)</f>
        <v>4</v>
      </c>
      <c r="IJ18" s="2" t="str">
        <f>IFERROR(__xludf.DUMMYFUNCTION("""COMPUTED_VALUE"""),"grgdfl")</f>
        <v>grgdfl</v>
      </c>
      <c r="IK18" s="2">
        <f>IFERROR(__xludf.DUMMYFUNCTION("""COMPUTED_VALUE"""),5.0)</f>
        <v>5</v>
      </c>
      <c r="IL18" s="2" t="str">
        <f>IFERROR(__xludf.DUMMYFUNCTION("""COMPUTED_VALUE"""),"FM")</f>
        <v>FM</v>
      </c>
      <c r="IM18" s="2" t="str">
        <f>IFERROR(__xludf.DUMMYFUNCTION("""COMPUTED_VALUE"""),"grrgrg")</f>
        <v>grrgrg</v>
      </c>
      <c r="IN18" s="2" t="str">
        <f>IFERROR(__xludf.DUMMYFUNCTION("""COMPUTED_VALUE"""),"rthrt")</f>
        <v>rthrt</v>
      </c>
      <c r="IO18" s="2" t="str">
        <f>IFERROR(__xludf.DUMMYFUNCTION("""COMPUTED_VALUE"""),"dfjsdfljsd")</f>
        <v>dfjsdfljsd</v>
      </c>
      <c r="IP18" s="2" t="str">
        <f>IFERROR(__xludf.DUMMYFUNCTION("""COMPUTED_VALUE"""),"")</f>
        <v/>
      </c>
      <c r="IQ18" s="2" t="str">
        <f>IFERROR(__xludf.DUMMYFUNCTION("""COMPUTED_VALUE"""),"999-999-9999")</f>
        <v>999-999-9999</v>
      </c>
      <c r="IR18" s="2" t="str">
        <f>IFERROR(__xludf.DUMMYFUNCTION("""COMPUTED_VALUE"""),"clockwise")</f>
        <v>clockwise</v>
      </c>
      <c r="IS18" s="2" t="str">
        <f>IFERROR(__xludf.DUMMYFUNCTION("""COMPUTED_VALUE"""),"end-suction")</f>
        <v>end-suction</v>
      </c>
      <c r="IT18" s="2">
        <f>IFERROR(__xludf.DUMMYFUNCTION("""COMPUTED_VALUE"""),1000.0)</f>
        <v>1000</v>
      </c>
      <c r="IU18" s="2">
        <f>IFERROR(__xludf.DUMMYFUNCTION("""COMPUTED_VALUE"""),3500.0)</f>
        <v>3500</v>
      </c>
      <c r="IV18" s="2" t="str">
        <f>IFERROR(__xludf.DUMMYFUNCTION("""COMPUTED_VALUE"""),"sfpu")</f>
        <v>sfpu</v>
      </c>
      <c r="IW18" s="2" t="str">
        <f>IFERROR(__xludf.DUMMYFUNCTION("""COMPUTED_VALUE"""),"UL")</f>
        <v>UL</v>
      </c>
      <c r="IX18" s="2" t="str">
        <f>IFERROR(__xludf.DUMMYFUNCTION("""COMPUTED_VALUE"""),"dgdln")</f>
        <v>dgdln</v>
      </c>
      <c r="IY18" s="2" t="str">
        <f>IFERROR(__xludf.DUMMYFUNCTION("""COMPUTED_VALUE"""),"ssdfl")</f>
        <v>ssdfl</v>
      </c>
      <c r="IZ18" s="2" t="str">
        <f>IFERROR(__xludf.DUMMYFUNCTION("""COMPUTED_VALUE"""),"lijsfljsd")</f>
        <v>lijsfljsd</v>
      </c>
      <c r="JA18" s="2" t="str">
        <f>IFERROR(__xludf.DUMMYFUNCTION("""COMPUTED_VALUE"""),"")</f>
        <v/>
      </c>
      <c r="JB18" s="2" t="str">
        <f>IFERROR(__xludf.DUMMYFUNCTION("""COMPUTED_VALUE"""),"jlj")</f>
        <v>jlj</v>
      </c>
      <c r="JC18" s="2" t="str">
        <f>IFERROR(__xludf.DUMMYFUNCTION("""COMPUTED_VALUE"""),"NH")</f>
        <v>NH</v>
      </c>
      <c r="JD18" s="2" t="str">
        <f>IFERROR(__xludf.DUMMYFUNCTION("""COMPUTED_VALUE"""),"123 ABC Street")</f>
        <v>123 ABC Street</v>
      </c>
      <c r="JE18" s="2" t="str">
        <f>IFERROR(__xludf.DUMMYFUNCTION("""COMPUTED_VALUE"""),"Suite 1")</f>
        <v>Suite 1</v>
      </c>
      <c r="JF18" s="2" t="str">
        <f>IFERROR(__xludf.DUMMYFUNCTION("""COMPUTED_VALUE"""),"ffdsfs")</f>
        <v>ffdsfs</v>
      </c>
      <c r="JG18" s="2">
        <f>IFERROR(__xludf.DUMMYFUNCTION("""COMPUTED_VALUE"""),2.0)</f>
        <v>2</v>
      </c>
      <c r="JH18" s="2">
        <f>IFERROR(__xludf.DUMMYFUNCTION("""COMPUTED_VALUE"""),1.0)</f>
        <v>1</v>
      </c>
      <c r="JI18" s="2" t="str">
        <f>IFERROR(__xludf.DUMMYFUNCTION("""COMPUTED_VALUE"""),"Joseph Smith")</f>
        <v>Joseph Smith</v>
      </c>
      <c r="JJ18" s="2">
        <f>IFERROR(__xludf.DUMMYFUNCTION("""COMPUTED_VALUE"""),1.23456789E8)</f>
        <v>123456789</v>
      </c>
      <c r="JK18" s="2" t="str">
        <f>IFERROR(__xludf.DUMMYFUNCTION("""COMPUTED_VALUE"""),"")</f>
        <v/>
      </c>
      <c r="JL18" s="14" t="str">
        <f>IFERROR(__xludf.DUMMYFUNCTION("""COMPUTED_VALUE"""),"https://s3.amazonaws.com/UcAssetDataProduction/8ffa21a4-feeb-4341-b99f-0ff6134736c7.jpg")</f>
        <v>https://s3.amazonaws.com/UcAssetDataProduction/8ffa21a4-feeb-4341-b99f-0ff6134736c7.jpg</v>
      </c>
      <c r="JM18" s="2" t="str">
        <f>IFERROR(__xludf.DUMMYFUNCTION("""COMPUTED_VALUE"""),"My Testing Firm Name")</f>
        <v>My Testing Firm Name</v>
      </c>
      <c r="JN18" s="2">
        <f>IFERROR(__xludf.DUMMYFUNCTION("""COMPUTED_VALUE"""),231.0)</f>
        <v>231</v>
      </c>
      <c r="JO18" s="2">
        <f>IFERROR(__xludf.DUMMYFUNCTION("""COMPUTED_VALUE"""),3055.0)</f>
        <v>3055</v>
      </c>
      <c r="JP18" s="2" t="str">
        <f>IFERROR(__xludf.DUMMYFUNCTION("""COMPUTED_VALUE"""),"AESC Admin - Hose Monster")</f>
        <v>AESC Admin - Hose Monster</v>
      </c>
      <c r="JQ18" s="2" t="str">
        <f>IFERROR(__xludf.DUMMYFUNCTION("""COMPUTED_VALUE"""),"")</f>
        <v/>
      </c>
      <c r="JR18" s="2" t="str">
        <f>IFERROR(__xludf.DUMMYFUNCTION("""COMPUTED_VALUE"""),"")</f>
        <v/>
      </c>
      <c r="JS18" s="2" t="str">
        <f>IFERROR(__xludf.DUMMYFUNCTION("""COMPUTED_VALUE"""),"")</f>
        <v/>
      </c>
      <c r="JT18" s="2" t="str">
        <f>IFERROR(__xludf.DUMMYFUNCTION("""COMPUTED_VALUE"""),"")</f>
        <v/>
      </c>
      <c r="JU18" s="2" t="str">
        <f>IFERROR(__xludf.DUMMYFUNCTION("""COMPUTED_VALUE"""),"603-111-2222")</f>
        <v>603-111-2222</v>
      </c>
      <c r="JV18" s="2" t="str">
        <f>IFERROR(__xludf.DUMMYFUNCTION("""COMPUTED_VALUE"""),"AESC Admin - Hose Monster")</f>
        <v>AESC Admin - Hose Monster</v>
      </c>
      <c r="JW18" s="15">
        <f>IFERROR(__xludf.DUMMYFUNCTION("""COMPUTED_VALUE"""),43865.728680555556)</f>
        <v>43865.72868</v>
      </c>
      <c r="JX18" s="2" t="str">
        <f>IFERROR(__xludf.DUMMYFUNCTION("""COMPUTED_VALUE"""),"")</f>
        <v/>
      </c>
      <c r="JY18" s="2" t="str">
        <f>IFERROR(__xludf.DUMMYFUNCTION("""COMPUTED_VALUE"""),"DFLJSD")</f>
        <v>DFLJSD</v>
      </c>
      <c r="JZ18" s="2" t="str">
        <f>IFERROR(__xludf.DUMMYFUNCTION("""COMPUTED_VALUE"""),"Minor")</f>
        <v>Minor</v>
      </c>
      <c r="KA18" s="2" t="str">
        <f>IFERROR(__xludf.DUMMYFUNCTION("""COMPUTED_VALUE"""),"Complete")</f>
        <v>Complete</v>
      </c>
      <c r="KB18" s="2" t="str">
        <f>IFERROR(__xludf.DUMMYFUNCTION("""COMPUTED_VALUE"""),"PM")</f>
        <v>PM</v>
      </c>
    </row>
    <row r="19">
      <c r="A19" s="15">
        <f>IFERROR(__xludf.DUMMYFUNCTION("""COMPUTED_VALUE"""),43865.52898148148)</f>
        <v>43865.52898</v>
      </c>
      <c r="B19" s="2" t="str">
        <f>IFERROR(__xludf.DUMMYFUNCTION("""COMPUTED_VALUE"""),"AESC Admin - Hose Monster")</f>
        <v>AESC Admin - Hose Monster</v>
      </c>
      <c r="C19" s="2" t="str">
        <f>IFERROR(__xludf.DUMMYFUNCTION("""COMPUTED_VALUE"""),"")</f>
        <v/>
      </c>
      <c r="D19" s="2">
        <f>IFERROR(__xludf.DUMMYFUNCTION("""COMPUTED_VALUE"""),8.65337149E8)</f>
        <v>865337149</v>
      </c>
      <c r="E19" s="15">
        <f>IFERROR(__xludf.DUMMYFUNCTION("""COMPUTED_VALUE"""),43865.0)</f>
        <v>43865</v>
      </c>
      <c r="F19" s="2" t="str">
        <f>IFERROR(__xludf.DUMMYFUNCTION("""COMPUTED_VALUE"""),"")</f>
        <v/>
      </c>
      <c r="G19" s="2" t="str">
        <f>IFERROR(__xludf.DUMMYFUNCTION("""COMPUTED_VALUE"""),"")</f>
        <v/>
      </c>
      <c r="H19" s="2" t="str">
        <f>IFERROR(__xludf.DUMMYFUNCTION("""COMPUTED_VALUE"""),"")</f>
        <v/>
      </c>
      <c r="I19" s="2" t="str">
        <f>IFERROR(__xludf.DUMMYFUNCTION("""COMPUTED_VALUE"""),"")</f>
        <v/>
      </c>
      <c r="J19" s="2" t="str">
        <f>IFERROR(__xludf.DUMMYFUNCTION("""COMPUTED_VALUE"""),"")</f>
        <v/>
      </c>
      <c r="K19" s="2" t="str">
        <f>IFERROR(__xludf.DUMMYFUNCTION("""COMPUTED_VALUE"""),"1 1/2"" In-line Pitotless Nozzle")</f>
        <v>1 1/2" In-line Pitotless Nozzle</v>
      </c>
      <c r="L19" s="2" t="str">
        <f>IFERROR(__xludf.DUMMYFUNCTION("""COMPUTED_VALUE"""),"In-line Pitotless Nozzle")</f>
        <v>In-line Pitotless Nozzle</v>
      </c>
      <c r="M19" s="2">
        <f>IFERROR(__xludf.DUMMYFUNCTION("""COMPUTED_VALUE"""),4.0)</f>
        <v>4</v>
      </c>
      <c r="N19" s="2">
        <f>IFERROR(__xludf.DUMMYFUNCTION("""COMPUTED_VALUE"""),3561.0)</f>
        <v>3561</v>
      </c>
      <c r="O19" s="2">
        <f>IFERROR(__xludf.DUMMYFUNCTION("""COMPUTED_VALUE"""),144.0)</f>
        <v>144</v>
      </c>
      <c r="P19" s="2">
        <f>IFERROR(__xludf.DUMMYFUNCTION("""COMPUTED_VALUE"""),42.0)</f>
        <v>42</v>
      </c>
      <c r="Q19" s="2">
        <f>IFERROR(__xludf.DUMMYFUNCTION("""COMPUTED_VALUE"""),102.0)</f>
        <v>102</v>
      </c>
      <c r="R19" s="2" t="str">
        <f>IFERROR(__xludf.DUMMYFUNCTION("""COMPUTED_VALUE"""),"1 1/2"" In-line Pitotless Nozzle")</f>
        <v>1 1/2" In-line Pitotless Nozzle</v>
      </c>
      <c r="S19" s="2">
        <f>IFERROR(__xludf.DUMMYFUNCTION("""COMPUTED_VALUE"""),33.0)</f>
        <v>33</v>
      </c>
      <c r="T19" s="2">
        <f>IFERROR(__xludf.DUMMYFUNCTION("""COMPUTED_VALUE"""),511.5)</f>
        <v>511.5</v>
      </c>
      <c r="U19" s="2" t="str">
        <f>IFERROR(__xludf.DUMMYFUNCTION("""COMPUTED_VALUE"""),"")</f>
        <v/>
      </c>
      <c r="V19" s="2" t="str">
        <f>IFERROR(__xludf.DUMMYFUNCTION("""COMPUTED_VALUE"""),"1 1/2"" In-line Pitotless Nozzle")</f>
        <v>1 1/2" In-line Pitotless Nozzle</v>
      </c>
      <c r="W19" s="2">
        <f>IFERROR(__xludf.DUMMYFUNCTION("""COMPUTED_VALUE"""),34.0)</f>
        <v>34</v>
      </c>
      <c r="X19" s="2">
        <f>IFERROR(__xludf.DUMMYFUNCTION("""COMPUTED_VALUE"""),519.2)</f>
        <v>519.2</v>
      </c>
      <c r="Y19" s="2" t="str">
        <f>IFERROR(__xludf.DUMMYFUNCTION("""COMPUTED_VALUE"""),"")</f>
        <v/>
      </c>
      <c r="Z19" s="2" t="str">
        <f>IFERROR(__xludf.DUMMYFUNCTION("""COMPUTED_VALUE"""),"")</f>
        <v/>
      </c>
      <c r="AA19" s="2" t="str">
        <f>IFERROR(__xludf.DUMMYFUNCTION("""COMPUTED_VALUE"""),"")</f>
        <v/>
      </c>
      <c r="AB19" s="2" t="str">
        <f>IFERROR(__xludf.DUMMYFUNCTION("""COMPUTED_VALUE"""),"")</f>
        <v/>
      </c>
      <c r="AC19" s="2" t="str">
        <f>IFERROR(__xludf.DUMMYFUNCTION("""COMPUTED_VALUE"""),"")</f>
        <v/>
      </c>
      <c r="AD19" s="2" t="str">
        <f>IFERROR(__xludf.DUMMYFUNCTION("""COMPUTED_VALUE"""),"")</f>
        <v/>
      </c>
      <c r="AE19" s="2" t="str">
        <f>IFERROR(__xludf.DUMMYFUNCTION("""COMPUTED_VALUE"""),"")</f>
        <v/>
      </c>
      <c r="AF19" s="2" t="str">
        <f>IFERROR(__xludf.DUMMYFUNCTION("""COMPUTED_VALUE"""),"")</f>
        <v/>
      </c>
      <c r="AG19" s="2" t="str">
        <f>IFERROR(__xludf.DUMMYFUNCTION("""COMPUTED_VALUE"""),"")</f>
        <v/>
      </c>
      <c r="AH19" s="2" t="str">
        <f>IFERROR(__xludf.DUMMYFUNCTION("""COMPUTED_VALUE"""),"")</f>
        <v/>
      </c>
      <c r="AI19" s="2" t="str">
        <f>IFERROR(__xludf.DUMMYFUNCTION("""COMPUTED_VALUE"""),"")</f>
        <v/>
      </c>
      <c r="AJ19" s="2" t="str">
        <f>IFERROR(__xludf.DUMMYFUNCTION("""COMPUTED_VALUE"""),"")</f>
        <v/>
      </c>
      <c r="AK19" s="2" t="str">
        <f>IFERROR(__xludf.DUMMYFUNCTION("""COMPUTED_VALUE"""),"")</f>
        <v/>
      </c>
      <c r="AL19" s="2" t="str">
        <f>IFERROR(__xludf.DUMMYFUNCTION("""COMPUTED_VALUE"""),"")</f>
        <v/>
      </c>
      <c r="AM19" s="2" t="str">
        <f>IFERROR(__xludf.DUMMYFUNCTION("""COMPUTED_VALUE"""),"")</f>
        <v/>
      </c>
      <c r="AN19" s="2" t="str">
        <f>IFERROR(__xludf.DUMMYFUNCTION("""COMPUTED_VALUE"""),"")</f>
        <v/>
      </c>
      <c r="AO19" s="2" t="str">
        <f>IFERROR(__xludf.DUMMYFUNCTION("""COMPUTED_VALUE"""),"")</f>
        <v/>
      </c>
      <c r="AP19" s="2" t="str">
        <f>IFERROR(__xludf.DUMMYFUNCTION("""COMPUTED_VALUE"""),"")</f>
        <v/>
      </c>
      <c r="AQ19" s="2" t="str">
        <f>IFERROR(__xludf.DUMMYFUNCTION("""COMPUTED_VALUE"""),"")</f>
        <v/>
      </c>
      <c r="AR19" s="2" t="str">
        <f>IFERROR(__xludf.DUMMYFUNCTION("""COMPUTED_VALUE"""),"")</f>
        <v/>
      </c>
      <c r="AS19" s="2" t="str">
        <f>IFERROR(__xludf.DUMMYFUNCTION("""COMPUTED_VALUE"""),"")</f>
        <v/>
      </c>
      <c r="AT19" s="2" t="str">
        <f>IFERROR(__xludf.DUMMYFUNCTION("""COMPUTED_VALUE"""),"")</f>
        <v/>
      </c>
      <c r="AU19" s="2" t="str">
        <f>IFERROR(__xludf.DUMMYFUNCTION("""COMPUTED_VALUE"""),"")</f>
        <v/>
      </c>
      <c r="AV19" s="2" t="str">
        <f>IFERROR(__xludf.DUMMYFUNCTION("""COMPUTED_VALUE"""),"")</f>
        <v/>
      </c>
      <c r="AW19" s="2" t="str">
        <f>IFERROR(__xludf.DUMMYFUNCTION("""COMPUTED_VALUE"""),"")</f>
        <v/>
      </c>
      <c r="AX19" s="2" t="str">
        <f>IFERROR(__xludf.DUMMYFUNCTION("""COMPUTED_VALUE"""),"")</f>
        <v/>
      </c>
      <c r="AY19" s="2" t="str">
        <f>IFERROR(__xludf.DUMMYFUNCTION("""COMPUTED_VALUE"""),"")</f>
        <v/>
      </c>
      <c r="AZ19" s="2" t="str">
        <f>IFERROR(__xludf.DUMMYFUNCTION("""COMPUTED_VALUE"""),"")</f>
        <v/>
      </c>
      <c r="BA19" s="2" t="str">
        <f>IFERROR(__xludf.DUMMYFUNCTION("""COMPUTED_VALUE"""),"")</f>
        <v/>
      </c>
      <c r="BB19" s="2" t="str">
        <f>IFERROR(__xludf.DUMMYFUNCTION("""COMPUTED_VALUE"""),"")</f>
        <v/>
      </c>
      <c r="BC19" s="2" t="str">
        <f>IFERROR(__xludf.DUMMYFUNCTION("""COMPUTED_VALUE"""),"")</f>
        <v/>
      </c>
      <c r="BD19" s="2" t="str">
        <f>IFERROR(__xludf.DUMMYFUNCTION("""COMPUTED_VALUE"""),"")</f>
        <v/>
      </c>
      <c r="BE19" s="2" t="str">
        <f>IFERROR(__xludf.DUMMYFUNCTION("""COMPUTED_VALUE"""),"")</f>
        <v/>
      </c>
      <c r="BF19" s="2" t="str">
        <f>IFERROR(__xludf.DUMMYFUNCTION("""COMPUTED_VALUE"""),"")</f>
        <v/>
      </c>
      <c r="BG19" s="2" t="str">
        <f>IFERROR(__xludf.DUMMYFUNCTION("""COMPUTED_VALUE"""),"")</f>
        <v/>
      </c>
      <c r="BH19" s="2">
        <f>IFERROR(__xludf.DUMMYFUNCTION("""COMPUTED_VALUE"""),2.0)</f>
        <v>2</v>
      </c>
      <c r="BI19" s="2" t="str">
        <f>IFERROR(__xludf.DUMMYFUNCTION("""COMPUTED_VALUE"""),"")</f>
        <v/>
      </c>
      <c r="BJ19" s="2">
        <f>IFERROR(__xludf.DUMMYFUNCTION("""COMPUTED_VALUE"""),1030.7)</f>
        <v>1030.7</v>
      </c>
      <c r="BK19" s="2">
        <f>IFERROR(__xludf.DUMMYFUNCTION("""COMPUTED_VALUE"""),103.1)</f>
        <v>103.1</v>
      </c>
      <c r="BL19" s="2">
        <f>IFERROR(__xludf.DUMMYFUNCTION("""COMPUTED_VALUE"""),484.0)</f>
        <v>484</v>
      </c>
      <c r="BM19" s="2">
        <f>IFERROR(__xludf.DUMMYFUNCTION("""COMPUTED_VALUE"""),95.0)</f>
        <v>95</v>
      </c>
      <c r="BN19" s="2" t="str">
        <f>IFERROR(__xludf.DUMMYFUNCTION("""COMPUTED_VALUE"""),"")</f>
        <v/>
      </c>
      <c r="BO19" s="2">
        <f>IFERROR(__xludf.DUMMYFUNCTION("""COMPUTED_VALUE"""),101.3)</f>
        <v>101.3</v>
      </c>
      <c r="BP19" s="2">
        <f>IFERROR(__xludf.DUMMYFUNCTION("""COMPUTED_VALUE"""),98.5)</f>
        <v>98.5</v>
      </c>
      <c r="BQ19" s="2">
        <f>IFERROR(__xludf.DUMMYFUNCTION("""COMPUTED_VALUE"""),487.0)</f>
        <v>487</v>
      </c>
      <c r="BR19" s="2">
        <f>IFERROR(__xludf.DUMMYFUNCTION("""COMPUTED_VALUE"""),485.0)</f>
        <v>485</v>
      </c>
      <c r="BS19" s="2">
        <f>IFERROR(__xludf.DUMMYFUNCTION("""COMPUTED_VALUE"""),99.0)</f>
        <v>99</v>
      </c>
      <c r="BT19" s="2">
        <f>IFERROR(__xludf.DUMMYFUNCTION("""COMPUTED_VALUE"""),101.0)</f>
        <v>101</v>
      </c>
      <c r="BU19" s="2" t="b">
        <f>IFERROR(__xludf.DUMMYFUNCTION("""COMPUTED_VALUE"""),FALSE)</f>
        <v>0</v>
      </c>
      <c r="BV19" s="2" t="str">
        <f>IFERROR(__xludf.DUMMYFUNCTION("""COMPUTED_VALUE"""),"")</f>
        <v/>
      </c>
      <c r="BW19" s="2" t="str">
        <f>IFERROR(__xludf.DUMMYFUNCTION("""COMPUTED_VALUE"""),"")</f>
        <v/>
      </c>
      <c r="BX19" s="2" t="str">
        <f>IFERROR(__xludf.DUMMYFUNCTION("""COMPUTED_VALUE"""),"")</f>
        <v/>
      </c>
      <c r="BY19" s="2" t="str">
        <f>IFERROR(__xludf.DUMMYFUNCTION("""COMPUTED_VALUE"""),"")</f>
        <v/>
      </c>
      <c r="BZ19" s="2" t="str">
        <f>IFERROR(__xludf.DUMMYFUNCTION("""COMPUTED_VALUE"""),"")</f>
        <v/>
      </c>
      <c r="CA19" s="2" t="str">
        <f>IFERROR(__xludf.DUMMYFUNCTION("""COMPUTED_VALUE"""),"")</f>
        <v/>
      </c>
      <c r="CB19" s="2" t="str">
        <f>IFERROR(__xludf.DUMMYFUNCTION("""COMPUTED_VALUE"""),"")</f>
        <v/>
      </c>
      <c r="CC19" s="2" t="str">
        <f>IFERROR(__xludf.DUMMYFUNCTION("""COMPUTED_VALUE"""),"")</f>
        <v/>
      </c>
      <c r="CD19" s="2" t="str">
        <f>IFERROR(__xludf.DUMMYFUNCTION("""COMPUTED_VALUE"""),"")</f>
        <v/>
      </c>
      <c r="CE19" s="2" t="str">
        <f>IFERROR(__xludf.DUMMYFUNCTION("""COMPUTED_VALUE"""),"")</f>
        <v/>
      </c>
      <c r="CF19" s="2" t="str">
        <f>IFERROR(__xludf.DUMMYFUNCTION("""COMPUTED_VALUE"""),"")</f>
        <v/>
      </c>
      <c r="CG19" s="2" t="str">
        <f>IFERROR(__xludf.DUMMYFUNCTION("""COMPUTED_VALUE"""),"")</f>
        <v/>
      </c>
      <c r="CH19" s="2" t="str">
        <f>IFERROR(__xludf.DUMMYFUNCTION("""COMPUTED_VALUE"""),"")</f>
        <v/>
      </c>
      <c r="CI19" s="2" t="str">
        <f>IFERROR(__xludf.DUMMYFUNCTION("""COMPUTED_VALUE"""),"")</f>
        <v/>
      </c>
      <c r="CJ19" s="2" t="str">
        <f>IFERROR(__xludf.DUMMYFUNCTION("""COMPUTED_VALUE"""),"")</f>
        <v/>
      </c>
      <c r="CK19" s="2" t="str">
        <f>IFERROR(__xludf.DUMMYFUNCTION("""COMPUTED_VALUE"""),"")</f>
        <v/>
      </c>
      <c r="CL19" s="2" t="str">
        <f>IFERROR(__xludf.DUMMYFUNCTION("""COMPUTED_VALUE"""),"")</f>
        <v/>
      </c>
      <c r="CM19" s="2" t="str">
        <f>IFERROR(__xludf.DUMMYFUNCTION("""COMPUTED_VALUE"""),"")</f>
        <v/>
      </c>
      <c r="CN19" s="2" t="str">
        <f>IFERROR(__xludf.DUMMYFUNCTION("""COMPUTED_VALUE"""),"")</f>
        <v/>
      </c>
      <c r="CO19" s="2" t="str">
        <f>IFERROR(__xludf.DUMMYFUNCTION("""COMPUTED_VALUE"""),"")</f>
        <v/>
      </c>
      <c r="CP19" s="2" t="str">
        <f>IFERROR(__xludf.DUMMYFUNCTION("""COMPUTED_VALUE"""),"")</f>
        <v/>
      </c>
      <c r="CQ19" s="2" t="str">
        <f>IFERROR(__xludf.DUMMYFUNCTION("""COMPUTED_VALUE"""),"")</f>
        <v/>
      </c>
      <c r="CR19" s="2" t="str">
        <f>IFERROR(__xludf.DUMMYFUNCTION("""COMPUTED_VALUE"""),"")</f>
        <v/>
      </c>
      <c r="CS19" s="2" t="str">
        <f>IFERROR(__xludf.DUMMYFUNCTION("""COMPUTED_VALUE"""),"")</f>
        <v/>
      </c>
      <c r="CT19" s="2" t="str">
        <f>IFERROR(__xludf.DUMMYFUNCTION("""COMPUTED_VALUE"""),"")</f>
        <v/>
      </c>
      <c r="CU19" s="2" t="str">
        <f>IFERROR(__xludf.DUMMYFUNCTION("""COMPUTED_VALUE"""),"")</f>
        <v/>
      </c>
      <c r="CV19" s="2" t="str">
        <f>IFERROR(__xludf.DUMMYFUNCTION("""COMPUTED_VALUE"""),"")</f>
        <v/>
      </c>
      <c r="CW19" s="2" t="str">
        <f>IFERROR(__xludf.DUMMYFUNCTION("""COMPUTED_VALUE"""),"")</f>
        <v/>
      </c>
      <c r="CX19" s="2" t="str">
        <f>IFERROR(__xludf.DUMMYFUNCTION("""COMPUTED_VALUE"""),"")</f>
        <v/>
      </c>
      <c r="CY19" s="2" t="str">
        <f>IFERROR(__xludf.DUMMYFUNCTION("""COMPUTED_VALUE"""),"")</f>
        <v/>
      </c>
      <c r="CZ19" s="2" t="str">
        <f>IFERROR(__xludf.DUMMYFUNCTION("""COMPUTED_VALUE"""),"")</f>
        <v/>
      </c>
      <c r="DA19" s="2" t="str">
        <f>IFERROR(__xludf.DUMMYFUNCTION("""COMPUTED_VALUE"""),"")</f>
        <v/>
      </c>
      <c r="DB19" s="2" t="str">
        <f>IFERROR(__xludf.DUMMYFUNCTION("""COMPUTED_VALUE"""),"")</f>
        <v/>
      </c>
      <c r="DC19" s="2" t="str">
        <f>IFERROR(__xludf.DUMMYFUNCTION("""COMPUTED_VALUE"""),"")</f>
        <v/>
      </c>
      <c r="DD19" s="2" t="str">
        <f>IFERROR(__xludf.DUMMYFUNCTION("""COMPUTED_VALUE"""),"")</f>
        <v/>
      </c>
      <c r="DE19" s="2" t="str">
        <f>IFERROR(__xludf.DUMMYFUNCTION("""COMPUTED_VALUE"""),"")</f>
        <v/>
      </c>
      <c r="DF19" s="2" t="str">
        <f>IFERROR(__xludf.DUMMYFUNCTION("""COMPUTED_VALUE"""),"")</f>
        <v/>
      </c>
      <c r="DG19" s="2" t="str">
        <f>IFERROR(__xludf.DUMMYFUNCTION("""COMPUTED_VALUE"""),"")</f>
        <v/>
      </c>
      <c r="DH19" s="2" t="str">
        <f>IFERROR(__xludf.DUMMYFUNCTION("""COMPUTED_VALUE"""),"")</f>
        <v/>
      </c>
      <c r="DI19" s="2" t="str">
        <f>IFERROR(__xludf.DUMMYFUNCTION("""COMPUTED_VALUE"""),"")</f>
        <v/>
      </c>
      <c r="DJ19" s="2" t="str">
        <f>IFERROR(__xludf.DUMMYFUNCTION("""COMPUTED_VALUE"""),"")</f>
        <v/>
      </c>
      <c r="DK19" s="2" t="str">
        <f>IFERROR(__xludf.DUMMYFUNCTION("""COMPUTED_VALUE"""),"")</f>
        <v/>
      </c>
      <c r="DL19" s="2" t="str">
        <f>IFERROR(__xludf.DUMMYFUNCTION("""COMPUTED_VALUE"""),"")</f>
        <v/>
      </c>
      <c r="DM19" s="2" t="str">
        <f>IFERROR(__xludf.DUMMYFUNCTION("""COMPUTED_VALUE"""),"")</f>
        <v/>
      </c>
      <c r="DN19" s="2" t="str">
        <f>IFERROR(__xludf.DUMMYFUNCTION("""COMPUTED_VALUE"""),"")</f>
        <v/>
      </c>
      <c r="DO19" s="2" t="str">
        <f>IFERROR(__xludf.DUMMYFUNCTION("""COMPUTED_VALUE"""),"")</f>
        <v/>
      </c>
      <c r="DP19" s="2" t="str">
        <f>IFERROR(__xludf.DUMMYFUNCTION("""COMPUTED_VALUE"""),"")</f>
        <v/>
      </c>
      <c r="DQ19" s="2" t="str">
        <f>IFERROR(__xludf.DUMMYFUNCTION("""COMPUTED_VALUE"""),"")</f>
        <v/>
      </c>
      <c r="DR19" s="2" t="str">
        <f>IFERROR(__xludf.DUMMYFUNCTION("""COMPUTED_VALUE"""),"")</f>
        <v/>
      </c>
      <c r="DS19" s="2" t="str">
        <f>IFERROR(__xludf.DUMMYFUNCTION("""COMPUTED_VALUE"""),"")</f>
        <v/>
      </c>
      <c r="DT19" s="2" t="str">
        <f>IFERROR(__xludf.DUMMYFUNCTION("""COMPUTED_VALUE"""),"")</f>
        <v/>
      </c>
      <c r="DU19" s="2" t="str">
        <f>IFERROR(__xludf.DUMMYFUNCTION("""COMPUTED_VALUE"""),"")</f>
        <v/>
      </c>
      <c r="DV19" s="2" t="str">
        <f>IFERROR(__xludf.DUMMYFUNCTION("""COMPUTED_VALUE"""),"")</f>
        <v/>
      </c>
      <c r="DW19" s="2" t="str">
        <f>IFERROR(__xludf.DUMMYFUNCTION("""COMPUTED_VALUE"""),"")</f>
        <v/>
      </c>
      <c r="DX19" s="2" t="str">
        <f>IFERROR(__xludf.DUMMYFUNCTION("""COMPUTED_VALUE"""),"")</f>
        <v/>
      </c>
      <c r="DY19" s="2" t="str">
        <f>IFERROR(__xludf.DUMMYFUNCTION("""COMPUTED_VALUE"""),"")</f>
        <v/>
      </c>
      <c r="DZ19" s="2" t="str">
        <f>IFERROR(__xludf.DUMMYFUNCTION("""COMPUTED_VALUE"""),"")</f>
        <v/>
      </c>
      <c r="EA19" s="2" t="str">
        <f>IFERROR(__xludf.DUMMYFUNCTION("""COMPUTED_VALUE"""),"")</f>
        <v/>
      </c>
      <c r="EB19" s="2" t="str">
        <f>IFERROR(__xludf.DUMMYFUNCTION("""COMPUTED_VALUE"""),"")</f>
        <v/>
      </c>
      <c r="EC19" s="2" t="str">
        <f>IFERROR(__xludf.DUMMYFUNCTION("""COMPUTED_VALUE"""),"")</f>
        <v/>
      </c>
      <c r="ED19" s="2" t="str">
        <f>IFERROR(__xludf.DUMMYFUNCTION("""COMPUTED_VALUE"""),"")</f>
        <v/>
      </c>
      <c r="EE19" s="2" t="str">
        <f>IFERROR(__xludf.DUMMYFUNCTION("""COMPUTED_VALUE"""),"")</f>
        <v/>
      </c>
      <c r="EF19" s="2" t="str">
        <f>IFERROR(__xludf.DUMMYFUNCTION("""COMPUTED_VALUE"""),"")</f>
        <v/>
      </c>
      <c r="EG19" s="2" t="str">
        <f>IFERROR(__xludf.DUMMYFUNCTION("""COMPUTED_VALUE"""),"")</f>
        <v/>
      </c>
      <c r="EH19" s="2" t="str">
        <f>IFERROR(__xludf.DUMMYFUNCTION("""COMPUTED_VALUE"""),"")</f>
        <v/>
      </c>
      <c r="EI19" s="2" t="str">
        <f>IFERROR(__xludf.DUMMYFUNCTION("""COMPUTED_VALUE"""),"")</f>
        <v/>
      </c>
      <c r="EJ19" s="2" t="str">
        <f>IFERROR(__xludf.DUMMYFUNCTION("""COMPUTED_VALUE"""),"")</f>
        <v/>
      </c>
      <c r="EK19" s="2" t="str">
        <f>IFERROR(__xludf.DUMMYFUNCTION("""COMPUTED_VALUE"""),"")</f>
        <v/>
      </c>
      <c r="EL19" s="2" t="str">
        <f>IFERROR(__xludf.DUMMYFUNCTION("""COMPUTED_VALUE"""),"")</f>
        <v/>
      </c>
      <c r="EM19" s="2" t="str">
        <f>IFERROR(__xludf.DUMMYFUNCTION("""COMPUTED_VALUE"""),"")</f>
        <v/>
      </c>
      <c r="EN19" s="2" t="str">
        <f>IFERROR(__xludf.DUMMYFUNCTION("""COMPUTED_VALUE"""),"")</f>
        <v/>
      </c>
      <c r="EO19" s="2" t="str">
        <f>IFERROR(__xludf.DUMMYFUNCTION("""COMPUTED_VALUE"""),"")</f>
        <v/>
      </c>
      <c r="EP19" s="2" t="str">
        <f>IFERROR(__xludf.DUMMYFUNCTION("""COMPUTED_VALUE"""),"")</f>
        <v/>
      </c>
      <c r="EQ19" s="2" t="str">
        <f>IFERROR(__xludf.DUMMYFUNCTION("""COMPUTED_VALUE"""),"")</f>
        <v/>
      </c>
      <c r="ER19" s="2" t="str">
        <f>IFERROR(__xludf.DUMMYFUNCTION("""COMPUTED_VALUE"""),"")</f>
        <v/>
      </c>
      <c r="ES19" s="2" t="str">
        <f>IFERROR(__xludf.DUMMYFUNCTION("""COMPUTED_VALUE"""),"")</f>
        <v/>
      </c>
      <c r="ET19" s="2" t="str">
        <f>IFERROR(__xludf.DUMMYFUNCTION("""COMPUTED_VALUE"""),"")</f>
        <v/>
      </c>
      <c r="EU19" s="2" t="str">
        <f>IFERROR(__xludf.DUMMYFUNCTION("""COMPUTED_VALUE"""),"")</f>
        <v/>
      </c>
      <c r="EV19" s="2" t="str">
        <f>IFERROR(__xludf.DUMMYFUNCTION("""COMPUTED_VALUE"""),"")</f>
        <v/>
      </c>
      <c r="EW19" s="2" t="str">
        <f>IFERROR(__xludf.DUMMYFUNCTION("""COMPUTED_VALUE"""),"")</f>
        <v/>
      </c>
      <c r="EX19" s="2" t="str">
        <f>IFERROR(__xludf.DUMMYFUNCTION("""COMPUTED_VALUE"""),"")</f>
        <v/>
      </c>
      <c r="EY19" s="2" t="str">
        <f>IFERROR(__xludf.DUMMYFUNCTION("""COMPUTED_VALUE"""),"UC Test Pump")</f>
        <v>UC Test Pump</v>
      </c>
      <c r="EZ19" s="2" t="str">
        <f>IFERROR(__xludf.DUMMYFUNCTION("""COMPUTED_VALUE"""),"UC-FP-1")</f>
        <v>UC-FP-1</v>
      </c>
      <c r="FA19" s="2" t="str">
        <f>IFERROR(__xludf.DUMMYFUNCTION("""COMPUTED_VALUE"""),"AESC Admin - Hose Monster")</f>
        <v>AESC Admin - Hose Monster</v>
      </c>
      <c r="FB19" s="2" t="str">
        <f>IFERROR(__xludf.DUMMYFUNCTION("""COMPUTED_VALUE"""),"c4a602a6-5b8e-4c9d-87bd-335d4071d942")</f>
        <v>c4a602a6-5b8e-4c9d-87bd-335d4071d942</v>
      </c>
      <c r="FC19" s="2" t="str">
        <f>IFERROR(__xludf.DUMMYFUNCTION("""COMPUTED_VALUE"""),"UC Test Testing Firm")</f>
        <v>UC Test Testing Firm</v>
      </c>
      <c r="FD19" s="14" t="str">
        <f>IFERROR(__xludf.DUMMYFUNCTION("""COMPUTED_VALUE"""),"https://ucld.us/_proto/index.html#ajax/AssetDetails.html?assetid=835317036")</f>
        <v>https://ucld.us/_proto/index.html#ajax/AssetDetails.html?assetid=835317036</v>
      </c>
      <c r="FE19" s="15">
        <f>IFERROR(__xludf.DUMMYFUNCTION("""COMPUTED_VALUE"""),43796.0)</f>
        <v>43796</v>
      </c>
      <c r="FF19" s="2">
        <f>IFERROR(__xludf.DUMMYFUNCTION("""COMPUTED_VALUE"""),42.77487)</f>
        <v>42.77487</v>
      </c>
      <c r="FG19" s="2">
        <f>IFERROR(__xludf.DUMMYFUNCTION("""COMPUTED_VALUE"""),-71.249246)</f>
        <v>-71.249246</v>
      </c>
      <c r="FH19" s="2" t="str">
        <f>IFERROR(__xludf.DUMMYFUNCTION("""COMPUTED_VALUE"""),"")</f>
        <v/>
      </c>
      <c r="FI19" s="2">
        <f>IFERROR(__xludf.DUMMYFUNCTION("""COMPUTED_VALUE"""),8.35317036E8)</f>
        <v>835317036</v>
      </c>
      <c r="FJ19" s="2" t="str">
        <f>IFERROR(__xludf.DUMMYFUNCTION("""COMPUTED_VALUE"""),"lsifsldf")</f>
        <v>lsifsldf</v>
      </c>
      <c r="FK19" s="2" t="str">
        <f>IFERROR(__xludf.DUMMYFUNCTION("""COMPUTED_VALUE"""),"bldg name")</f>
        <v>bldg name</v>
      </c>
      <c r="FL19" s="2" t="str">
        <f>IFERROR(__xludf.DUMMYFUNCTION("""COMPUTED_VALUE"""),"sdfj")</f>
        <v>sdfj</v>
      </c>
      <c r="FM19" s="2" t="str">
        <f>IFERROR(__xludf.DUMMYFUNCTION("""COMPUTED_VALUE"""),"sdlifiji")</f>
        <v>sdlifiji</v>
      </c>
      <c r="FN19" s="2" t="str">
        <f>IFERROR(__xludf.DUMMYFUNCTION("""COMPUTED_VALUE"""),"sljsdf")</f>
        <v>sljsdf</v>
      </c>
      <c r="FO19" s="2" t="str">
        <f>IFERROR(__xludf.DUMMYFUNCTION("""COMPUTED_VALUE"""),"ljsf")</f>
        <v>ljsf</v>
      </c>
      <c r="FP19" s="2" t="str">
        <f>IFERROR(__xludf.DUMMYFUNCTION("""COMPUTED_VALUE"""),"Milford")</f>
        <v>Milford</v>
      </c>
      <c r="FQ19" s="2" t="str">
        <f>IFERROR(__xludf.DUMMYFUNCTION("""COMPUTED_VALUE"""),"US")</f>
        <v>US</v>
      </c>
      <c r="FR19" s="2" t="str">
        <f>IFERROR(__xludf.DUMMYFUNCTION("""COMPUTED_VALUE"""),"ABC Big Company")</f>
        <v>ABC Big Company</v>
      </c>
      <c r="FS19" s="2" t="str">
        <f>IFERROR(__xludf.DUMMYFUNCTION("""COMPUTED_VALUE"""),"")</f>
        <v/>
      </c>
      <c r="FT19" s="2" t="str">
        <f>IFERROR(__xludf.DUMMYFUNCTION("""COMPUTED_VALUE"""),"Bill Williams")</f>
        <v>Bill Williams</v>
      </c>
      <c r="FU19" s="16">
        <f>IFERROR(__xludf.DUMMYFUNCTION("""COMPUTED_VALUE"""),43801.0)</f>
        <v>43801</v>
      </c>
      <c r="FV19" s="16">
        <f>IFERROR(__xludf.DUMMYFUNCTION("""COMPUTED_VALUE"""),43770.0)</f>
        <v>43770</v>
      </c>
      <c r="FW19" s="2">
        <f>IFERROR(__xludf.DUMMYFUNCTION("""COMPUTED_VALUE"""),4.0)</f>
        <v>4</v>
      </c>
      <c r="FX19" s="2">
        <f>IFERROR(__xludf.DUMMYFUNCTION("""COMPUTED_VALUE"""),3.0)</f>
        <v>3</v>
      </c>
      <c r="FY19" s="2" t="str">
        <f>IFERROR(__xludf.DUMMYFUNCTION("""COMPUTED_VALUE"""),"FM")</f>
        <v>FM</v>
      </c>
      <c r="FZ19" s="2" t="str">
        <f>IFERROR(__xludf.DUMMYFUNCTION("""COMPUTED_VALUE"""),"grlsfkkjjslfj")</f>
        <v>grlsfkkjjslfj</v>
      </c>
      <c r="GA19" s="2" t="str">
        <f>IFERROR(__xludf.DUMMYFUNCTION("""COMPUTED_VALUE"""),"gdijgs")</f>
        <v>gdijgs</v>
      </c>
      <c r="GB19" s="2" t="str">
        <f>IFERROR(__xludf.DUMMYFUNCTION("""COMPUTED_VALUE"""),"fgdfg")</f>
        <v>fgdfg</v>
      </c>
      <c r="GC19" s="2">
        <f>IFERROR(__xludf.DUMMYFUNCTION("""COMPUTED_VALUE"""),3.0)</f>
        <v>3</v>
      </c>
      <c r="GD19" s="2">
        <f>IFERROR(__xludf.DUMMYFUNCTION("""COMPUTED_VALUE"""),2.0)</f>
        <v>2</v>
      </c>
      <c r="GE19" s="2">
        <f>IFERROR(__xludf.DUMMYFUNCTION("""COMPUTED_VALUE"""),1.0)</f>
        <v>1</v>
      </c>
      <c r="GF19" s="2">
        <f>IFERROR(__xludf.DUMMYFUNCTION("""COMPUTED_VALUE"""),2.0)</f>
        <v>2</v>
      </c>
      <c r="GG19" s="2">
        <f>IFERROR(__xludf.DUMMYFUNCTION("""COMPUTED_VALUE"""),1.0)</f>
        <v>1</v>
      </c>
      <c r="GH19" s="2" t="str">
        <f>IFERROR(__xludf.DUMMYFUNCTION("""COMPUTED_VALUE"""),"dlfjgf")</f>
        <v>dlfjgf</v>
      </c>
      <c r="GI19" s="2" t="str">
        <f>IFERROR(__xludf.DUMMYFUNCTION("""COMPUTED_VALUE"""),"gdfsf")</f>
        <v>gdfsf</v>
      </c>
      <c r="GJ19" s="2" t="str">
        <f>IFERROR(__xludf.DUMMYFUNCTION("""COMPUTED_VALUE"""),"Electric Motor")</f>
        <v>Electric Motor</v>
      </c>
      <c r="GK19" s="2" t="str">
        <f>IFERROR(__xludf.DUMMYFUNCTION("""COMPUTED_VALUE"""),"")</f>
        <v/>
      </c>
      <c r="GL19" s="2" t="str">
        <f>IFERROR(__xludf.DUMMYFUNCTION("""COMPUTED_VALUE"""),"example@example.com")</f>
        <v>example@example.com</v>
      </c>
      <c r="GM19" s="2" t="str">
        <f>IFERROR(__xludf.DUMMYFUNCTION("""COMPUTED_VALUE"""),"999-999-9999")</f>
        <v>999-999-9999</v>
      </c>
      <c r="GN19" s="2" t="str">
        <f>IFERROR(__xludf.DUMMYFUNCTION("""COMPUTED_VALUE"""),"")</f>
        <v/>
      </c>
      <c r="GO19" s="2" t="str">
        <f>IFERROR(__xludf.DUMMYFUNCTION("""COMPUTED_VALUE"""),"")</f>
        <v/>
      </c>
      <c r="GP19" s="2" t="str">
        <f>IFERROR(__xludf.DUMMYFUNCTION("""COMPUTED_VALUE"""),"")</f>
        <v/>
      </c>
      <c r="GQ19" s="2">
        <f>IFERROR(__xludf.DUMMYFUNCTION("""COMPUTED_VALUE"""),3.0)</f>
        <v>3</v>
      </c>
      <c r="GR19" s="2" t="str">
        <f>IFERROR(__xludf.DUMMYFUNCTION("""COMPUTED_VALUE"""),"UL")</f>
        <v>UL</v>
      </c>
      <c r="GS19" s="2" t="str">
        <f>IFERROR(__xludf.DUMMYFUNCTION("""COMPUTED_VALUE"""),"sldf")</f>
        <v>sldf</v>
      </c>
      <c r="GT19" s="2" t="str">
        <f>IFERROR(__xludf.DUMMYFUNCTION("""COMPUTED_VALUE"""),"sflj")</f>
        <v>sflj</v>
      </c>
      <c r="GU19" s="2">
        <f>IFERROR(__xludf.DUMMYFUNCTION("""COMPUTED_VALUE"""),6.0)</f>
        <v>6</v>
      </c>
      <c r="GV19" s="2">
        <f>IFERROR(__xludf.DUMMYFUNCTION("""COMPUTED_VALUE"""),5.0)</f>
        <v>5</v>
      </c>
      <c r="GW19" s="2">
        <f>IFERROR(__xludf.DUMMYFUNCTION("""COMPUTED_VALUE"""),2.0)</f>
        <v>2</v>
      </c>
      <c r="GX19" s="2">
        <f>IFERROR(__xludf.DUMMYFUNCTION("""COMPUTED_VALUE"""),1.0)</f>
        <v>1</v>
      </c>
      <c r="GY19" s="2">
        <f>IFERROR(__xludf.DUMMYFUNCTION("""COMPUTED_VALUE"""),4.0)</f>
        <v>4</v>
      </c>
      <c r="GZ19" s="2" t="str">
        <f>IFERROR(__xludf.DUMMYFUNCTION("""COMPUTED_VALUE"""),"slkjsdfdl")</f>
        <v>slkjsdfdl</v>
      </c>
      <c r="HA19" s="2" t="str">
        <f>IFERROR(__xludf.DUMMYFUNCTION("""COMPUTED_VALUE"""),"slfj")</f>
        <v>slfj</v>
      </c>
      <c r="HB19" s="2" t="str">
        <f>IFERROR(__xludf.DUMMYFUNCTION("""COMPUTED_VALUE"""),"sdfj")</f>
        <v>sdfj</v>
      </c>
      <c r="HC19" s="2" t="str">
        <f>IFERROR(__xludf.DUMMYFUNCTION("""COMPUTED_VALUE"""),"lsflsdk")</f>
        <v>lsflsdk</v>
      </c>
      <c r="HD19" s="2">
        <f>IFERROR(__xludf.DUMMYFUNCTION("""COMPUTED_VALUE"""),120.0)</f>
        <v>120</v>
      </c>
      <c r="HE19" s="2">
        <f>IFERROR(__xludf.DUMMYFUNCTION("""COMPUTED_VALUE"""),67.0)</f>
        <v>67</v>
      </c>
      <c r="HF19" s="2">
        <f>IFERROR(__xludf.DUMMYFUNCTION("""COMPUTED_VALUE"""),100.0)</f>
        <v>100</v>
      </c>
      <c r="HG19" s="2">
        <f>IFERROR(__xludf.DUMMYFUNCTION("""COMPUTED_VALUE"""),3.0)</f>
        <v>3</v>
      </c>
      <c r="HH19" s="2" t="str">
        <f>IFERROR(__xludf.DUMMYFUNCTION("""COMPUTED_VALUE"""),"sj;")</f>
        <v>sj;</v>
      </c>
      <c r="HI19" s="2" t="str">
        <f>IFERROR(__xludf.DUMMYFUNCTION("""COMPUTED_VALUE"""),"sf;os")</f>
        <v>sf;os</v>
      </c>
      <c r="HJ19" s="2" t="str">
        <f>IFERROR(__xludf.DUMMYFUNCTION("""COMPUTED_VALUE"""),"ljsf")</f>
        <v>ljsf</v>
      </c>
      <c r="HK19" s="2" t="str">
        <f>IFERROR(__xludf.DUMMYFUNCTION("""COMPUTED_VALUE"""),"lkjsdf")</f>
        <v>lkjsdf</v>
      </c>
      <c r="HL19" s="2" t="str">
        <f>IFERROR(__xludf.DUMMYFUNCTION("""COMPUTED_VALUE"""),"")</f>
        <v/>
      </c>
      <c r="HM19" s="2" t="str">
        <f>IFERROR(__xludf.DUMMYFUNCTION("""COMPUTED_VALUE"""),"")</f>
        <v/>
      </c>
      <c r="HN19" s="2" t="str">
        <f>IFERROR(__xludf.DUMMYFUNCTION("""COMPUTED_VALUE"""),"")</f>
        <v/>
      </c>
      <c r="HO19" s="2">
        <f>IFERROR(__xludf.DUMMYFUNCTION("""COMPUTED_VALUE"""),3.0)</f>
        <v>3</v>
      </c>
      <c r="HP19" s="2" t="str">
        <f>IFERROR(__xludf.DUMMYFUNCTION("""COMPUTED_VALUE"""),"ULC")</f>
        <v>ULC</v>
      </c>
      <c r="HQ19" s="2" t="str">
        <f>IFERROR(__xludf.DUMMYFUNCTION("""COMPUTED_VALUE"""),"gkiksjf")</f>
        <v>gkiksjf</v>
      </c>
      <c r="HR19" s="2" t="str">
        <f>IFERROR(__xludf.DUMMYFUNCTION("""COMPUTED_VALUE"""),"OJSFDLJ")</f>
        <v>OJSFDLJ</v>
      </c>
      <c r="HS19" s="2">
        <f>IFERROR(__xludf.DUMMYFUNCTION("""COMPUTED_VALUE"""),6.0)</f>
        <v>6</v>
      </c>
      <c r="HT19" s="2">
        <f>IFERROR(__xludf.DUMMYFUNCTION("""COMPUTED_VALUE"""),5.0)</f>
        <v>5</v>
      </c>
      <c r="HU19" s="2">
        <f>IFERROR(__xludf.DUMMYFUNCTION("""COMPUTED_VALUE"""),2.0)</f>
        <v>2</v>
      </c>
      <c r="HV19" s="2">
        <f>IFERROR(__xludf.DUMMYFUNCTION("""COMPUTED_VALUE"""),1.0)</f>
        <v>1</v>
      </c>
      <c r="HW19" s="2">
        <f>IFERROR(__xludf.DUMMYFUNCTION("""COMPUTED_VALUE"""),4.0)</f>
        <v>4</v>
      </c>
      <c r="HX19" s="2" t="str">
        <f>IFERROR(__xludf.DUMMYFUNCTION("""COMPUTED_VALUE"""),"SSL")</f>
        <v>SSL</v>
      </c>
      <c r="HY19" s="2">
        <f>IFERROR(__xludf.DUMMYFUNCTION("""COMPUTED_VALUE"""),3.0)</f>
        <v>3</v>
      </c>
      <c r="HZ19" s="2">
        <f>IFERROR(__xludf.DUMMYFUNCTION("""COMPUTED_VALUE"""),7.0)</f>
        <v>7</v>
      </c>
      <c r="IA19" s="2" t="str">
        <f>IFERROR(__xludf.DUMMYFUNCTION("""COMPUTED_VALUE"""),"sdfljsd")</f>
        <v>sdfljsd</v>
      </c>
      <c r="IB19" s="2" t="str">
        <f>IFERROR(__xludf.DUMMYFUNCTION("""COMPUTED_VALUE"""),"gierp")</f>
        <v>gierp</v>
      </c>
      <c r="IC19" s="2">
        <f>IFERROR(__xludf.DUMMYFUNCTION("""COMPUTED_VALUE"""),2.0)</f>
        <v>2</v>
      </c>
      <c r="ID19" s="2">
        <f>IFERROR(__xludf.DUMMYFUNCTION("""COMPUTED_VALUE"""),6.0)</f>
        <v>6</v>
      </c>
      <c r="IE19" s="2">
        <f>IFERROR(__xludf.DUMMYFUNCTION("""COMPUTED_VALUE"""),3.0)</f>
        <v>3</v>
      </c>
      <c r="IF19" s="2">
        <f>IFERROR(__xludf.DUMMYFUNCTION("""COMPUTED_VALUE"""),1.0)</f>
        <v>1</v>
      </c>
      <c r="IG19" s="2">
        <f>IFERROR(__xludf.DUMMYFUNCTION("""COMPUTED_VALUE"""),4.0)</f>
        <v>4</v>
      </c>
      <c r="IH19" s="2">
        <f>IFERROR(__xludf.DUMMYFUNCTION("""COMPUTED_VALUE"""),2.0)</f>
        <v>2</v>
      </c>
      <c r="II19" s="2">
        <f>IFERROR(__xludf.DUMMYFUNCTION("""COMPUTED_VALUE"""),4.0)</f>
        <v>4</v>
      </c>
      <c r="IJ19" s="2" t="str">
        <f>IFERROR(__xludf.DUMMYFUNCTION("""COMPUTED_VALUE"""),"grgdfl")</f>
        <v>grgdfl</v>
      </c>
      <c r="IK19" s="2">
        <f>IFERROR(__xludf.DUMMYFUNCTION("""COMPUTED_VALUE"""),5.0)</f>
        <v>5</v>
      </c>
      <c r="IL19" s="2" t="str">
        <f>IFERROR(__xludf.DUMMYFUNCTION("""COMPUTED_VALUE"""),"FM")</f>
        <v>FM</v>
      </c>
      <c r="IM19" s="2" t="str">
        <f>IFERROR(__xludf.DUMMYFUNCTION("""COMPUTED_VALUE"""),"grrgrg")</f>
        <v>grrgrg</v>
      </c>
      <c r="IN19" s="2" t="str">
        <f>IFERROR(__xludf.DUMMYFUNCTION("""COMPUTED_VALUE"""),"rthrt")</f>
        <v>rthrt</v>
      </c>
      <c r="IO19" s="2" t="str">
        <f>IFERROR(__xludf.DUMMYFUNCTION("""COMPUTED_VALUE"""),"dfjsdfljsd")</f>
        <v>dfjsdfljsd</v>
      </c>
      <c r="IP19" s="2" t="str">
        <f>IFERROR(__xludf.DUMMYFUNCTION("""COMPUTED_VALUE"""),"")</f>
        <v/>
      </c>
      <c r="IQ19" s="2" t="str">
        <f>IFERROR(__xludf.DUMMYFUNCTION("""COMPUTED_VALUE"""),"999-999-9999")</f>
        <v>999-999-9999</v>
      </c>
      <c r="IR19" s="2" t="str">
        <f>IFERROR(__xludf.DUMMYFUNCTION("""COMPUTED_VALUE"""),"clockwise")</f>
        <v>clockwise</v>
      </c>
      <c r="IS19" s="2" t="str">
        <f>IFERROR(__xludf.DUMMYFUNCTION("""COMPUTED_VALUE"""),"end-suction")</f>
        <v>end-suction</v>
      </c>
      <c r="IT19" s="2">
        <f>IFERROR(__xludf.DUMMYFUNCTION("""COMPUTED_VALUE"""),1000.0)</f>
        <v>1000</v>
      </c>
      <c r="IU19" s="2">
        <f>IFERROR(__xludf.DUMMYFUNCTION("""COMPUTED_VALUE"""),3500.0)</f>
        <v>3500</v>
      </c>
      <c r="IV19" s="2" t="str">
        <f>IFERROR(__xludf.DUMMYFUNCTION("""COMPUTED_VALUE"""),"sfpu")</f>
        <v>sfpu</v>
      </c>
      <c r="IW19" s="2" t="str">
        <f>IFERROR(__xludf.DUMMYFUNCTION("""COMPUTED_VALUE"""),"UL")</f>
        <v>UL</v>
      </c>
      <c r="IX19" s="2" t="str">
        <f>IFERROR(__xludf.DUMMYFUNCTION("""COMPUTED_VALUE"""),"dgdln")</f>
        <v>dgdln</v>
      </c>
      <c r="IY19" s="2" t="str">
        <f>IFERROR(__xludf.DUMMYFUNCTION("""COMPUTED_VALUE"""),"ssdfl")</f>
        <v>ssdfl</v>
      </c>
      <c r="IZ19" s="2" t="str">
        <f>IFERROR(__xludf.DUMMYFUNCTION("""COMPUTED_VALUE"""),"lijsfljsd")</f>
        <v>lijsfljsd</v>
      </c>
      <c r="JA19" s="2" t="str">
        <f>IFERROR(__xludf.DUMMYFUNCTION("""COMPUTED_VALUE"""),"")</f>
        <v/>
      </c>
      <c r="JB19" s="2" t="str">
        <f>IFERROR(__xludf.DUMMYFUNCTION("""COMPUTED_VALUE"""),"jlj")</f>
        <v>jlj</v>
      </c>
      <c r="JC19" s="2" t="str">
        <f>IFERROR(__xludf.DUMMYFUNCTION("""COMPUTED_VALUE"""),"NH")</f>
        <v>NH</v>
      </c>
      <c r="JD19" s="2" t="str">
        <f>IFERROR(__xludf.DUMMYFUNCTION("""COMPUTED_VALUE"""),"123 ABC Street")</f>
        <v>123 ABC Street</v>
      </c>
      <c r="JE19" s="2" t="str">
        <f>IFERROR(__xludf.DUMMYFUNCTION("""COMPUTED_VALUE"""),"Suite 1")</f>
        <v>Suite 1</v>
      </c>
      <c r="JF19" s="2" t="str">
        <f>IFERROR(__xludf.DUMMYFUNCTION("""COMPUTED_VALUE"""),"ffdsfs")</f>
        <v>ffdsfs</v>
      </c>
      <c r="JG19" s="2">
        <f>IFERROR(__xludf.DUMMYFUNCTION("""COMPUTED_VALUE"""),2.0)</f>
        <v>2</v>
      </c>
      <c r="JH19" s="2">
        <f>IFERROR(__xludf.DUMMYFUNCTION("""COMPUTED_VALUE"""),1.0)</f>
        <v>1</v>
      </c>
      <c r="JI19" s="2" t="str">
        <f>IFERROR(__xludf.DUMMYFUNCTION("""COMPUTED_VALUE"""),"Joseph Smith")</f>
        <v>Joseph Smith</v>
      </c>
      <c r="JJ19" s="2">
        <f>IFERROR(__xludf.DUMMYFUNCTION("""COMPUTED_VALUE"""),1.23456789E8)</f>
        <v>123456789</v>
      </c>
      <c r="JK19" s="2" t="str">
        <f>IFERROR(__xludf.DUMMYFUNCTION("""COMPUTED_VALUE"""),"")</f>
        <v/>
      </c>
      <c r="JL19" s="14" t="str">
        <f>IFERROR(__xludf.DUMMYFUNCTION("""COMPUTED_VALUE"""),"https://s3.amazonaws.com/UcAssetDataProduction/8ffa21a4-feeb-4341-b99f-0ff6134736c7.jpg")</f>
        <v>https://s3.amazonaws.com/UcAssetDataProduction/8ffa21a4-feeb-4341-b99f-0ff6134736c7.jpg</v>
      </c>
      <c r="JM19" s="2" t="str">
        <f>IFERROR(__xludf.DUMMYFUNCTION("""COMPUTED_VALUE"""),"My Testing Firm Name")</f>
        <v>My Testing Firm Name</v>
      </c>
      <c r="JN19" s="2">
        <f>IFERROR(__xludf.DUMMYFUNCTION("""COMPUTED_VALUE"""),231.0)</f>
        <v>231</v>
      </c>
      <c r="JO19" s="2">
        <f>IFERROR(__xludf.DUMMYFUNCTION("""COMPUTED_VALUE"""),3055.0)</f>
        <v>3055</v>
      </c>
      <c r="JP19" s="2" t="str">
        <f>IFERROR(__xludf.DUMMYFUNCTION("""COMPUTED_VALUE"""),"AESC Admin - Hose Monster")</f>
        <v>AESC Admin - Hose Monster</v>
      </c>
      <c r="JQ19" s="2" t="str">
        <f>IFERROR(__xludf.DUMMYFUNCTION("""COMPUTED_VALUE"""),"")</f>
        <v/>
      </c>
      <c r="JR19" s="2" t="str">
        <f>IFERROR(__xludf.DUMMYFUNCTION("""COMPUTED_VALUE"""),"")</f>
        <v/>
      </c>
      <c r="JS19" s="2" t="str">
        <f>IFERROR(__xludf.DUMMYFUNCTION("""COMPUTED_VALUE"""),"")</f>
        <v/>
      </c>
      <c r="JT19" s="2" t="str">
        <f>IFERROR(__xludf.DUMMYFUNCTION("""COMPUTED_VALUE"""),"")</f>
        <v/>
      </c>
      <c r="JU19" s="2" t="str">
        <f>IFERROR(__xludf.DUMMYFUNCTION("""COMPUTED_VALUE"""),"603-111-2222")</f>
        <v>603-111-2222</v>
      </c>
      <c r="JV19" s="2" t="str">
        <f>IFERROR(__xludf.DUMMYFUNCTION("""COMPUTED_VALUE"""),"AESC Admin - Hose Monster")</f>
        <v>AESC Admin - Hose Monster</v>
      </c>
      <c r="JW19" s="15">
        <f>IFERROR(__xludf.DUMMYFUNCTION("""COMPUTED_VALUE"""),43865.73609953704)</f>
        <v>43865.7361</v>
      </c>
      <c r="JX19" s="2" t="str">
        <f>IFERROR(__xludf.DUMMYFUNCTION("""COMPUTED_VALUE"""),"")</f>
        <v/>
      </c>
      <c r="JY19" s="2" t="str">
        <f>IFERROR(__xludf.DUMMYFUNCTION("""COMPUTED_VALUE"""),"DFLJSD")</f>
        <v>DFLJSD</v>
      </c>
      <c r="JZ19" s="2" t="str">
        <f>IFERROR(__xludf.DUMMYFUNCTION("""COMPUTED_VALUE"""),"Minor")</f>
        <v>Minor</v>
      </c>
      <c r="KA19" s="2" t="str">
        <f>IFERROR(__xludf.DUMMYFUNCTION("""COMPUTED_VALUE"""),"Complete")</f>
        <v>Complete</v>
      </c>
      <c r="KB19" s="2" t="str">
        <f>IFERROR(__xludf.DUMMYFUNCTION("""COMPUTED_VALUE"""),"PM")</f>
        <v>PM</v>
      </c>
    </row>
    <row r="20">
      <c r="A20" s="15">
        <f>IFERROR(__xludf.DUMMYFUNCTION("""COMPUTED_VALUE"""),43865.52946759259)</f>
        <v>43865.52947</v>
      </c>
      <c r="B20" s="2" t="str">
        <f>IFERROR(__xludf.DUMMYFUNCTION("""COMPUTED_VALUE"""),"AESC Admin - Hose Monster")</f>
        <v>AESC Admin - Hose Monster</v>
      </c>
      <c r="C20" s="2" t="str">
        <f>IFERROR(__xludf.DUMMYFUNCTION("""COMPUTED_VALUE"""),"")</f>
        <v/>
      </c>
      <c r="D20" s="2">
        <f>IFERROR(__xludf.DUMMYFUNCTION("""COMPUTED_VALUE"""),8.65337171E8)</f>
        <v>865337171</v>
      </c>
      <c r="E20" s="15">
        <f>IFERROR(__xludf.DUMMYFUNCTION("""COMPUTED_VALUE"""),43865.0)</f>
        <v>43865</v>
      </c>
      <c r="F20" s="2" t="str">
        <f>IFERROR(__xludf.DUMMYFUNCTION("""COMPUTED_VALUE"""),"")</f>
        <v/>
      </c>
      <c r="G20" s="2" t="str">
        <f>IFERROR(__xludf.DUMMYFUNCTION("""COMPUTED_VALUE"""),"")</f>
        <v/>
      </c>
      <c r="H20" s="2" t="str">
        <f>IFERROR(__xludf.DUMMYFUNCTION("""COMPUTED_VALUE"""),"")</f>
        <v/>
      </c>
      <c r="I20" s="2" t="str">
        <f>IFERROR(__xludf.DUMMYFUNCTION("""COMPUTED_VALUE"""),"")</f>
        <v/>
      </c>
      <c r="J20" s="2" t="str">
        <f>IFERROR(__xludf.DUMMYFUNCTION("""COMPUTED_VALUE"""),"")</f>
        <v/>
      </c>
      <c r="K20" s="2" t="str">
        <f>IFERROR(__xludf.DUMMYFUNCTION("""COMPUTED_VALUE"""),"1 1/2"" In-line Pitotless Nozzle")</f>
        <v>1 1/2" In-line Pitotless Nozzle</v>
      </c>
      <c r="L20" s="2" t="str">
        <f>IFERROR(__xludf.DUMMYFUNCTION("""COMPUTED_VALUE"""),"In-line Pitotless Nozzle")</f>
        <v>In-line Pitotless Nozzle</v>
      </c>
      <c r="M20" s="2">
        <f>IFERROR(__xludf.DUMMYFUNCTION("""COMPUTED_VALUE"""),5.0)</f>
        <v>5</v>
      </c>
      <c r="N20" s="2">
        <f>IFERROR(__xludf.DUMMYFUNCTION("""COMPUTED_VALUE"""),3561.0)</f>
        <v>3561</v>
      </c>
      <c r="O20" s="2">
        <f>IFERROR(__xludf.DUMMYFUNCTION("""COMPUTED_VALUE"""),114.0)</f>
        <v>114</v>
      </c>
      <c r="P20" s="2">
        <f>IFERROR(__xludf.DUMMYFUNCTION("""COMPUTED_VALUE"""),36.0)</f>
        <v>36</v>
      </c>
      <c r="Q20" s="2">
        <f>IFERROR(__xludf.DUMMYFUNCTION("""COMPUTED_VALUE"""),78.0)</f>
        <v>78</v>
      </c>
      <c r="R20" s="2" t="str">
        <f>IFERROR(__xludf.DUMMYFUNCTION("""COMPUTED_VALUE"""),"1 1/2"" In-line Pitotless Nozzle")</f>
        <v>1 1/2" In-line Pitotless Nozzle</v>
      </c>
      <c r="S20" s="2">
        <f>IFERROR(__xludf.DUMMYFUNCTION("""COMPUTED_VALUE"""),26.0)</f>
        <v>26</v>
      </c>
      <c r="T20" s="2">
        <f>IFERROR(__xludf.DUMMYFUNCTION("""COMPUTED_VALUE"""),454.0)</f>
        <v>454</v>
      </c>
      <c r="U20" s="2" t="str">
        <f>IFERROR(__xludf.DUMMYFUNCTION("""COMPUTED_VALUE"""),"")</f>
        <v/>
      </c>
      <c r="V20" s="2" t="str">
        <f>IFERROR(__xludf.DUMMYFUNCTION("""COMPUTED_VALUE"""),"1 1/2"" In-line Pitotless Nozzle")</f>
        <v>1 1/2" In-line Pitotless Nozzle</v>
      </c>
      <c r="W20" s="2">
        <f>IFERROR(__xludf.DUMMYFUNCTION("""COMPUTED_VALUE"""),27.0)</f>
        <v>27</v>
      </c>
      <c r="X20" s="2">
        <f>IFERROR(__xludf.DUMMYFUNCTION("""COMPUTED_VALUE"""),462.7)</f>
        <v>462.7</v>
      </c>
      <c r="Y20" s="2" t="str">
        <f>IFERROR(__xludf.DUMMYFUNCTION("""COMPUTED_VALUE"""),"")</f>
        <v/>
      </c>
      <c r="Z20" s="2" t="str">
        <f>IFERROR(__xludf.DUMMYFUNCTION("""COMPUTED_VALUE"""),"1 1/2"" In-line Pitotless Nozzle")</f>
        <v>1 1/2" In-line Pitotless Nozzle</v>
      </c>
      <c r="AA20" s="2">
        <f>IFERROR(__xludf.DUMMYFUNCTION("""COMPUTED_VALUE"""),28.0)</f>
        <v>28</v>
      </c>
      <c r="AB20" s="2">
        <f>IFERROR(__xludf.DUMMYFUNCTION("""COMPUTED_VALUE"""),471.2)</f>
        <v>471.2</v>
      </c>
      <c r="AC20" s="2" t="str">
        <f>IFERROR(__xludf.DUMMYFUNCTION("""COMPUTED_VALUE"""),"")</f>
        <v/>
      </c>
      <c r="AD20" s="2" t="str">
        <f>IFERROR(__xludf.DUMMYFUNCTION("""COMPUTED_VALUE"""),"")</f>
        <v/>
      </c>
      <c r="AE20" s="2" t="str">
        <f>IFERROR(__xludf.DUMMYFUNCTION("""COMPUTED_VALUE"""),"")</f>
        <v/>
      </c>
      <c r="AF20" s="2" t="str">
        <f>IFERROR(__xludf.DUMMYFUNCTION("""COMPUTED_VALUE"""),"")</f>
        <v/>
      </c>
      <c r="AG20" s="2" t="str">
        <f>IFERROR(__xludf.DUMMYFUNCTION("""COMPUTED_VALUE"""),"")</f>
        <v/>
      </c>
      <c r="AH20" s="2" t="str">
        <f>IFERROR(__xludf.DUMMYFUNCTION("""COMPUTED_VALUE"""),"")</f>
        <v/>
      </c>
      <c r="AI20" s="2" t="str">
        <f>IFERROR(__xludf.DUMMYFUNCTION("""COMPUTED_VALUE"""),"")</f>
        <v/>
      </c>
      <c r="AJ20" s="2" t="str">
        <f>IFERROR(__xludf.DUMMYFUNCTION("""COMPUTED_VALUE"""),"")</f>
        <v/>
      </c>
      <c r="AK20" s="2" t="str">
        <f>IFERROR(__xludf.DUMMYFUNCTION("""COMPUTED_VALUE"""),"")</f>
        <v/>
      </c>
      <c r="AL20" s="2" t="str">
        <f>IFERROR(__xludf.DUMMYFUNCTION("""COMPUTED_VALUE"""),"")</f>
        <v/>
      </c>
      <c r="AM20" s="2" t="str">
        <f>IFERROR(__xludf.DUMMYFUNCTION("""COMPUTED_VALUE"""),"")</f>
        <v/>
      </c>
      <c r="AN20" s="2" t="str">
        <f>IFERROR(__xludf.DUMMYFUNCTION("""COMPUTED_VALUE"""),"")</f>
        <v/>
      </c>
      <c r="AO20" s="2" t="str">
        <f>IFERROR(__xludf.DUMMYFUNCTION("""COMPUTED_VALUE"""),"")</f>
        <v/>
      </c>
      <c r="AP20" s="2" t="str">
        <f>IFERROR(__xludf.DUMMYFUNCTION("""COMPUTED_VALUE"""),"")</f>
        <v/>
      </c>
      <c r="AQ20" s="2" t="str">
        <f>IFERROR(__xludf.DUMMYFUNCTION("""COMPUTED_VALUE"""),"")</f>
        <v/>
      </c>
      <c r="AR20" s="2" t="str">
        <f>IFERROR(__xludf.DUMMYFUNCTION("""COMPUTED_VALUE"""),"")</f>
        <v/>
      </c>
      <c r="AS20" s="2" t="str">
        <f>IFERROR(__xludf.DUMMYFUNCTION("""COMPUTED_VALUE"""),"")</f>
        <v/>
      </c>
      <c r="AT20" s="2" t="str">
        <f>IFERROR(__xludf.DUMMYFUNCTION("""COMPUTED_VALUE"""),"")</f>
        <v/>
      </c>
      <c r="AU20" s="2" t="str">
        <f>IFERROR(__xludf.DUMMYFUNCTION("""COMPUTED_VALUE"""),"")</f>
        <v/>
      </c>
      <c r="AV20" s="2" t="str">
        <f>IFERROR(__xludf.DUMMYFUNCTION("""COMPUTED_VALUE"""),"")</f>
        <v/>
      </c>
      <c r="AW20" s="2" t="str">
        <f>IFERROR(__xludf.DUMMYFUNCTION("""COMPUTED_VALUE"""),"")</f>
        <v/>
      </c>
      <c r="AX20" s="2" t="str">
        <f>IFERROR(__xludf.DUMMYFUNCTION("""COMPUTED_VALUE"""),"")</f>
        <v/>
      </c>
      <c r="AY20" s="2" t="str">
        <f>IFERROR(__xludf.DUMMYFUNCTION("""COMPUTED_VALUE"""),"")</f>
        <v/>
      </c>
      <c r="AZ20" s="2" t="str">
        <f>IFERROR(__xludf.DUMMYFUNCTION("""COMPUTED_VALUE"""),"")</f>
        <v/>
      </c>
      <c r="BA20" s="2" t="str">
        <f>IFERROR(__xludf.DUMMYFUNCTION("""COMPUTED_VALUE"""),"")</f>
        <v/>
      </c>
      <c r="BB20" s="2" t="str">
        <f>IFERROR(__xludf.DUMMYFUNCTION("""COMPUTED_VALUE"""),"")</f>
        <v/>
      </c>
      <c r="BC20" s="2" t="str">
        <f>IFERROR(__xludf.DUMMYFUNCTION("""COMPUTED_VALUE"""),"")</f>
        <v/>
      </c>
      <c r="BD20" s="2" t="str">
        <f>IFERROR(__xludf.DUMMYFUNCTION("""COMPUTED_VALUE"""),"")</f>
        <v/>
      </c>
      <c r="BE20" s="2" t="str">
        <f>IFERROR(__xludf.DUMMYFUNCTION("""COMPUTED_VALUE"""),"")</f>
        <v/>
      </c>
      <c r="BF20" s="2" t="str">
        <f>IFERROR(__xludf.DUMMYFUNCTION("""COMPUTED_VALUE"""),"")</f>
        <v/>
      </c>
      <c r="BG20" s="2" t="str">
        <f>IFERROR(__xludf.DUMMYFUNCTION("""COMPUTED_VALUE"""),"")</f>
        <v/>
      </c>
      <c r="BH20" s="2">
        <f>IFERROR(__xludf.DUMMYFUNCTION("""COMPUTED_VALUE"""),3.0)</f>
        <v>3</v>
      </c>
      <c r="BI20" s="2" t="str">
        <f>IFERROR(__xludf.DUMMYFUNCTION("""COMPUTED_VALUE"""),"")</f>
        <v/>
      </c>
      <c r="BJ20" s="2">
        <f>IFERROR(__xludf.DUMMYFUNCTION("""COMPUTED_VALUE"""),1387.8)</f>
        <v>1387.8</v>
      </c>
      <c r="BK20" s="2">
        <f>IFERROR(__xludf.DUMMYFUNCTION("""COMPUTED_VALUE"""),138.8)</f>
        <v>138.8</v>
      </c>
      <c r="BL20" s="2">
        <f>IFERROR(__xludf.DUMMYFUNCTION("""COMPUTED_VALUE"""),483.0)</f>
        <v>483</v>
      </c>
      <c r="BM20" s="2">
        <f>IFERROR(__xludf.DUMMYFUNCTION("""COMPUTED_VALUE"""),94.0)</f>
        <v>94</v>
      </c>
      <c r="BN20" s="2" t="str">
        <f>IFERROR(__xludf.DUMMYFUNCTION("""COMPUTED_VALUE"""),"")</f>
        <v/>
      </c>
      <c r="BO20" s="2">
        <f>IFERROR(__xludf.DUMMYFUNCTION("""COMPUTED_VALUE"""),136.4)</f>
        <v>136.4</v>
      </c>
      <c r="BP20" s="2">
        <f>IFERROR(__xludf.DUMMYFUNCTION("""COMPUTED_VALUE"""),75.4)</f>
        <v>75.4</v>
      </c>
      <c r="BQ20" s="2">
        <f>IFERROR(__xludf.DUMMYFUNCTION("""COMPUTED_VALUE"""),487.0)</f>
        <v>487</v>
      </c>
      <c r="BR20" s="2">
        <f>IFERROR(__xludf.DUMMYFUNCTION("""COMPUTED_VALUE"""),185.0)</f>
        <v>185</v>
      </c>
      <c r="BS20" s="2">
        <f>IFERROR(__xludf.DUMMYFUNCTION("""COMPUTED_VALUE"""),98.0)</f>
        <v>98</v>
      </c>
      <c r="BT20" s="2">
        <f>IFERROR(__xludf.DUMMYFUNCTION("""COMPUTED_VALUE"""),100.0)</f>
        <v>100</v>
      </c>
      <c r="BU20" s="2" t="b">
        <f>IFERROR(__xludf.DUMMYFUNCTION("""COMPUTED_VALUE"""),FALSE)</f>
        <v>0</v>
      </c>
      <c r="BV20" s="2" t="str">
        <f>IFERROR(__xludf.DUMMYFUNCTION("""COMPUTED_VALUE"""),"")</f>
        <v/>
      </c>
      <c r="BW20" s="2" t="str">
        <f>IFERROR(__xludf.DUMMYFUNCTION("""COMPUTED_VALUE"""),"")</f>
        <v/>
      </c>
      <c r="BX20" s="2" t="str">
        <f>IFERROR(__xludf.DUMMYFUNCTION("""COMPUTED_VALUE"""),"")</f>
        <v/>
      </c>
      <c r="BY20" s="2" t="str">
        <f>IFERROR(__xludf.DUMMYFUNCTION("""COMPUTED_VALUE"""),"")</f>
        <v/>
      </c>
      <c r="BZ20" s="2" t="str">
        <f>IFERROR(__xludf.DUMMYFUNCTION("""COMPUTED_VALUE"""),"")</f>
        <v/>
      </c>
      <c r="CA20" s="2" t="str">
        <f>IFERROR(__xludf.DUMMYFUNCTION("""COMPUTED_VALUE"""),"")</f>
        <v/>
      </c>
      <c r="CB20" s="2" t="str">
        <f>IFERROR(__xludf.DUMMYFUNCTION("""COMPUTED_VALUE"""),"")</f>
        <v/>
      </c>
      <c r="CC20" s="2" t="str">
        <f>IFERROR(__xludf.DUMMYFUNCTION("""COMPUTED_VALUE"""),"")</f>
        <v/>
      </c>
      <c r="CD20" s="2" t="str">
        <f>IFERROR(__xludf.DUMMYFUNCTION("""COMPUTED_VALUE"""),"")</f>
        <v/>
      </c>
      <c r="CE20" s="2" t="str">
        <f>IFERROR(__xludf.DUMMYFUNCTION("""COMPUTED_VALUE"""),"")</f>
        <v/>
      </c>
      <c r="CF20" s="2" t="str">
        <f>IFERROR(__xludf.DUMMYFUNCTION("""COMPUTED_VALUE"""),"")</f>
        <v/>
      </c>
      <c r="CG20" s="2" t="str">
        <f>IFERROR(__xludf.DUMMYFUNCTION("""COMPUTED_VALUE"""),"")</f>
        <v/>
      </c>
      <c r="CH20" s="2" t="str">
        <f>IFERROR(__xludf.DUMMYFUNCTION("""COMPUTED_VALUE"""),"")</f>
        <v/>
      </c>
      <c r="CI20" s="2" t="str">
        <f>IFERROR(__xludf.DUMMYFUNCTION("""COMPUTED_VALUE"""),"")</f>
        <v/>
      </c>
      <c r="CJ20" s="2" t="str">
        <f>IFERROR(__xludf.DUMMYFUNCTION("""COMPUTED_VALUE"""),"")</f>
        <v/>
      </c>
      <c r="CK20" s="2" t="str">
        <f>IFERROR(__xludf.DUMMYFUNCTION("""COMPUTED_VALUE"""),"")</f>
        <v/>
      </c>
      <c r="CL20" s="2" t="str">
        <f>IFERROR(__xludf.DUMMYFUNCTION("""COMPUTED_VALUE"""),"")</f>
        <v/>
      </c>
      <c r="CM20" s="2" t="str">
        <f>IFERROR(__xludf.DUMMYFUNCTION("""COMPUTED_VALUE"""),"")</f>
        <v/>
      </c>
      <c r="CN20" s="2" t="str">
        <f>IFERROR(__xludf.DUMMYFUNCTION("""COMPUTED_VALUE"""),"")</f>
        <v/>
      </c>
      <c r="CO20" s="2" t="str">
        <f>IFERROR(__xludf.DUMMYFUNCTION("""COMPUTED_VALUE"""),"")</f>
        <v/>
      </c>
      <c r="CP20" s="2" t="str">
        <f>IFERROR(__xludf.DUMMYFUNCTION("""COMPUTED_VALUE"""),"")</f>
        <v/>
      </c>
      <c r="CQ20" s="2" t="str">
        <f>IFERROR(__xludf.DUMMYFUNCTION("""COMPUTED_VALUE"""),"")</f>
        <v/>
      </c>
      <c r="CR20" s="2" t="str">
        <f>IFERROR(__xludf.DUMMYFUNCTION("""COMPUTED_VALUE"""),"")</f>
        <v/>
      </c>
      <c r="CS20" s="2" t="str">
        <f>IFERROR(__xludf.DUMMYFUNCTION("""COMPUTED_VALUE"""),"")</f>
        <v/>
      </c>
      <c r="CT20" s="2" t="str">
        <f>IFERROR(__xludf.DUMMYFUNCTION("""COMPUTED_VALUE"""),"")</f>
        <v/>
      </c>
      <c r="CU20" s="2" t="str">
        <f>IFERROR(__xludf.DUMMYFUNCTION("""COMPUTED_VALUE"""),"")</f>
        <v/>
      </c>
      <c r="CV20" s="2" t="str">
        <f>IFERROR(__xludf.DUMMYFUNCTION("""COMPUTED_VALUE"""),"")</f>
        <v/>
      </c>
      <c r="CW20" s="2" t="str">
        <f>IFERROR(__xludf.DUMMYFUNCTION("""COMPUTED_VALUE"""),"")</f>
        <v/>
      </c>
      <c r="CX20" s="2" t="str">
        <f>IFERROR(__xludf.DUMMYFUNCTION("""COMPUTED_VALUE"""),"")</f>
        <v/>
      </c>
      <c r="CY20" s="2" t="str">
        <f>IFERROR(__xludf.DUMMYFUNCTION("""COMPUTED_VALUE"""),"")</f>
        <v/>
      </c>
      <c r="CZ20" s="2" t="str">
        <f>IFERROR(__xludf.DUMMYFUNCTION("""COMPUTED_VALUE"""),"")</f>
        <v/>
      </c>
      <c r="DA20" s="2" t="str">
        <f>IFERROR(__xludf.DUMMYFUNCTION("""COMPUTED_VALUE"""),"")</f>
        <v/>
      </c>
      <c r="DB20" s="2" t="str">
        <f>IFERROR(__xludf.DUMMYFUNCTION("""COMPUTED_VALUE"""),"")</f>
        <v/>
      </c>
      <c r="DC20" s="2" t="str">
        <f>IFERROR(__xludf.DUMMYFUNCTION("""COMPUTED_VALUE"""),"")</f>
        <v/>
      </c>
      <c r="DD20" s="2" t="str">
        <f>IFERROR(__xludf.DUMMYFUNCTION("""COMPUTED_VALUE"""),"")</f>
        <v/>
      </c>
      <c r="DE20" s="2" t="str">
        <f>IFERROR(__xludf.DUMMYFUNCTION("""COMPUTED_VALUE"""),"")</f>
        <v/>
      </c>
      <c r="DF20" s="2" t="str">
        <f>IFERROR(__xludf.DUMMYFUNCTION("""COMPUTED_VALUE"""),"")</f>
        <v/>
      </c>
      <c r="DG20" s="2" t="str">
        <f>IFERROR(__xludf.DUMMYFUNCTION("""COMPUTED_VALUE"""),"")</f>
        <v/>
      </c>
      <c r="DH20" s="2" t="str">
        <f>IFERROR(__xludf.DUMMYFUNCTION("""COMPUTED_VALUE"""),"")</f>
        <v/>
      </c>
      <c r="DI20" s="2" t="str">
        <f>IFERROR(__xludf.DUMMYFUNCTION("""COMPUTED_VALUE"""),"")</f>
        <v/>
      </c>
      <c r="DJ20" s="2" t="str">
        <f>IFERROR(__xludf.DUMMYFUNCTION("""COMPUTED_VALUE"""),"")</f>
        <v/>
      </c>
      <c r="DK20" s="2" t="str">
        <f>IFERROR(__xludf.DUMMYFUNCTION("""COMPUTED_VALUE"""),"")</f>
        <v/>
      </c>
      <c r="DL20" s="2" t="str">
        <f>IFERROR(__xludf.DUMMYFUNCTION("""COMPUTED_VALUE"""),"")</f>
        <v/>
      </c>
      <c r="DM20" s="2" t="str">
        <f>IFERROR(__xludf.DUMMYFUNCTION("""COMPUTED_VALUE"""),"")</f>
        <v/>
      </c>
      <c r="DN20" s="2" t="str">
        <f>IFERROR(__xludf.DUMMYFUNCTION("""COMPUTED_VALUE"""),"")</f>
        <v/>
      </c>
      <c r="DO20" s="2" t="str">
        <f>IFERROR(__xludf.DUMMYFUNCTION("""COMPUTED_VALUE"""),"")</f>
        <v/>
      </c>
      <c r="DP20" s="2" t="str">
        <f>IFERROR(__xludf.DUMMYFUNCTION("""COMPUTED_VALUE"""),"")</f>
        <v/>
      </c>
      <c r="DQ20" s="2" t="str">
        <f>IFERROR(__xludf.DUMMYFUNCTION("""COMPUTED_VALUE"""),"")</f>
        <v/>
      </c>
      <c r="DR20" s="2" t="str">
        <f>IFERROR(__xludf.DUMMYFUNCTION("""COMPUTED_VALUE"""),"")</f>
        <v/>
      </c>
      <c r="DS20" s="2" t="str">
        <f>IFERROR(__xludf.DUMMYFUNCTION("""COMPUTED_VALUE"""),"")</f>
        <v/>
      </c>
      <c r="DT20" s="2" t="str">
        <f>IFERROR(__xludf.DUMMYFUNCTION("""COMPUTED_VALUE"""),"")</f>
        <v/>
      </c>
      <c r="DU20" s="2" t="str">
        <f>IFERROR(__xludf.DUMMYFUNCTION("""COMPUTED_VALUE"""),"")</f>
        <v/>
      </c>
      <c r="DV20" s="2" t="str">
        <f>IFERROR(__xludf.DUMMYFUNCTION("""COMPUTED_VALUE"""),"")</f>
        <v/>
      </c>
      <c r="DW20" s="2" t="str">
        <f>IFERROR(__xludf.DUMMYFUNCTION("""COMPUTED_VALUE"""),"")</f>
        <v/>
      </c>
      <c r="DX20" s="2" t="str">
        <f>IFERROR(__xludf.DUMMYFUNCTION("""COMPUTED_VALUE"""),"")</f>
        <v/>
      </c>
      <c r="DY20" s="2" t="str">
        <f>IFERROR(__xludf.DUMMYFUNCTION("""COMPUTED_VALUE"""),"")</f>
        <v/>
      </c>
      <c r="DZ20" s="2" t="str">
        <f>IFERROR(__xludf.DUMMYFUNCTION("""COMPUTED_VALUE"""),"")</f>
        <v/>
      </c>
      <c r="EA20" s="2" t="str">
        <f>IFERROR(__xludf.DUMMYFUNCTION("""COMPUTED_VALUE"""),"")</f>
        <v/>
      </c>
      <c r="EB20" s="2" t="str">
        <f>IFERROR(__xludf.DUMMYFUNCTION("""COMPUTED_VALUE"""),"")</f>
        <v/>
      </c>
      <c r="EC20" s="2" t="str">
        <f>IFERROR(__xludf.DUMMYFUNCTION("""COMPUTED_VALUE"""),"")</f>
        <v/>
      </c>
      <c r="ED20" s="2" t="str">
        <f>IFERROR(__xludf.DUMMYFUNCTION("""COMPUTED_VALUE"""),"")</f>
        <v/>
      </c>
      <c r="EE20" s="2" t="str">
        <f>IFERROR(__xludf.DUMMYFUNCTION("""COMPUTED_VALUE"""),"")</f>
        <v/>
      </c>
      <c r="EF20" s="2" t="str">
        <f>IFERROR(__xludf.DUMMYFUNCTION("""COMPUTED_VALUE"""),"")</f>
        <v/>
      </c>
      <c r="EG20" s="2" t="str">
        <f>IFERROR(__xludf.DUMMYFUNCTION("""COMPUTED_VALUE"""),"")</f>
        <v/>
      </c>
      <c r="EH20" s="2" t="str">
        <f>IFERROR(__xludf.DUMMYFUNCTION("""COMPUTED_VALUE"""),"")</f>
        <v/>
      </c>
      <c r="EI20" s="2" t="str">
        <f>IFERROR(__xludf.DUMMYFUNCTION("""COMPUTED_VALUE"""),"")</f>
        <v/>
      </c>
      <c r="EJ20" s="2" t="str">
        <f>IFERROR(__xludf.DUMMYFUNCTION("""COMPUTED_VALUE"""),"")</f>
        <v/>
      </c>
      <c r="EK20" s="2" t="str">
        <f>IFERROR(__xludf.DUMMYFUNCTION("""COMPUTED_VALUE"""),"")</f>
        <v/>
      </c>
      <c r="EL20" s="2" t="str">
        <f>IFERROR(__xludf.DUMMYFUNCTION("""COMPUTED_VALUE"""),"")</f>
        <v/>
      </c>
      <c r="EM20" s="2" t="str">
        <f>IFERROR(__xludf.DUMMYFUNCTION("""COMPUTED_VALUE"""),"")</f>
        <v/>
      </c>
      <c r="EN20" s="2" t="str">
        <f>IFERROR(__xludf.DUMMYFUNCTION("""COMPUTED_VALUE"""),"")</f>
        <v/>
      </c>
      <c r="EO20" s="2" t="str">
        <f>IFERROR(__xludf.DUMMYFUNCTION("""COMPUTED_VALUE"""),"")</f>
        <v/>
      </c>
      <c r="EP20" s="2" t="str">
        <f>IFERROR(__xludf.DUMMYFUNCTION("""COMPUTED_VALUE"""),"")</f>
        <v/>
      </c>
      <c r="EQ20" s="2" t="str">
        <f>IFERROR(__xludf.DUMMYFUNCTION("""COMPUTED_VALUE"""),"")</f>
        <v/>
      </c>
      <c r="ER20" s="2" t="str">
        <f>IFERROR(__xludf.DUMMYFUNCTION("""COMPUTED_VALUE"""),"")</f>
        <v/>
      </c>
      <c r="ES20" s="2" t="str">
        <f>IFERROR(__xludf.DUMMYFUNCTION("""COMPUTED_VALUE"""),"")</f>
        <v/>
      </c>
      <c r="ET20" s="2" t="str">
        <f>IFERROR(__xludf.DUMMYFUNCTION("""COMPUTED_VALUE"""),"")</f>
        <v/>
      </c>
      <c r="EU20" s="2" t="str">
        <f>IFERROR(__xludf.DUMMYFUNCTION("""COMPUTED_VALUE"""),"")</f>
        <v/>
      </c>
      <c r="EV20" s="2" t="str">
        <f>IFERROR(__xludf.DUMMYFUNCTION("""COMPUTED_VALUE"""),"")</f>
        <v/>
      </c>
      <c r="EW20" s="2" t="str">
        <f>IFERROR(__xludf.DUMMYFUNCTION("""COMPUTED_VALUE"""),"")</f>
        <v/>
      </c>
      <c r="EX20" s="2" t="str">
        <f>IFERROR(__xludf.DUMMYFUNCTION("""COMPUTED_VALUE"""),"")</f>
        <v/>
      </c>
      <c r="EY20" s="2" t="str">
        <f>IFERROR(__xludf.DUMMYFUNCTION("""COMPUTED_VALUE"""),"UC Test Pump")</f>
        <v>UC Test Pump</v>
      </c>
      <c r="EZ20" s="2" t="str">
        <f>IFERROR(__xludf.DUMMYFUNCTION("""COMPUTED_VALUE"""),"UC-FP-1")</f>
        <v>UC-FP-1</v>
      </c>
      <c r="FA20" s="2" t="str">
        <f>IFERROR(__xludf.DUMMYFUNCTION("""COMPUTED_VALUE"""),"AESC Admin - Hose Monster")</f>
        <v>AESC Admin - Hose Monster</v>
      </c>
      <c r="FB20" s="2" t="str">
        <f>IFERROR(__xludf.DUMMYFUNCTION("""COMPUTED_VALUE"""),"c4a602a6-5b8e-4c9d-87bd-335d4071d942")</f>
        <v>c4a602a6-5b8e-4c9d-87bd-335d4071d942</v>
      </c>
      <c r="FC20" s="2" t="str">
        <f>IFERROR(__xludf.DUMMYFUNCTION("""COMPUTED_VALUE"""),"UC Test Testing Firm")</f>
        <v>UC Test Testing Firm</v>
      </c>
      <c r="FD20" s="14" t="str">
        <f>IFERROR(__xludf.DUMMYFUNCTION("""COMPUTED_VALUE"""),"https://ucld.us/_proto/index.html#ajax/AssetDetails.html?assetid=835317036")</f>
        <v>https://ucld.us/_proto/index.html#ajax/AssetDetails.html?assetid=835317036</v>
      </c>
      <c r="FE20" s="15">
        <f>IFERROR(__xludf.DUMMYFUNCTION("""COMPUTED_VALUE"""),43796.0)</f>
        <v>43796</v>
      </c>
      <c r="FF20" s="2">
        <f>IFERROR(__xludf.DUMMYFUNCTION("""COMPUTED_VALUE"""),42.77487)</f>
        <v>42.77487</v>
      </c>
      <c r="FG20" s="2">
        <f>IFERROR(__xludf.DUMMYFUNCTION("""COMPUTED_VALUE"""),-71.249246)</f>
        <v>-71.249246</v>
      </c>
      <c r="FH20" s="2" t="str">
        <f>IFERROR(__xludf.DUMMYFUNCTION("""COMPUTED_VALUE"""),"")</f>
        <v/>
      </c>
      <c r="FI20" s="2">
        <f>IFERROR(__xludf.DUMMYFUNCTION("""COMPUTED_VALUE"""),8.35317036E8)</f>
        <v>835317036</v>
      </c>
      <c r="FJ20" s="2" t="str">
        <f>IFERROR(__xludf.DUMMYFUNCTION("""COMPUTED_VALUE"""),"lsifsldf")</f>
        <v>lsifsldf</v>
      </c>
      <c r="FK20" s="2" t="str">
        <f>IFERROR(__xludf.DUMMYFUNCTION("""COMPUTED_VALUE"""),"bldg name")</f>
        <v>bldg name</v>
      </c>
      <c r="FL20" s="2" t="str">
        <f>IFERROR(__xludf.DUMMYFUNCTION("""COMPUTED_VALUE"""),"sdfj")</f>
        <v>sdfj</v>
      </c>
      <c r="FM20" s="2" t="str">
        <f>IFERROR(__xludf.DUMMYFUNCTION("""COMPUTED_VALUE"""),"sdlifiji")</f>
        <v>sdlifiji</v>
      </c>
      <c r="FN20" s="2" t="str">
        <f>IFERROR(__xludf.DUMMYFUNCTION("""COMPUTED_VALUE"""),"sljsdf")</f>
        <v>sljsdf</v>
      </c>
      <c r="FO20" s="2" t="str">
        <f>IFERROR(__xludf.DUMMYFUNCTION("""COMPUTED_VALUE"""),"ljsf")</f>
        <v>ljsf</v>
      </c>
      <c r="FP20" s="2" t="str">
        <f>IFERROR(__xludf.DUMMYFUNCTION("""COMPUTED_VALUE"""),"Milford")</f>
        <v>Milford</v>
      </c>
      <c r="FQ20" s="2" t="str">
        <f>IFERROR(__xludf.DUMMYFUNCTION("""COMPUTED_VALUE"""),"US")</f>
        <v>US</v>
      </c>
      <c r="FR20" s="2" t="str">
        <f>IFERROR(__xludf.DUMMYFUNCTION("""COMPUTED_VALUE"""),"ABC Big Company")</f>
        <v>ABC Big Company</v>
      </c>
      <c r="FS20" s="2" t="str">
        <f>IFERROR(__xludf.DUMMYFUNCTION("""COMPUTED_VALUE"""),"")</f>
        <v/>
      </c>
      <c r="FT20" s="2" t="str">
        <f>IFERROR(__xludf.DUMMYFUNCTION("""COMPUTED_VALUE"""),"Bill Williams")</f>
        <v>Bill Williams</v>
      </c>
      <c r="FU20" s="16">
        <f>IFERROR(__xludf.DUMMYFUNCTION("""COMPUTED_VALUE"""),43801.0)</f>
        <v>43801</v>
      </c>
      <c r="FV20" s="16">
        <f>IFERROR(__xludf.DUMMYFUNCTION("""COMPUTED_VALUE"""),43770.0)</f>
        <v>43770</v>
      </c>
      <c r="FW20" s="2">
        <f>IFERROR(__xludf.DUMMYFUNCTION("""COMPUTED_VALUE"""),4.0)</f>
        <v>4</v>
      </c>
      <c r="FX20" s="2">
        <f>IFERROR(__xludf.DUMMYFUNCTION("""COMPUTED_VALUE"""),3.0)</f>
        <v>3</v>
      </c>
      <c r="FY20" s="2" t="str">
        <f>IFERROR(__xludf.DUMMYFUNCTION("""COMPUTED_VALUE"""),"FM")</f>
        <v>FM</v>
      </c>
      <c r="FZ20" s="2" t="str">
        <f>IFERROR(__xludf.DUMMYFUNCTION("""COMPUTED_VALUE"""),"grlsfkkjjslfj")</f>
        <v>grlsfkkjjslfj</v>
      </c>
      <c r="GA20" s="2" t="str">
        <f>IFERROR(__xludf.DUMMYFUNCTION("""COMPUTED_VALUE"""),"gdijgs")</f>
        <v>gdijgs</v>
      </c>
      <c r="GB20" s="2" t="str">
        <f>IFERROR(__xludf.DUMMYFUNCTION("""COMPUTED_VALUE"""),"fgdfg")</f>
        <v>fgdfg</v>
      </c>
      <c r="GC20" s="2">
        <f>IFERROR(__xludf.DUMMYFUNCTION("""COMPUTED_VALUE"""),3.0)</f>
        <v>3</v>
      </c>
      <c r="GD20" s="2">
        <f>IFERROR(__xludf.DUMMYFUNCTION("""COMPUTED_VALUE"""),2.0)</f>
        <v>2</v>
      </c>
      <c r="GE20" s="2">
        <f>IFERROR(__xludf.DUMMYFUNCTION("""COMPUTED_VALUE"""),1.0)</f>
        <v>1</v>
      </c>
      <c r="GF20" s="2">
        <f>IFERROR(__xludf.DUMMYFUNCTION("""COMPUTED_VALUE"""),2.0)</f>
        <v>2</v>
      </c>
      <c r="GG20" s="2">
        <f>IFERROR(__xludf.DUMMYFUNCTION("""COMPUTED_VALUE"""),1.0)</f>
        <v>1</v>
      </c>
      <c r="GH20" s="2" t="str">
        <f>IFERROR(__xludf.DUMMYFUNCTION("""COMPUTED_VALUE"""),"dlfjgf")</f>
        <v>dlfjgf</v>
      </c>
      <c r="GI20" s="2" t="str">
        <f>IFERROR(__xludf.DUMMYFUNCTION("""COMPUTED_VALUE"""),"gdfsf")</f>
        <v>gdfsf</v>
      </c>
      <c r="GJ20" s="2" t="str">
        <f>IFERROR(__xludf.DUMMYFUNCTION("""COMPUTED_VALUE"""),"Electric Motor")</f>
        <v>Electric Motor</v>
      </c>
      <c r="GK20" s="2" t="str">
        <f>IFERROR(__xludf.DUMMYFUNCTION("""COMPUTED_VALUE"""),"")</f>
        <v/>
      </c>
      <c r="GL20" s="2" t="str">
        <f>IFERROR(__xludf.DUMMYFUNCTION("""COMPUTED_VALUE"""),"example@example.com")</f>
        <v>example@example.com</v>
      </c>
      <c r="GM20" s="2" t="str">
        <f>IFERROR(__xludf.DUMMYFUNCTION("""COMPUTED_VALUE"""),"999-999-9999")</f>
        <v>999-999-9999</v>
      </c>
      <c r="GN20" s="2" t="str">
        <f>IFERROR(__xludf.DUMMYFUNCTION("""COMPUTED_VALUE"""),"")</f>
        <v/>
      </c>
      <c r="GO20" s="2" t="str">
        <f>IFERROR(__xludf.DUMMYFUNCTION("""COMPUTED_VALUE"""),"")</f>
        <v/>
      </c>
      <c r="GP20" s="2" t="str">
        <f>IFERROR(__xludf.DUMMYFUNCTION("""COMPUTED_VALUE"""),"")</f>
        <v/>
      </c>
      <c r="GQ20" s="2">
        <f>IFERROR(__xludf.DUMMYFUNCTION("""COMPUTED_VALUE"""),3.0)</f>
        <v>3</v>
      </c>
      <c r="GR20" s="2" t="str">
        <f>IFERROR(__xludf.DUMMYFUNCTION("""COMPUTED_VALUE"""),"UL")</f>
        <v>UL</v>
      </c>
      <c r="GS20" s="2" t="str">
        <f>IFERROR(__xludf.DUMMYFUNCTION("""COMPUTED_VALUE"""),"sldf")</f>
        <v>sldf</v>
      </c>
      <c r="GT20" s="2" t="str">
        <f>IFERROR(__xludf.DUMMYFUNCTION("""COMPUTED_VALUE"""),"sflj")</f>
        <v>sflj</v>
      </c>
      <c r="GU20" s="2">
        <f>IFERROR(__xludf.DUMMYFUNCTION("""COMPUTED_VALUE"""),6.0)</f>
        <v>6</v>
      </c>
      <c r="GV20" s="2">
        <f>IFERROR(__xludf.DUMMYFUNCTION("""COMPUTED_VALUE"""),5.0)</f>
        <v>5</v>
      </c>
      <c r="GW20" s="2">
        <f>IFERROR(__xludf.DUMMYFUNCTION("""COMPUTED_VALUE"""),2.0)</f>
        <v>2</v>
      </c>
      <c r="GX20" s="2">
        <f>IFERROR(__xludf.DUMMYFUNCTION("""COMPUTED_VALUE"""),1.0)</f>
        <v>1</v>
      </c>
      <c r="GY20" s="2">
        <f>IFERROR(__xludf.DUMMYFUNCTION("""COMPUTED_VALUE"""),4.0)</f>
        <v>4</v>
      </c>
      <c r="GZ20" s="2" t="str">
        <f>IFERROR(__xludf.DUMMYFUNCTION("""COMPUTED_VALUE"""),"slkjsdfdl")</f>
        <v>slkjsdfdl</v>
      </c>
      <c r="HA20" s="2" t="str">
        <f>IFERROR(__xludf.DUMMYFUNCTION("""COMPUTED_VALUE"""),"slfj")</f>
        <v>slfj</v>
      </c>
      <c r="HB20" s="2" t="str">
        <f>IFERROR(__xludf.DUMMYFUNCTION("""COMPUTED_VALUE"""),"sdfj")</f>
        <v>sdfj</v>
      </c>
      <c r="HC20" s="2" t="str">
        <f>IFERROR(__xludf.DUMMYFUNCTION("""COMPUTED_VALUE"""),"lsflsdk")</f>
        <v>lsflsdk</v>
      </c>
      <c r="HD20" s="2">
        <f>IFERROR(__xludf.DUMMYFUNCTION("""COMPUTED_VALUE"""),120.0)</f>
        <v>120</v>
      </c>
      <c r="HE20" s="2">
        <f>IFERROR(__xludf.DUMMYFUNCTION("""COMPUTED_VALUE"""),67.0)</f>
        <v>67</v>
      </c>
      <c r="HF20" s="2">
        <f>IFERROR(__xludf.DUMMYFUNCTION("""COMPUTED_VALUE"""),100.0)</f>
        <v>100</v>
      </c>
      <c r="HG20" s="2">
        <f>IFERROR(__xludf.DUMMYFUNCTION("""COMPUTED_VALUE"""),3.0)</f>
        <v>3</v>
      </c>
      <c r="HH20" s="2" t="str">
        <f>IFERROR(__xludf.DUMMYFUNCTION("""COMPUTED_VALUE"""),"sj;")</f>
        <v>sj;</v>
      </c>
      <c r="HI20" s="2" t="str">
        <f>IFERROR(__xludf.DUMMYFUNCTION("""COMPUTED_VALUE"""),"sf;os")</f>
        <v>sf;os</v>
      </c>
      <c r="HJ20" s="2" t="str">
        <f>IFERROR(__xludf.DUMMYFUNCTION("""COMPUTED_VALUE"""),"ljsf")</f>
        <v>ljsf</v>
      </c>
      <c r="HK20" s="2" t="str">
        <f>IFERROR(__xludf.DUMMYFUNCTION("""COMPUTED_VALUE"""),"lkjsdf")</f>
        <v>lkjsdf</v>
      </c>
      <c r="HL20" s="2" t="str">
        <f>IFERROR(__xludf.DUMMYFUNCTION("""COMPUTED_VALUE"""),"")</f>
        <v/>
      </c>
      <c r="HM20" s="2" t="str">
        <f>IFERROR(__xludf.DUMMYFUNCTION("""COMPUTED_VALUE"""),"")</f>
        <v/>
      </c>
      <c r="HN20" s="2" t="str">
        <f>IFERROR(__xludf.DUMMYFUNCTION("""COMPUTED_VALUE"""),"")</f>
        <v/>
      </c>
      <c r="HO20" s="2">
        <f>IFERROR(__xludf.DUMMYFUNCTION("""COMPUTED_VALUE"""),3.0)</f>
        <v>3</v>
      </c>
      <c r="HP20" s="2" t="str">
        <f>IFERROR(__xludf.DUMMYFUNCTION("""COMPUTED_VALUE"""),"ULC")</f>
        <v>ULC</v>
      </c>
      <c r="HQ20" s="2" t="str">
        <f>IFERROR(__xludf.DUMMYFUNCTION("""COMPUTED_VALUE"""),"gkiksjf")</f>
        <v>gkiksjf</v>
      </c>
      <c r="HR20" s="2" t="str">
        <f>IFERROR(__xludf.DUMMYFUNCTION("""COMPUTED_VALUE"""),"OJSFDLJ")</f>
        <v>OJSFDLJ</v>
      </c>
      <c r="HS20" s="2">
        <f>IFERROR(__xludf.DUMMYFUNCTION("""COMPUTED_VALUE"""),6.0)</f>
        <v>6</v>
      </c>
      <c r="HT20" s="2">
        <f>IFERROR(__xludf.DUMMYFUNCTION("""COMPUTED_VALUE"""),5.0)</f>
        <v>5</v>
      </c>
      <c r="HU20" s="2">
        <f>IFERROR(__xludf.DUMMYFUNCTION("""COMPUTED_VALUE"""),2.0)</f>
        <v>2</v>
      </c>
      <c r="HV20" s="2">
        <f>IFERROR(__xludf.DUMMYFUNCTION("""COMPUTED_VALUE"""),1.0)</f>
        <v>1</v>
      </c>
      <c r="HW20" s="2">
        <f>IFERROR(__xludf.DUMMYFUNCTION("""COMPUTED_VALUE"""),4.0)</f>
        <v>4</v>
      </c>
      <c r="HX20" s="2" t="str">
        <f>IFERROR(__xludf.DUMMYFUNCTION("""COMPUTED_VALUE"""),"SSL")</f>
        <v>SSL</v>
      </c>
      <c r="HY20" s="2">
        <f>IFERROR(__xludf.DUMMYFUNCTION("""COMPUTED_VALUE"""),3.0)</f>
        <v>3</v>
      </c>
      <c r="HZ20" s="2">
        <f>IFERROR(__xludf.DUMMYFUNCTION("""COMPUTED_VALUE"""),7.0)</f>
        <v>7</v>
      </c>
      <c r="IA20" s="2" t="str">
        <f>IFERROR(__xludf.DUMMYFUNCTION("""COMPUTED_VALUE"""),"sdfljsd")</f>
        <v>sdfljsd</v>
      </c>
      <c r="IB20" s="2" t="str">
        <f>IFERROR(__xludf.DUMMYFUNCTION("""COMPUTED_VALUE"""),"gierp")</f>
        <v>gierp</v>
      </c>
      <c r="IC20" s="2">
        <f>IFERROR(__xludf.DUMMYFUNCTION("""COMPUTED_VALUE"""),2.0)</f>
        <v>2</v>
      </c>
      <c r="ID20" s="2">
        <f>IFERROR(__xludf.DUMMYFUNCTION("""COMPUTED_VALUE"""),6.0)</f>
        <v>6</v>
      </c>
      <c r="IE20" s="2">
        <f>IFERROR(__xludf.DUMMYFUNCTION("""COMPUTED_VALUE"""),3.0)</f>
        <v>3</v>
      </c>
      <c r="IF20" s="2">
        <f>IFERROR(__xludf.DUMMYFUNCTION("""COMPUTED_VALUE"""),1.0)</f>
        <v>1</v>
      </c>
      <c r="IG20" s="2">
        <f>IFERROR(__xludf.DUMMYFUNCTION("""COMPUTED_VALUE"""),4.0)</f>
        <v>4</v>
      </c>
      <c r="IH20" s="2">
        <f>IFERROR(__xludf.DUMMYFUNCTION("""COMPUTED_VALUE"""),2.0)</f>
        <v>2</v>
      </c>
      <c r="II20" s="2">
        <f>IFERROR(__xludf.DUMMYFUNCTION("""COMPUTED_VALUE"""),4.0)</f>
        <v>4</v>
      </c>
      <c r="IJ20" s="2" t="str">
        <f>IFERROR(__xludf.DUMMYFUNCTION("""COMPUTED_VALUE"""),"grgdfl")</f>
        <v>grgdfl</v>
      </c>
      <c r="IK20" s="2">
        <f>IFERROR(__xludf.DUMMYFUNCTION("""COMPUTED_VALUE"""),5.0)</f>
        <v>5</v>
      </c>
      <c r="IL20" s="2" t="str">
        <f>IFERROR(__xludf.DUMMYFUNCTION("""COMPUTED_VALUE"""),"FM")</f>
        <v>FM</v>
      </c>
      <c r="IM20" s="2" t="str">
        <f>IFERROR(__xludf.DUMMYFUNCTION("""COMPUTED_VALUE"""),"grrgrg")</f>
        <v>grrgrg</v>
      </c>
      <c r="IN20" s="2" t="str">
        <f>IFERROR(__xludf.DUMMYFUNCTION("""COMPUTED_VALUE"""),"rthrt")</f>
        <v>rthrt</v>
      </c>
      <c r="IO20" s="2" t="str">
        <f>IFERROR(__xludf.DUMMYFUNCTION("""COMPUTED_VALUE"""),"dfjsdfljsd")</f>
        <v>dfjsdfljsd</v>
      </c>
      <c r="IP20" s="2" t="str">
        <f>IFERROR(__xludf.DUMMYFUNCTION("""COMPUTED_VALUE"""),"")</f>
        <v/>
      </c>
      <c r="IQ20" s="2" t="str">
        <f>IFERROR(__xludf.DUMMYFUNCTION("""COMPUTED_VALUE"""),"999-999-9999")</f>
        <v>999-999-9999</v>
      </c>
      <c r="IR20" s="2" t="str">
        <f>IFERROR(__xludf.DUMMYFUNCTION("""COMPUTED_VALUE"""),"clockwise")</f>
        <v>clockwise</v>
      </c>
      <c r="IS20" s="2" t="str">
        <f>IFERROR(__xludf.DUMMYFUNCTION("""COMPUTED_VALUE"""),"end-suction")</f>
        <v>end-suction</v>
      </c>
      <c r="IT20" s="2">
        <f>IFERROR(__xludf.DUMMYFUNCTION("""COMPUTED_VALUE"""),1000.0)</f>
        <v>1000</v>
      </c>
      <c r="IU20" s="2">
        <f>IFERROR(__xludf.DUMMYFUNCTION("""COMPUTED_VALUE"""),3500.0)</f>
        <v>3500</v>
      </c>
      <c r="IV20" s="2" t="str">
        <f>IFERROR(__xludf.DUMMYFUNCTION("""COMPUTED_VALUE"""),"sfpu")</f>
        <v>sfpu</v>
      </c>
      <c r="IW20" s="2" t="str">
        <f>IFERROR(__xludf.DUMMYFUNCTION("""COMPUTED_VALUE"""),"UL")</f>
        <v>UL</v>
      </c>
      <c r="IX20" s="2" t="str">
        <f>IFERROR(__xludf.DUMMYFUNCTION("""COMPUTED_VALUE"""),"dgdln")</f>
        <v>dgdln</v>
      </c>
      <c r="IY20" s="2" t="str">
        <f>IFERROR(__xludf.DUMMYFUNCTION("""COMPUTED_VALUE"""),"ssdfl")</f>
        <v>ssdfl</v>
      </c>
      <c r="IZ20" s="2" t="str">
        <f>IFERROR(__xludf.DUMMYFUNCTION("""COMPUTED_VALUE"""),"lijsfljsd")</f>
        <v>lijsfljsd</v>
      </c>
      <c r="JA20" s="2" t="str">
        <f>IFERROR(__xludf.DUMMYFUNCTION("""COMPUTED_VALUE"""),"")</f>
        <v/>
      </c>
      <c r="JB20" s="2" t="str">
        <f>IFERROR(__xludf.DUMMYFUNCTION("""COMPUTED_VALUE"""),"jlj")</f>
        <v>jlj</v>
      </c>
      <c r="JC20" s="2" t="str">
        <f>IFERROR(__xludf.DUMMYFUNCTION("""COMPUTED_VALUE"""),"NH")</f>
        <v>NH</v>
      </c>
      <c r="JD20" s="2" t="str">
        <f>IFERROR(__xludf.DUMMYFUNCTION("""COMPUTED_VALUE"""),"123 ABC Street")</f>
        <v>123 ABC Street</v>
      </c>
      <c r="JE20" s="2" t="str">
        <f>IFERROR(__xludf.DUMMYFUNCTION("""COMPUTED_VALUE"""),"Suite 1")</f>
        <v>Suite 1</v>
      </c>
      <c r="JF20" s="2" t="str">
        <f>IFERROR(__xludf.DUMMYFUNCTION("""COMPUTED_VALUE"""),"ffdsfs")</f>
        <v>ffdsfs</v>
      </c>
      <c r="JG20" s="2">
        <f>IFERROR(__xludf.DUMMYFUNCTION("""COMPUTED_VALUE"""),2.0)</f>
        <v>2</v>
      </c>
      <c r="JH20" s="2">
        <f>IFERROR(__xludf.DUMMYFUNCTION("""COMPUTED_VALUE"""),1.0)</f>
        <v>1</v>
      </c>
      <c r="JI20" s="2" t="str">
        <f>IFERROR(__xludf.DUMMYFUNCTION("""COMPUTED_VALUE"""),"Joseph Smith")</f>
        <v>Joseph Smith</v>
      </c>
      <c r="JJ20" s="2">
        <f>IFERROR(__xludf.DUMMYFUNCTION("""COMPUTED_VALUE"""),1.23456789E8)</f>
        <v>123456789</v>
      </c>
      <c r="JK20" s="2" t="str">
        <f>IFERROR(__xludf.DUMMYFUNCTION("""COMPUTED_VALUE"""),"")</f>
        <v/>
      </c>
      <c r="JL20" s="14" t="str">
        <f>IFERROR(__xludf.DUMMYFUNCTION("""COMPUTED_VALUE"""),"https://s3.amazonaws.com/UcAssetDataProduction/8ffa21a4-feeb-4341-b99f-0ff6134736c7.jpg")</f>
        <v>https://s3.amazonaws.com/UcAssetDataProduction/8ffa21a4-feeb-4341-b99f-0ff6134736c7.jpg</v>
      </c>
      <c r="JM20" s="2" t="str">
        <f>IFERROR(__xludf.DUMMYFUNCTION("""COMPUTED_VALUE"""),"My Testing Firm Name")</f>
        <v>My Testing Firm Name</v>
      </c>
      <c r="JN20" s="2">
        <f>IFERROR(__xludf.DUMMYFUNCTION("""COMPUTED_VALUE"""),231.0)</f>
        <v>231</v>
      </c>
      <c r="JO20" s="2">
        <f>IFERROR(__xludf.DUMMYFUNCTION("""COMPUTED_VALUE"""),3055.0)</f>
        <v>3055</v>
      </c>
      <c r="JP20" s="2" t="str">
        <f>IFERROR(__xludf.DUMMYFUNCTION("""COMPUTED_VALUE"""),"AESC Admin - Hose Monster")</f>
        <v>AESC Admin - Hose Monster</v>
      </c>
      <c r="JQ20" s="2" t="str">
        <f>IFERROR(__xludf.DUMMYFUNCTION("""COMPUTED_VALUE"""),"")</f>
        <v/>
      </c>
      <c r="JR20" s="2" t="str">
        <f>IFERROR(__xludf.DUMMYFUNCTION("""COMPUTED_VALUE"""),"")</f>
        <v/>
      </c>
      <c r="JS20" s="2" t="str">
        <f>IFERROR(__xludf.DUMMYFUNCTION("""COMPUTED_VALUE"""),"")</f>
        <v/>
      </c>
      <c r="JT20" s="2" t="str">
        <f>IFERROR(__xludf.DUMMYFUNCTION("""COMPUTED_VALUE"""),"")</f>
        <v/>
      </c>
      <c r="JU20" s="2" t="str">
        <f>IFERROR(__xludf.DUMMYFUNCTION("""COMPUTED_VALUE"""),"603-111-2222")</f>
        <v>603-111-2222</v>
      </c>
      <c r="JV20" s="2" t="str">
        <f>IFERROR(__xludf.DUMMYFUNCTION("""COMPUTED_VALUE"""),"AESC Admin - Hose Monster")</f>
        <v>AESC Admin - Hose Monster</v>
      </c>
      <c r="JW20" s="15">
        <f>IFERROR(__xludf.DUMMYFUNCTION("""COMPUTED_VALUE"""),43865.738032407404)</f>
        <v>43865.73803</v>
      </c>
      <c r="JX20" s="2" t="str">
        <f>IFERROR(__xludf.DUMMYFUNCTION("""COMPUTED_VALUE"""),"")</f>
        <v/>
      </c>
      <c r="JY20" s="2" t="str">
        <f>IFERROR(__xludf.DUMMYFUNCTION("""COMPUTED_VALUE"""),"DFLJSD")</f>
        <v>DFLJSD</v>
      </c>
      <c r="JZ20" s="2" t="str">
        <f>IFERROR(__xludf.DUMMYFUNCTION("""COMPUTED_VALUE"""),"Minor")</f>
        <v>Minor</v>
      </c>
      <c r="KA20" s="2" t="str">
        <f>IFERROR(__xludf.DUMMYFUNCTION("""COMPUTED_VALUE"""),"Complete")</f>
        <v>Complete</v>
      </c>
      <c r="KB20" s="2" t="str">
        <f>IFERROR(__xludf.DUMMYFUNCTION("""COMPUTED_VALUE"""),"PM")</f>
        <v>PM</v>
      </c>
    </row>
    <row r="21">
      <c r="A21" s="15">
        <f>IFERROR(__xludf.DUMMYFUNCTION("""COMPUTED_VALUE"""),43865.53119212963)</f>
        <v>43865.53119</v>
      </c>
      <c r="B21" s="2" t="str">
        <f>IFERROR(__xludf.DUMMYFUNCTION("""COMPUTED_VALUE"""),"AESC Admin - Hose Monster")</f>
        <v>AESC Admin - Hose Monster</v>
      </c>
      <c r="C21" s="2" t="str">
        <f>IFERROR(__xludf.DUMMYFUNCTION("""COMPUTED_VALUE"""),"")</f>
        <v/>
      </c>
      <c r="D21" s="2">
        <f>IFERROR(__xludf.DUMMYFUNCTION("""COMPUTED_VALUE"""),8.65337188E8)</f>
        <v>865337188</v>
      </c>
      <c r="E21" s="15">
        <f>IFERROR(__xludf.DUMMYFUNCTION("""COMPUTED_VALUE"""),43865.0)</f>
        <v>43865</v>
      </c>
      <c r="F21" s="2" t="str">
        <f>IFERROR(__xludf.DUMMYFUNCTION("""COMPUTED_VALUE"""),"")</f>
        <v/>
      </c>
      <c r="G21" s="2" t="str">
        <f>IFERROR(__xludf.DUMMYFUNCTION("""COMPUTED_VALUE"""),"")</f>
        <v/>
      </c>
      <c r="H21" s="2" t="str">
        <f>IFERROR(__xludf.DUMMYFUNCTION("""COMPUTED_VALUE"""),"")</f>
        <v/>
      </c>
      <c r="I21" s="2" t="str">
        <f>IFERROR(__xludf.DUMMYFUNCTION("""COMPUTED_VALUE"""),"")</f>
        <v/>
      </c>
      <c r="J21" s="2" t="str">
        <f>IFERROR(__xludf.DUMMYFUNCTION("""COMPUTED_VALUE"""),"")</f>
        <v/>
      </c>
      <c r="K21" s="2" t="str">
        <f>IFERROR(__xludf.DUMMYFUNCTION("""COMPUTED_VALUE"""),"1 1/2"" In-line Pitotless Nozzle")</f>
        <v>1 1/2" In-line Pitotless Nozzle</v>
      </c>
      <c r="L21" s="2" t="str">
        <f>IFERROR(__xludf.DUMMYFUNCTION("""COMPUTED_VALUE"""),"In-line Pitotless Nozzle")</f>
        <v>In-line Pitotless Nozzle</v>
      </c>
      <c r="M21" s="2">
        <f>IFERROR(__xludf.DUMMYFUNCTION("""COMPUTED_VALUE"""),6.0)</f>
        <v>6</v>
      </c>
      <c r="N21" s="2">
        <f>IFERROR(__xludf.DUMMYFUNCTION("""COMPUTED_VALUE"""),3563.0)</f>
        <v>3563</v>
      </c>
      <c r="O21" s="2">
        <f>IFERROR(__xludf.DUMMYFUNCTION("""COMPUTED_VALUE"""),99.0)</f>
        <v>99</v>
      </c>
      <c r="P21" s="2">
        <f>IFERROR(__xludf.DUMMYFUNCTION("""COMPUTED_VALUE"""),34.0)</f>
        <v>34</v>
      </c>
      <c r="Q21" s="2">
        <f>IFERROR(__xludf.DUMMYFUNCTION("""COMPUTED_VALUE"""),65.0)</f>
        <v>65</v>
      </c>
      <c r="R21" s="2" t="str">
        <f>IFERROR(__xludf.DUMMYFUNCTION("""COMPUTED_VALUE"""),"1 1/2"" In-line Pitotless Nozzle")</f>
        <v>1 1/2" In-line Pitotless Nozzle</v>
      </c>
      <c r="S21" s="2">
        <f>IFERROR(__xludf.DUMMYFUNCTION("""COMPUTED_VALUE"""),32.0)</f>
        <v>32</v>
      </c>
      <c r="T21" s="2">
        <f>IFERROR(__xludf.DUMMYFUNCTION("""COMPUTED_VALUE"""),503.7)</f>
        <v>503.7</v>
      </c>
      <c r="U21" s="2" t="str">
        <f>IFERROR(__xludf.DUMMYFUNCTION("""COMPUTED_VALUE"""),"")</f>
        <v/>
      </c>
      <c r="V21" s="2" t="str">
        <f>IFERROR(__xludf.DUMMYFUNCTION("""COMPUTED_VALUE"""),"1 1/2"" In-line Pitotless Nozzle")</f>
        <v>1 1/2" In-line Pitotless Nozzle</v>
      </c>
      <c r="W21" s="2">
        <f>IFERROR(__xludf.DUMMYFUNCTION("""COMPUTED_VALUE"""),33.0)</f>
        <v>33</v>
      </c>
      <c r="X21" s="2">
        <f>IFERROR(__xludf.DUMMYFUNCTION("""COMPUTED_VALUE"""),511.5)</f>
        <v>511.5</v>
      </c>
      <c r="Y21" s="2" t="str">
        <f>IFERROR(__xludf.DUMMYFUNCTION("""COMPUTED_VALUE"""),"")</f>
        <v/>
      </c>
      <c r="Z21" s="2" t="str">
        <f>IFERROR(__xludf.DUMMYFUNCTION("""COMPUTED_VALUE"""),"1 1/2"" In-line Pitotless Nozzle")</f>
        <v>1 1/2" In-line Pitotless Nozzle</v>
      </c>
      <c r="AA21" s="2">
        <f>IFERROR(__xludf.DUMMYFUNCTION("""COMPUTED_VALUE"""),34.0)</f>
        <v>34</v>
      </c>
      <c r="AB21" s="2">
        <f>IFERROR(__xludf.DUMMYFUNCTION("""COMPUTED_VALUE"""),519.2)</f>
        <v>519.2</v>
      </c>
      <c r="AC21" s="2" t="str">
        <f>IFERROR(__xludf.DUMMYFUNCTION("""COMPUTED_VALUE"""),"")</f>
        <v/>
      </c>
      <c r="AD21" s="2" t="str">
        <f>IFERROR(__xludf.DUMMYFUNCTION("""COMPUTED_VALUE"""),"")</f>
        <v/>
      </c>
      <c r="AE21" s="2" t="str">
        <f>IFERROR(__xludf.DUMMYFUNCTION("""COMPUTED_VALUE"""),"")</f>
        <v/>
      </c>
      <c r="AF21" s="2" t="str">
        <f>IFERROR(__xludf.DUMMYFUNCTION("""COMPUTED_VALUE"""),"")</f>
        <v/>
      </c>
      <c r="AG21" s="2" t="str">
        <f>IFERROR(__xludf.DUMMYFUNCTION("""COMPUTED_VALUE"""),"")</f>
        <v/>
      </c>
      <c r="AH21" s="2" t="str">
        <f>IFERROR(__xludf.DUMMYFUNCTION("""COMPUTED_VALUE"""),"")</f>
        <v/>
      </c>
      <c r="AI21" s="2" t="str">
        <f>IFERROR(__xludf.DUMMYFUNCTION("""COMPUTED_VALUE"""),"")</f>
        <v/>
      </c>
      <c r="AJ21" s="2" t="str">
        <f>IFERROR(__xludf.DUMMYFUNCTION("""COMPUTED_VALUE"""),"")</f>
        <v/>
      </c>
      <c r="AK21" s="2" t="str">
        <f>IFERROR(__xludf.DUMMYFUNCTION("""COMPUTED_VALUE"""),"")</f>
        <v/>
      </c>
      <c r="AL21" s="2" t="str">
        <f>IFERROR(__xludf.DUMMYFUNCTION("""COMPUTED_VALUE"""),"")</f>
        <v/>
      </c>
      <c r="AM21" s="2" t="str">
        <f>IFERROR(__xludf.DUMMYFUNCTION("""COMPUTED_VALUE"""),"")</f>
        <v/>
      </c>
      <c r="AN21" s="2" t="str">
        <f>IFERROR(__xludf.DUMMYFUNCTION("""COMPUTED_VALUE"""),"")</f>
        <v/>
      </c>
      <c r="AO21" s="2" t="str">
        <f>IFERROR(__xludf.DUMMYFUNCTION("""COMPUTED_VALUE"""),"")</f>
        <v/>
      </c>
      <c r="AP21" s="2" t="str">
        <f>IFERROR(__xludf.DUMMYFUNCTION("""COMPUTED_VALUE"""),"")</f>
        <v/>
      </c>
      <c r="AQ21" s="2" t="str">
        <f>IFERROR(__xludf.DUMMYFUNCTION("""COMPUTED_VALUE"""),"")</f>
        <v/>
      </c>
      <c r="AR21" s="2" t="str">
        <f>IFERROR(__xludf.DUMMYFUNCTION("""COMPUTED_VALUE"""),"")</f>
        <v/>
      </c>
      <c r="AS21" s="2" t="str">
        <f>IFERROR(__xludf.DUMMYFUNCTION("""COMPUTED_VALUE"""),"")</f>
        <v/>
      </c>
      <c r="AT21" s="2" t="str">
        <f>IFERROR(__xludf.DUMMYFUNCTION("""COMPUTED_VALUE"""),"")</f>
        <v/>
      </c>
      <c r="AU21" s="2" t="str">
        <f>IFERROR(__xludf.DUMMYFUNCTION("""COMPUTED_VALUE"""),"")</f>
        <v/>
      </c>
      <c r="AV21" s="2" t="str">
        <f>IFERROR(__xludf.DUMMYFUNCTION("""COMPUTED_VALUE"""),"")</f>
        <v/>
      </c>
      <c r="AW21" s="2" t="str">
        <f>IFERROR(__xludf.DUMMYFUNCTION("""COMPUTED_VALUE"""),"")</f>
        <v/>
      </c>
      <c r="AX21" s="2" t="str">
        <f>IFERROR(__xludf.DUMMYFUNCTION("""COMPUTED_VALUE"""),"")</f>
        <v/>
      </c>
      <c r="AY21" s="2" t="str">
        <f>IFERROR(__xludf.DUMMYFUNCTION("""COMPUTED_VALUE"""),"")</f>
        <v/>
      </c>
      <c r="AZ21" s="2" t="str">
        <f>IFERROR(__xludf.DUMMYFUNCTION("""COMPUTED_VALUE"""),"")</f>
        <v/>
      </c>
      <c r="BA21" s="2" t="str">
        <f>IFERROR(__xludf.DUMMYFUNCTION("""COMPUTED_VALUE"""),"")</f>
        <v/>
      </c>
      <c r="BB21" s="2" t="str">
        <f>IFERROR(__xludf.DUMMYFUNCTION("""COMPUTED_VALUE"""),"")</f>
        <v/>
      </c>
      <c r="BC21" s="2" t="str">
        <f>IFERROR(__xludf.DUMMYFUNCTION("""COMPUTED_VALUE"""),"")</f>
        <v/>
      </c>
      <c r="BD21" s="2" t="str">
        <f>IFERROR(__xludf.DUMMYFUNCTION("""COMPUTED_VALUE"""),"")</f>
        <v/>
      </c>
      <c r="BE21" s="2" t="str">
        <f>IFERROR(__xludf.DUMMYFUNCTION("""COMPUTED_VALUE"""),"")</f>
        <v/>
      </c>
      <c r="BF21" s="2" t="str">
        <f>IFERROR(__xludf.DUMMYFUNCTION("""COMPUTED_VALUE"""),"")</f>
        <v/>
      </c>
      <c r="BG21" s="2" t="str">
        <f>IFERROR(__xludf.DUMMYFUNCTION("""COMPUTED_VALUE"""),"")</f>
        <v/>
      </c>
      <c r="BH21" s="2">
        <f>IFERROR(__xludf.DUMMYFUNCTION("""COMPUTED_VALUE"""),3.0)</f>
        <v>3</v>
      </c>
      <c r="BI21" s="2" t="str">
        <f>IFERROR(__xludf.DUMMYFUNCTION("""COMPUTED_VALUE"""),"")</f>
        <v/>
      </c>
      <c r="BJ21" s="2">
        <f>IFERROR(__xludf.DUMMYFUNCTION("""COMPUTED_VALUE"""),1534.4)</f>
        <v>1534.4</v>
      </c>
      <c r="BK21" s="2">
        <f>IFERROR(__xludf.DUMMYFUNCTION("""COMPUTED_VALUE"""),153.4)</f>
        <v>153.4</v>
      </c>
      <c r="BL21" s="2">
        <f>IFERROR(__xludf.DUMMYFUNCTION("""COMPUTED_VALUE"""),483.0)</f>
        <v>483</v>
      </c>
      <c r="BM21" s="2">
        <f>IFERROR(__xludf.DUMMYFUNCTION("""COMPUTED_VALUE"""),94.0)</f>
        <v>94</v>
      </c>
      <c r="BN21" s="2" t="str">
        <f>IFERROR(__xludf.DUMMYFUNCTION("""COMPUTED_VALUE"""),"")</f>
        <v/>
      </c>
      <c r="BO21" s="2">
        <f>IFERROR(__xludf.DUMMYFUNCTION("""COMPUTED_VALUE"""),150.7)</f>
        <v>150.7</v>
      </c>
      <c r="BP21" s="2">
        <f>IFERROR(__xludf.DUMMYFUNCTION("""COMPUTED_VALUE"""),62.7)</f>
        <v>62.7</v>
      </c>
      <c r="BQ21" s="2">
        <f>IFERROR(__xludf.DUMMYFUNCTION("""COMPUTED_VALUE"""),487.0)</f>
        <v>487</v>
      </c>
      <c r="BR21" s="2">
        <f>IFERROR(__xludf.DUMMYFUNCTION("""COMPUTED_VALUE"""),485.0)</f>
        <v>485</v>
      </c>
      <c r="BS21" s="2">
        <f>IFERROR(__xludf.DUMMYFUNCTION("""COMPUTED_VALUE"""),98.0)</f>
        <v>98</v>
      </c>
      <c r="BT21" s="2">
        <f>IFERROR(__xludf.DUMMYFUNCTION("""COMPUTED_VALUE"""),100.0)</f>
        <v>100</v>
      </c>
      <c r="BU21" s="2" t="b">
        <f>IFERROR(__xludf.DUMMYFUNCTION("""COMPUTED_VALUE"""),TRUE)</f>
        <v>1</v>
      </c>
      <c r="BV21" s="2" t="str">
        <f>IFERROR(__xludf.DUMMYFUNCTION("""COMPUTED_VALUE"""),"")</f>
        <v/>
      </c>
      <c r="BW21" s="2" t="str">
        <f>IFERROR(__xludf.DUMMYFUNCTION("""COMPUTED_VALUE"""),"")</f>
        <v/>
      </c>
      <c r="BX21" s="2" t="str">
        <f>IFERROR(__xludf.DUMMYFUNCTION("""COMPUTED_VALUE"""),"")</f>
        <v/>
      </c>
      <c r="BY21" s="2" t="str">
        <f>IFERROR(__xludf.DUMMYFUNCTION("""COMPUTED_VALUE"""),"")</f>
        <v/>
      </c>
      <c r="BZ21" s="2" t="str">
        <f>IFERROR(__xludf.DUMMYFUNCTION("""COMPUTED_VALUE"""),"")</f>
        <v/>
      </c>
      <c r="CA21" s="2" t="str">
        <f>IFERROR(__xludf.DUMMYFUNCTION("""COMPUTED_VALUE"""),"")</f>
        <v/>
      </c>
      <c r="CB21" s="2" t="str">
        <f>IFERROR(__xludf.DUMMYFUNCTION("""COMPUTED_VALUE"""),"")</f>
        <v/>
      </c>
      <c r="CC21" s="2" t="str">
        <f>IFERROR(__xludf.DUMMYFUNCTION("""COMPUTED_VALUE"""),"")</f>
        <v/>
      </c>
      <c r="CD21" s="2" t="str">
        <f>IFERROR(__xludf.DUMMYFUNCTION("""COMPUTED_VALUE"""),"")</f>
        <v/>
      </c>
      <c r="CE21" s="2" t="str">
        <f>IFERROR(__xludf.DUMMYFUNCTION("""COMPUTED_VALUE"""),"")</f>
        <v/>
      </c>
      <c r="CF21" s="2" t="str">
        <f>IFERROR(__xludf.DUMMYFUNCTION("""COMPUTED_VALUE"""),"")</f>
        <v/>
      </c>
      <c r="CG21" s="2" t="str">
        <f>IFERROR(__xludf.DUMMYFUNCTION("""COMPUTED_VALUE"""),"")</f>
        <v/>
      </c>
      <c r="CH21" s="2" t="str">
        <f>IFERROR(__xludf.DUMMYFUNCTION("""COMPUTED_VALUE"""),"")</f>
        <v/>
      </c>
      <c r="CI21" s="2" t="str">
        <f>IFERROR(__xludf.DUMMYFUNCTION("""COMPUTED_VALUE"""),"")</f>
        <v/>
      </c>
      <c r="CJ21" s="2" t="str">
        <f>IFERROR(__xludf.DUMMYFUNCTION("""COMPUTED_VALUE"""),"")</f>
        <v/>
      </c>
      <c r="CK21" s="2" t="str">
        <f>IFERROR(__xludf.DUMMYFUNCTION("""COMPUTED_VALUE"""),"")</f>
        <v/>
      </c>
      <c r="CL21" s="2" t="str">
        <f>IFERROR(__xludf.DUMMYFUNCTION("""COMPUTED_VALUE"""),"")</f>
        <v/>
      </c>
      <c r="CM21" s="2" t="str">
        <f>IFERROR(__xludf.DUMMYFUNCTION("""COMPUTED_VALUE"""),"")</f>
        <v/>
      </c>
      <c r="CN21" s="2" t="str">
        <f>IFERROR(__xludf.DUMMYFUNCTION("""COMPUTED_VALUE"""),"")</f>
        <v/>
      </c>
      <c r="CO21" s="2" t="str">
        <f>IFERROR(__xludf.DUMMYFUNCTION("""COMPUTED_VALUE"""),"")</f>
        <v/>
      </c>
      <c r="CP21" s="2" t="str">
        <f>IFERROR(__xludf.DUMMYFUNCTION("""COMPUTED_VALUE"""),"")</f>
        <v/>
      </c>
      <c r="CQ21" s="2" t="str">
        <f>IFERROR(__xludf.DUMMYFUNCTION("""COMPUTED_VALUE"""),"")</f>
        <v/>
      </c>
      <c r="CR21" s="2" t="str">
        <f>IFERROR(__xludf.DUMMYFUNCTION("""COMPUTED_VALUE"""),"")</f>
        <v/>
      </c>
      <c r="CS21" s="2" t="str">
        <f>IFERROR(__xludf.DUMMYFUNCTION("""COMPUTED_VALUE"""),"")</f>
        <v/>
      </c>
      <c r="CT21" s="2" t="str">
        <f>IFERROR(__xludf.DUMMYFUNCTION("""COMPUTED_VALUE"""),"")</f>
        <v/>
      </c>
      <c r="CU21" s="2" t="str">
        <f>IFERROR(__xludf.DUMMYFUNCTION("""COMPUTED_VALUE"""),"")</f>
        <v/>
      </c>
      <c r="CV21" s="2" t="str">
        <f>IFERROR(__xludf.DUMMYFUNCTION("""COMPUTED_VALUE"""),"")</f>
        <v/>
      </c>
      <c r="CW21" s="2" t="str">
        <f>IFERROR(__xludf.DUMMYFUNCTION("""COMPUTED_VALUE"""),"")</f>
        <v/>
      </c>
      <c r="CX21" s="2" t="str">
        <f>IFERROR(__xludf.DUMMYFUNCTION("""COMPUTED_VALUE"""),"")</f>
        <v/>
      </c>
      <c r="CY21" s="2" t="str">
        <f>IFERROR(__xludf.DUMMYFUNCTION("""COMPUTED_VALUE"""),"")</f>
        <v/>
      </c>
      <c r="CZ21" s="2" t="str">
        <f>IFERROR(__xludf.DUMMYFUNCTION("""COMPUTED_VALUE"""),"")</f>
        <v/>
      </c>
      <c r="DA21" s="2" t="str">
        <f>IFERROR(__xludf.DUMMYFUNCTION("""COMPUTED_VALUE"""),"")</f>
        <v/>
      </c>
      <c r="DB21" s="2" t="str">
        <f>IFERROR(__xludf.DUMMYFUNCTION("""COMPUTED_VALUE"""),"")</f>
        <v/>
      </c>
      <c r="DC21" s="2" t="str">
        <f>IFERROR(__xludf.DUMMYFUNCTION("""COMPUTED_VALUE"""),"")</f>
        <v/>
      </c>
      <c r="DD21" s="2" t="str">
        <f>IFERROR(__xludf.DUMMYFUNCTION("""COMPUTED_VALUE"""),"")</f>
        <v/>
      </c>
      <c r="DE21" s="2" t="str">
        <f>IFERROR(__xludf.DUMMYFUNCTION("""COMPUTED_VALUE"""),"")</f>
        <v/>
      </c>
      <c r="DF21" s="2" t="str">
        <f>IFERROR(__xludf.DUMMYFUNCTION("""COMPUTED_VALUE"""),"")</f>
        <v/>
      </c>
      <c r="DG21" s="2" t="str">
        <f>IFERROR(__xludf.DUMMYFUNCTION("""COMPUTED_VALUE"""),"")</f>
        <v/>
      </c>
      <c r="DH21" s="2" t="str">
        <f>IFERROR(__xludf.DUMMYFUNCTION("""COMPUTED_VALUE"""),"")</f>
        <v/>
      </c>
      <c r="DI21" s="2" t="str">
        <f>IFERROR(__xludf.DUMMYFUNCTION("""COMPUTED_VALUE"""),"")</f>
        <v/>
      </c>
      <c r="DJ21" s="2" t="str">
        <f>IFERROR(__xludf.DUMMYFUNCTION("""COMPUTED_VALUE"""),"")</f>
        <v/>
      </c>
      <c r="DK21" s="2" t="str">
        <f>IFERROR(__xludf.DUMMYFUNCTION("""COMPUTED_VALUE"""),"")</f>
        <v/>
      </c>
      <c r="DL21" s="2" t="str">
        <f>IFERROR(__xludf.DUMMYFUNCTION("""COMPUTED_VALUE"""),"")</f>
        <v/>
      </c>
      <c r="DM21" s="2" t="str">
        <f>IFERROR(__xludf.DUMMYFUNCTION("""COMPUTED_VALUE"""),"")</f>
        <v/>
      </c>
      <c r="DN21" s="2" t="str">
        <f>IFERROR(__xludf.DUMMYFUNCTION("""COMPUTED_VALUE"""),"")</f>
        <v/>
      </c>
      <c r="DO21" s="2" t="str">
        <f>IFERROR(__xludf.DUMMYFUNCTION("""COMPUTED_VALUE"""),"")</f>
        <v/>
      </c>
      <c r="DP21" s="2" t="str">
        <f>IFERROR(__xludf.DUMMYFUNCTION("""COMPUTED_VALUE"""),"")</f>
        <v/>
      </c>
      <c r="DQ21" s="2" t="str">
        <f>IFERROR(__xludf.DUMMYFUNCTION("""COMPUTED_VALUE"""),"")</f>
        <v/>
      </c>
      <c r="DR21" s="2" t="str">
        <f>IFERROR(__xludf.DUMMYFUNCTION("""COMPUTED_VALUE"""),"")</f>
        <v/>
      </c>
      <c r="DS21" s="2" t="str">
        <f>IFERROR(__xludf.DUMMYFUNCTION("""COMPUTED_VALUE"""),"")</f>
        <v/>
      </c>
      <c r="DT21" s="2" t="str">
        <f>IFERROR(__xludf.DUMMYFUNCTION("""COMPUTED_VALUE"""),"")</f>
        <v/>
      </c>
      <c r="DU21" s="2" t="str">
        <f>IFERROR(__xludf.DUMMYFUNCTION("""COMPUTED_VALUE"""),"")</f>
        <v/>
      </c>
      <c r="DV21" s="2" t="str">
        <f>IFERROR(__xludf.DUMMYFUNCTION("""COMPUTED_VALUE"""),"")</f>
        <v/>
      </c>
      <c r="DW21" s="2" t="str">
        <f>IFERROR(__xludf.DUMMYFUNCTION("""COMPUTED_VALUE"""),"")</f>
        <v/>
      </c>
      <c r="DX21" s="2" t="str">
        <f>IFERROR(__xludf.DUMMYFUNCTION("""COMPUTED_VALUE"""),"")</f>
        <v/>
      </c>
      <c r="DY21" s="2" t="str">
        <f>IFERROR(__xludf.DUMMYFUNCTION("""COMPUTED_VALUE"""),"")</f>
        <v/>
      </c>
      <c r="DZ21" s="2" t="str">
        <f>IFERROR(__xludf.DUMMYFUNCTION("""COMPUTED_VALUE"""),"")</f>
        <v/>
      </c>
      <c r="EA21" s="2" t="str">
        <f>IFERROR(__xludf.DUMMYFUNCTION("""COMPUTED_VALUE"""),"")</f>
        <v/>
      </c>
      <c r="EB21" s="2" t="str">
        <f>IFERROR(__xludf.DUMMYFUNCTION("""COMPUTED_VALUE"""),"")</f>
        <v/>
      </c>
      <c r="EC21" s="2" t="str">
        <f>IFERROR(__xludf.DUMMYFUNCTION("""COMPUTED_VALUE"""),"")</f>
        <v/>
      </c>
      <c r="ED21" s="2" t="str">
        <f>IFERROR(__xludf.DUMMYFUNCTION("""COMPUTED_VALUE"""),"")</f>
        <v/>
      </c>
      <c r="EE21" s="2" t="str">
        <f>IFERROR(__xludf.DUMMYFUNCTION("""COMPUTED_VALUE"""),"")</f>
        <v/>
      </c>
      <c r="EF21" s="2" t="str">
        <f>IFERROR(__xludf.DUMMYFUNCTION("""COMPUTED_VALUE"""),"")</f>
        <v/>
      </c>
      <c r="EG21" s="2" t="str">
        <f>IFERROR(__xludf.DUMMYFUNCTION("""COMPUTED_VALUE"""),"")</f>
        <v/>
      </c>
      <c r="EH21" s="2" t="str">
        <f>IFERROR(__xludf.DUMMYFUNCTION("""COMPUTED_VALUE"""),"")</f>
        <v/>
      </c>
      <c r="EI21" s="2" t="str">
        <f>IFERROR(__xludf.DUMMYFUNCTION("""COMPUTED_VALUE"""),"")</f>
        <v/>
      </c>
      <c r="EJ21" s="2" t="str">
        <f>IFERROR(__xludf.DUMMYFUNCTION("""COMPUTED_VALUE"""),"")</f>
        <v/>
      </c>
      <c r="EK21" s="2" t="str">
        <f>IFERROR(__xludf.DUMMYFUNCTION("""COMPUTED_VALUE"""),"")</f>
        <v/>
      </c>
      <c r="EL21" s="2" t="str">
        <f>IFERROR(__xludf.DUMMYFUNCTION("""COMPUTED_VALUE"""),"")</f>
        <v/>
      </c>
      <c r="EM21" s="2" t="str">
        <f>IFERROR(__xludf.DUMMYFUNCTION("""COMPUTED_VALUE"""),"")</f>
        <v/>
      </c>
      <c r="EN21" s="2" t="str">
        <f>IFERROR(__xludf.DUMMYFUNCTION("""COMPUTED_VALUE"""),"")</f>
        <v/>
      </c>
      <c r="EO21" s="2" t="str">
        <f>IFERROR(__xludf.DUMMYFUNCTION("""COMPUTED_VALUE"""),"")</f>
        <v/>
      </c>
      <c r="EP21" s="2" t="str">
        <f>IFERROR(__xludf.DUMMYFUNCTION("""COMPUTED_VALUE"""),"")</f>
        <v/>
      </c>
      <c r="EQ21" s="2" t="str">
        <f>IFERROR(__xludf.DUMMYFUNCTION("""COMPUTED_VALUE"""),"")</f>
        <v/>
      </c>
      <c r="ER21" s="2" t="str">
        <f>IFERROR(__xludf.DUMMYFUNCTION("""COMPUTED_VALUE"""),"")</f>
        <v/>
      </c>
      <c r="ES21" s="2" t="str">
        <f>IFERROR(__xludf.DUMMYFUNCTION("""COMPUTED_VALUE"""),"")</f>
        <v/>
      </c>
      <c r="ET21" s="2" t="str">
        <f>IFERROR(__xludf.DUMMYFUNCTION("""COMPUTED_VALUE"""),"")</f>
        <v/>
      </c>
      <c r="EU21" s="2" t="str">
        <f>IFERROR(__xludf.DUMMYFUNCTION("""COMPUTED_VALUE"""),"")</f>
        <v/>
      </c>
      <c r="EV21" s="2" t="str">
        <f>IFERROR(__xludf.DUMMYFUNCTION("""COMPUTED_VALUE"""),"")</f>
        <v/>
      </c>
      <c r="EW21" s="2" t="str">
        <f>IFERROR(__xludf.DUMMYFUNCTION("""COMPUTED_VALUE"""),"")</f>
        <v/>
      </c>
      <c r="EX21" s="2" t="str">
        <f>IFERROR(__xludf.DUMMYFUNCTION("""COMPUTED_VALUE"""),"")</f>
        <v/>
      </c>
      <c r="EY21" s="2" t="str">
        <f>IFERROR(__xludf.DUMMYFUNCTION("""COMPUTED_VALUE"""),"UC Test Pump")</f>
        <v>UC Test Pump</v>
      </c>
      <c r="EZ21" s="2" t="str">
        <f>IFERROR(__xludf.DUMMYFUNCTION("""COMPUTED_VALUE"""),"UC-FP-1")</f>
        <v>UC-FP-1</v>
      </c>
      <c r="FA21" s="2" t="str">
        <f>IFERROR(__xludf.DUMMYFUNCTION("""COMPUTED_VALUE"""),"AESC Admin - Hose Monster")</f>
        <v>AESC Admin - Hose Monster</v>
      </c>
      <c r="FB21" s="2" t="str">
        <f>IFERROR(__xludf.DUMMYFUNCTION("""COMPUTED_VALUE"""),"c4a602a6-5b8e-4c9d-87bd-335d4071d942")</f>
        <v>c4a602a6-5b8e-4c9d-87bd-335d4071d942</v>
      </c>
      <c r="FC21" s="2" t="str">
        <f>IFERROR(__xludf.DUMMYFUNCTION("""COMPUTED_VALUE"""),"UC Test Testing Firm")</f>
        <v>UC Test Testing Firm</v>
      </c>
      <c r="FD21" s="14" t="str">
        <f>IFERROR(__xludf.DUMMYFUNCTION("""COMPUTED_VALUE"""),"https://ucld.us/_proto/index.html#ajax/AssetDetails.html?assetid=835317036")</f>
        <v>https://ucld.us/_proto/index.html#ajax/AssetDetails.html?assetid=835317036</v>
      </c>
      <c r="FE21" s="15">
        <f>IFERROR(__xludf.DUMMYFUNCTION("""COMPUTED_VALUE"""),43796.0)</f>
        <v>43796</v>
      </c>
      <c r="FF21" s="2">
        <f>IFERROR(__xludf.DUMMYFUNCTION("""COMPUTED_VALUE"""),42.77487)</f>
        <v>42.77487</v>
      </c>
      <c r="FG21" s="2">
        <f>IFERROR(__xludf.DUMMYFUNCTION("""COMPUTED_VALUE"""),-71.249246)</f>
        <v>-71.249246</v>
      </c>
      <c r="FH21" s="2" t="str">
        <f>IFERROR(__xludf.DUMMYFUNCTION("""COMPUTED_VALUE"""),"")</f>
        <v/>
      </c>
      <c r="FI21" s="2">
        <f>IFERROR(__xludf.DUMMYFUNCTION("""COMPUTED_VALUE"""),8.35317036E8)</f>
        <v>835317036</v>
      </c>
      <c r="FJ21" s="2" t="str">
        <f>IFERROR(__xludf.DUMMYFUNCTION("""COMPUTED_VALUE"""),"lsifsldf")</f>
        <v>lsifsldf</v>
      </c>
      <c r="FK21" s="2" t="str">
        <f>IFERROR(__xludf.DUMMYFUNCTION("""COMPUTED_VALUE"""),"bldg name")</f>
        <v>bldg name</v>
      </c>
      <c r="FL21" s="2" t="str">
        <f>IFERROR(__xludf.DUMMYFUNCTION("""COMPUTED_VALUE"""),"sdfj")</f>
        <v>sdfj</v>
      </c>
      <c r="FM21" s="2" t="str">
        <f>IFERROR(__xludf.DUMMYFUNCTION("""COMPUTED_VALUE"""),"sdlifiji")</f>
        <v>sdlifiji</v>
      </c>
      <c r="FN21" s="2" t="str">
        <f>IFERROR(__xludf.DUMMYFUNCTION("""COMPUTED_VALUE"""),"sljsdf")</f>
        <v>sljsdf</v>
      </c>
      <c r="FO21" s="2" t="str">
        <f>IFERROR(__xludf.DUMMYFUNCTION("""COMPUTED_VALUE"""),"ljsf")</f>
        <v>ljsf</v>
      </c>
      <c r="FP21" s="2" t="str">
        <f>IFERROR(__xludf.DUMMYFUNCTION("""COMPUTED_VALUE"""),"Milford")</f>
        <v>Milford</v>
      </c>
      <c r="FQ21" s="2" t="str">
        <f>IFERROR(__xludf.DUMMYFUNCTION("""COMPUTED_VALUE"""),"US")</f>
        <v>US</v>
      </c>
      <c r="FR21" s="2" t="str">
        <f>IFERROR(__xludf.DUMMYFUNCTION("""COMPUTED_VALUE"""),"ABC Big Company")</f>
        <v>ABC Big Company</v>
      </c>
      <c r="FS21" s="2" t="str">
        <f>IFERROR(__xludf.DUMMYFUNCTION("""COMPUTED_VALUE"""),"")</f>
        <v/>
      </c>
      <c r="FT21" s="2" t="str">
        <f>IFERROR(__xludf.DUMMYFUNCTION("""COMPUTED_VALUE"""),"Bill Williams")</f>
        <v>Bill Williams</v>
      </c>
      <c r="FU21" s="16">
        <f>IFERROR(__xludf.DUMMYFUNCTION("""COMPUTED_VALUE"""),43801.0)</f>
        <v>43801</v>
      </c>
      <c r="FV21" s="16">
        <f>IFERROR(__xludf.DUMMYFUNCTION("""COMPUTED_VALUE"""),43770.0)</f>
        <v>43770</v>
      </c>
      <c r="FW21" s="2">
        <f>IFERROR(__xludf.DUMMYFUNCTION("""COMPUTED_VALUE"""),4.0)</f>
        <v>4</v>
      </c>
      <c r="FX21" s="2">
        <f>IFERROR(__xludf.DUMMYFUNCTION("""COMPUTED_VALUE"""),3.0)</f>
        <v>3</v>
      </c>
      <c r="FY21" s="2" t="str">
        <f>IFERROR(__xludf.DUMMYFUNCTION("""COMPUTED_VALUE"""),"FM")</f>
        <v>FM</v>
      </c>
      <c r="FZ21" s="2" t="str">
        <f>IFERROR(__xludf.DUMMYFUNCTION("""COMPUTED_VALUE"""),"grlsfkkjjslfj")</f>
        <v>grlsfkkjjslfj</v>
      </c>
      <c r="GA21" s="2" t="str">
        <f>IFERROR(__xludf.DUMMYFUNCTION("""COMPUTED_VALUE"""),"gdijgs")</f>
        <v>gdijgs</v>
      </c>
      <c r="GB21" s="2" t="str">
        <f>IFERROR(__xludf.DUMMYFUNCTION("""COMPUTED_VALUE"""),"fgdfg")</f>
        <v>fgdfg</v>
      </c>
      <c r="GC21" s="2">
        <f>IFERROR(__xludf.DUMMYFUNCTION("""COMPUTED_VALUE"""),3.0)</f>
        <v>3</v>
      </c>
      <c r="GD21" s="2">
        <f>IFERROR(__xludf.DUMMYFUNCTION("""COMPUTED_VALUE"""),2.0)</f>
        <v>2</v>
      </c>
      <c r="GE21" s="2">
        <f>IFERROR(__xludf.DUMMYFUNCTION("""COMPUTED_VALUE"""),1.0)</f>
        <v>1</v>
      </c>
      <c r="GF21" s="2">
        <f>IFERROR(__xludf.DUMMYFUNCTION("""COMPUTED_VALUE"""),2.0)</f>
        <v>2</v>
      </c>
      <c r="GG21" s="2">
        <f>IFERROR(__xludf.DUMMYFUNCTION("""COMPUTED_VALUE"""),1.0)</f>
        <v>1</v>
      </c>
      <c r="GH21" s="2" t="str">
        <f>IFERROR(__xludf.DUMMYFUNCTION("""COMPUTED_VALUE"""),"dlfjgf")</f>
        <v>dlfjgf</v>
      </c>
      <c r="GI21" s="2" t="str">
        <f>IFERROR(__xludf.DUMMYFUNCTION("""COMPUTED_VALUE"""),"gdfsf")</f>
        <v>gdfsf</v>
      </c>
      <c r="GJ21" s="2" t="str">
        <f>IFERROR(__xludf.DUMMYFUNCTION("""COMPUTED_VALUE"""),"Electric Motor")</f>
        <v>Electric Motor</v>
      </c>
      <c r="GK21" s="2" t="str">
        <f>IFERROR(__xludf.DUMMYFUNCTION("""COMPUTED_VALUE"""),"")</f>
        <v/>
      </c>
      <c r="GL21" s="2" t="str">
        <f>IFERROR(__xludf.DUMMYFUNCTION("""COMPUTED_VALUE"""),"example@example.com")</f>
        <v>example@example.com</v>
      </c>
      <c r="GM21" s="2" t="str">
        <f>IFERROR(__xludf.DUMMYFUNCTION("""COMPUTED_VALUE"""),"999-999-9999")</f>
        <v>999-999-9999</v>
      </c>
      <c r="GN21" s="2" t="str">
        <f>IFERROR(__xludf.DUMMYFUNCTION("""COMPUTED_VALUE"""),"")</f>
        <v/>
      </c>
      <c r="GO21" s="2" t="str">
        <f>IFERROR(__xludf.DUMMYFUNCTION("""COMPUTED_VALUE"""),"")</f>
        <v/>
      </c>
      <c r="GP21" s="2" t="str">
        <f>IFERROR(__xludf.DUMMYFUNCTION("""COMPUTED_VALUE"""),"")</f>
        <v/>
      </c>
      <c r="GQ21" s="2">
        <f>IFERROR(__xludf.DUMMYFUNCTION("""COMPUTED_VALUE"""),3.0)</f>
        <v>3</v>
      </c>
      <c r="GR21" s="2" t="str">
        <f>IFERROR(__xludf.DUMMYFUNCTION("""COMPUTED_VALUE"""),"UL")</f>
        <v>UL</v>
      </c>
      <c r="GS21" s="2" t="str">
        <f>IFERROR(__xludf.DUMMYFUNCTION("""COMPUTED_VALUE"""),"sldf")</f>
        <v>sldf</v>
      </c>
      <c r="GT21" s="2" t="str">
        <f>IFERROR(__xludf.DUMMYFUNCTION("""COMPUTED_VALUE"""),"sflj")</f>
        <v>sflj</v>
      </c>
      <c r="GU21" s="2">
        <f>IFERROR(__xludf.DUMMYFUNCTION("""COMPUTED_VALUE"""),6.0)</f>
        <v>6</v>
      </c>
      <c r="GV21" s="2">
        <f>IFERROR(__xludf.DUMMYFUNCTION("""COMPUTED_VALUE"""),5.0)</f>
        <v>5</v>
      </c>
      <c r="GW21" s="2">
        <f>IFERROR(__xludf.DUMMYFUNCTION("""COMPUTED_VALUE"""),2.0)</f>
        <v>2</v>
      </c>
      <c r="GX21" s="2">
        <f>IFERROR(__xludf.DUMMYFUNCTION("""COMPUTED_VALUE"""),1.0)</f>
        <v>1</v>
      </c>
      <c r="GY21" s="2">
        <f>IFERROR(__xludf.DUMMYFUNCTION("""COMPUTED_VALUE"""),4.0)</f>
        <v>4</v>
      </c>
      <c r="GZ21" s="2" t="str">
        <f>IFERROR(__xludf.DUMMYFUNCTION("""COMPUTED_VALUE"""),"slkjsdfdl")</f>
        <v>slkjsdfdl</v>
      </c>
      <c r="HA21" s="2" t="str">
        <f>IFERROR(__xludf.DUMMYFUNCTION("""COMPUTED_VALUE"""),"slfj")</f>
        <v>slfj</v>
      </c>
      <c r="HB21" s="2" t="str">
        <f>IFERROR(__xludf.DUMMYFUNCTION("""COMPUTED_VALUE"""),"sdfj")</f>
        <v>sdfj</v>
      </c>
      <c r="HC21" s="2" t="str">
        <f>IFERROR(__xludf.DUMMYFUNCTION("""COMPUTED_VALUE"""),"lsflsdk")</f>
        <v>lsflsdk</v>
      </c>
      <c r="HD21" s="2">
        <f>IFERROR(__xludf.DUMMYFUNCTION("""COMPUTED_VALUE"""),120.0)</f>
        <v>120</v>
      </c>
      <c r="HE21" s="2">
        <f>IFERROR(__xludf.DUMMYFUNCTION("""COMPUTED_VALUE"""),67.0)</f>
        <v>67</v>
      </c>
      <c r="HF21" s="2">
        <f>IFERROR(__xludf.DUMMYFUNCTION("""COMPUTED_VALUE"""),100.0)</f>
        <v>100</v>
      </c>
      <c r="HG21" s="2">
        <f>IFERROR(__xludf.DUMMYFUNCTION("""COMPUTED_VALUE"""),3.0)</f>
        <v>3</v>
      </c>
      <c r="HH21" s="2" t="str">
        <f>IFERROR(__xludf.DUMMYFUNCTION("""COMPUTED_VALUE"""),"sj;")</f>
        <v>sj;</v>
      </c>
      <c r="HI21" s="2" t="str">
        <f>IFERROR(__xludf.DUMMYFUNCTION("""COMPUTED_VALUE"""),"sf;os")</f>
        <v>sf;os</v>
      </c>
      <c r="HJ21" s="2" t="str">
        <f>IFERROR(__xludf.DUMMYFUNCTION("""COMPUTED_VALUE"""),"ljsf")</f>
        <v>ljsf</v>
      </c>
      <c r="HK21" s="2" t="str">
        <f>IFERROR(__xludf.DUMMYFUNCTION("""COMPUTED_VALUE"""),"lkjsdf")</f>
        <v>lkjsdf</v>
      </c>
      <c r="HL21" s="2" t="str">
        <f>IFERROR(__xludf.DUMMYFUNCTION("""COMPUTED_VALUE"""),"")</f>
        <v/>
      </c>
      <c r="HM21" s="2" t="str">
        <f>IFERROR(__xludf.DUMMYFUNCTION("""COMPUTED_VALUE"""),"")</f>
        <v/>
      </c>
      <c r="HN21" s="2" t="str">
        <f>IFERROR(__xludf.DUMMYFUNCTION("""COMPUTED_VALUE"""),"")</f>
        <v/>
      </c>
      <c r="HO21" s="2">
        <f>IFERROR(__xludf.DUMMYFUNCTION("""COMPUTED_VALUE"""),3.0)</f>
        <v>3</v>
      </c>
      <c r="HP21" s="2" t="str">
        <f>IFERROR(__xludf.DUMMYFUNCTION("""COMPUTED_VALUE"""),"ULC")</f>
        <v>ULC</v>
      </c>
      <c r="HQ21" s="2" t="str">
        <f>IFERROR(__xludf.DUMMYFUNCTION("""COMPUTED_VALUE"""),"gkiksjf")</f>
        <v>gkiksjf</v>
      </c>
      <c r="HR21" s="2" t="str">
        <f>IFERROR(__xludf.DUMMYFUNCTION("""COMPUTED_VALUE"""),"OJSFDLJ")</f>
        <v>OJSFDLJ</v>
      </c>
      <c r="HS21" s="2">
        <f>IFERROR(__xludf.DUMMYFUNCTION("""COMPUTED_VALUE"""),6.0)</f>
        <v>6</v>
      </c>
      <c r="HT21" s="2">
        <f>IFERROR(__xludf.DUMMYFUNCTION("""COMPUTED_VALUE"""),5.0)</f>
        <v>5</v>
      </c>
      <c r="HU21" s="2">
        <f>IFERROR(__xludf.DUMMYFUNCTION("""COMPUTED_VALUE"""),2.0)</f>
        <v>2</v>
      </c>
      <c r="HV21" s="2">
        <f>IFERROR(__xludf.DUMMYFUNCTION("""COMPUTED_VALUE"""),1.0)</f>
        <v>1</v>
      </c>
      <c r="HW21" s="2">
        <f>IFERROR(__xludf.DUMMYFUNCTION("""COMPUTED_VALUE"""),4.0)</f>
        <v>4</v>
      </c>
      <c r="HX21" s="2" t="str">
        <f>IFERROR(__xludf.DUMMYFUNCTION("""COMPUTED_VALUE"""),"SSL")</f>
        <v>SSL</v>
      </c>
      <c r="HY21" s="2">
        <f>IFERROR(__xludf.DUMMYFUNCTION("""COMPUTED_VALUE"""),3.0)</f>
        <v>3</v>
      </c>
      <c r="HZ21" s="2">
        <f>IFERROR(__xludf.DUMMYFUNCTION("""COMPUTED_VALUE"""),7.0)</f>
        <v>7</v>
      </c>
      <c r="IA21" s="2" t="str">
        <f>IFERROR(__xludf.DUMMYFUNCTION("""COMPUTED_VALUE"""),"sdfljsd")</f>
        <v>sdfljsd</v>
      </c>
      <c r="IB21" s="2" t="str">
        <f>IFERROR(__xludf.DUMMYFUNCTION("""COMPUTED_VALUE"""),"gierp")</f>
        <v>gierp</v>
      </c>
      <c r="IC21" s="2">
        <f>IFERROR(__xludf.DUMMYFUNCTION("""COMPUTED_VALUE"""),2.0)</f>
        <v>2</v>
      </c>
      <c r="ID21" s="2">
        <f>IFERROR(__xludf.DUMMYFUNCTION("""COMPUTED_VALUE"""),6.0)</f>
        <v>6</v>
      </c>
      <c r="IE21" s="2">
        <f>IFERROR(__xludf.DUMMYFUNCTION("""COMPUTED_VALUE"""),3.0)</f>
        <v>3</v>
      </c>
      <c r="IF21" s="2">
        <f>IFERROR(__xludf.DUMMYFUNCTION("""COMPUTED_VALUE"""),1.0)</f>
        <v>1</v>
      </c>
      <c r="IG21" s="2">
        <f>IFERROR(__xludf.DUMMYFUNCTION("""COMPUTED_VALUE"""),4.0)</f>
        <v>4</v>
      </c>
      <c r="IH21" s="2">
        <f>IFERROR(__xludf.DUMMYFUNCTION("""COMPUTED_VALUE"""),2.0)</f>
        <v>2</v>
      </c>
      <c r="II21" s="2">
        <f>IFERROR(__xludf.DUMMYFUNCTION("""COMPUTED_VALUE"""),4.0)</f>
        <v>4</v>
      </c>
      <c r="IJ21" s="2" t="str">
        <f>IFERROR(__xludf.DUMMYFUNCTION("""COMPUTED_VALUE"""),"grgdfl")</f>
        <v>grgdfl</v>
      </c>
      <c r="IK21" s="2">
        <f>IFERROR(__xludf.DUMMYFUNCTION("""COMPUTED_VALUE"""),5.0)</f>
        <v>5</v>
      </c>
      <c r="IL21" s="2" t="str">
        <f>IFERROR(__xludf.DUMMYFUNCTION("""COMPUTED_VALUE"""),"FM")</f>
        <v>FM</v>
      </c>
      <c r="IM21" s="2" t="str">
        <f>IFERROR(__xludf.DUMMYFUNCTION("""COMPUTED_VALUE"""),"grrgrg")</f>
        <v>grrgrg</v>
      </c>
      <c r="IN21" s="2" t="str">
        <f>IFERROR(__xludf.DUMMYFUNCTION("""COMPUTED_VALUE"""),"rthrt")</f>
        <v>rthrt</v>
      </c>
      <c r="IO21" s="2" t="str">
        <f>IFERROR(__xludf.DUMMYFUNCTION("""COMPUTED_VALUE"""),"dfjsdfljsd")</f>
        <v>dfjsdfljsd</v>
      </c>
      <c r="IP21" s="2" t="str">
        <f>IFERROR(__xludf.DUMMYFUNCTION("""COMPUTED_VALUE"""),"")</f>
        <v/>
      </c>
      <c r="IQ21" s="2" t="str">
        <f>IFERROR(__xludf.DUMMYFUNCTION("""COMPUTED_VALUE"""),"999-999-9999")</f>
        <v>999-999-9999</v>
      </c>
      <c r="IR21" s="2" t="str">
        <f>IFERROR(__xludf.DUMMYFUNCTION("""COMPUTED_VALUE"""),"clockwise")</f>
        <v>clockwise</v>
      </c>
      <c r="IS21" s="2" t="str">
        <f>IFERROR(__xludf.DUMMYFUNCTION("""COMPUTED_VALUE"""),"end-suction")</f>
        <v>end-suction</v>
      </c>
      <c r="IT21" s="2">
        <f>IFERROR(__xludf.DUMMYFUNCTION("""COMPUTED_VALUE"""),1000.0)</f>
        <v>1000</v>
      </c>
      <c r="IU21" s="2">
        <f>IFERROR(__xludf.DUMMYFUNCTION("""COMPUTED_VALUE"""),3500.0)</f>
        <v>3500</v>
      </c>
      <c r="IV21" s="2" t="str">
        <f>IFERROR(__xludf.DUMMYFUNCTION("""COMPUTED_VALUE"""),"sfpu")</f>
        <v>sfpu</v>
      </c>
      <c r="IW21" s="2" t="str">
        <f>IFERROR(__xludf.DUMMYFUNCTION("""COMPUTED_VALUE"""),"UL")</f>
        <v>UL</v>
      </c>
      <c r="IX21" s="2" t="str">
        <f>IFERROR(__xludf.DUMMYFUNCTION("""COMPUTED_VALUE"""),"dgdln")</f>
        <v>dgdln</v>
      </c>
      <c r="IY21" s="2" t="str">
        <f>IFERROR(__xludf.DUMMYFUNCTION("""COMPUTED_VALUE"""),"ssdfl")</f>
        <v>ssdfl</v>
      </c>
      <c r="IZ21" s="2" t="str">
        <f>IFERROR(__xludf.DUMMYFUNCTION("""COMPUTED_VALUE"""),"lijsfljsd")</f>
        <v>lijsfljsd</v>
      </c>
      <c r="JA21" s="2" t="str">
        <f>IFERROR(__xludf.DUMMYFUNCTION("""COMPUTED_VALUE"""),"")</f>
        <v/>
      </c>
      <c r="JB21" s="2" t="str">
        <f>IFERROR(__xludf.DUMMYFUNCTION("""COMPUTED_VALUE"""),"jlj")</f>
        <v>jlj</v>
      </c>
      <c r="JC21" s="2" t="str">
        <f>IFERROR(__xludf.DUMMYFUNCTION("""COMPUTED_VALUE"""),"NH")</f>
        <v>NH</v>
      </c>
      <c r="JD21" s="2" t="str">
        <f>IFERROR(__xludf.DUMMYFUNCTION("""COMPUTED_VALUE"""),"123 ABC Street")</f>
        <v>123 ABC Street</v>
      </c>
      <c r="JE21" s="2" t="str">
        <f>IFERROR(__xludf.DUMMYFUNCTION("""COMPUTED_VALUE"""),"Suite 1")</f>
        <v>Suite 1</v>
      </c>
      <c r="JF21" s="2" t="str">
        <f>IFERROR(__xludf.DUMMYFUNCTION("""COMPUTED_VALUE"""),"ffdsfs")</f>
        <v>ffdsfs</v>
      </c>
      <c r="JG21" s="2">
        <f>IFERROR(__xludf.DUMMYFUNCTION("""COMPUTED_VALUE"""),2.0)</f>
        <v>2</v>
      </c>
      <c r="JH21" s="2">
        <f>IFERROR(__xludf.DUMMYFUNCTION("""COMPUTED_VALUE"""),1.0)</f>
        <v>1</v>
      </c>
      <c r="JI21" s="2" t="str">
        <f>IFERROR(__xludf.DUMMYFUNCTION("""COMPUTED_VALUE"""),"Joseph Smith")</f>
        <v>Joseph Smith</v>
      </c>
      <c r="JJ21" s="2">
        <f>IFERROR(__xludf.DUMMYFUNCTION("""COMPUTED_VALUE"""),1.23456789E8)</f>
        <v>123456789</v>
      </c>
      <c r="JK21" s="2" t="str">
        <f>IFERROR(__xludf.DUMMYFUNCTION("""COMPUTED_VALUE"""),"")</f>
        <v/>
      </c>
      <c r="JL21" s="14" t="str">
        <f>IFERROR(__xludf.DUMMYFUNCTION("""COMPUTED_VALUE"""),"https://s3.amazonaws.com/UcAssetDataProduction/8ffa21a4-feeb-4341-b99f-0ff6134736c7.jpg")</f>
        <v>https://s3.amazonaws.com/UcAssetDataProduction/8ffa21a4-feeb-4341-b99f-0ff6134736c7.jpg</v>
      </c>
      <c r="JM21" s="2" t="str">
        <f>IFERROR(__xludf.DUMMYFUNCTION("""COMPUTED_VALUE"""),"My Testing Firm Name")</f>
        <v>My Testing Firm Name</v>
      </c>
      <c r="JN21" s="2">
        <f>IFERROR(__xludf.DUMMYFUNCTION("""COMPUTED_VALUE"""),231.0)</f>
        <v>231</v>
      </c>
      <c r="JO21" s="2">
        <f>IFERROR(__xludf.DUMMYFUNCTION("""COMPUTED_VALUE"""),3055.0)</f>
        <v>3055</v>
      </c>
      <c r="JP21" s="2" t="str">
        <f>IFERROR(__xludf.DUMMYFUNCTION("""COMPUTED_VALUE"""),"AESC Admin - Hose Monster")</f>
        <v>AESC Admin - Hose Monster</v>
      </c>
      <c r="JQ21" s="2" t="str">
        <f>IFERROR(__xludf.DUMMYFUNCTION("""COMPUTED_VALUE"""),"")</f>
        <v/>
      </c>
      <c r="JR21" s="2" t="str">
        <f>IFERROR(__xludf.DUMMYFUNCTION("""COMPUTED_VALUE"""),"")</f>
        <v/>
      </c>
      <c r="JS21" s="2" t="str">
        <f>IFERROR(__xludf.DUMMYFUNCTION("""COMPUTED_VALUE"""),"")</f>
        <v/>
      </c>
      <c r="JT21" s="2" t="str">
        <f>IFERROR(__xludf.DUMMYFUNCTION("""COMPUTED_VALUE"""),"")</f>
        <v/>
      </c>
      <c r="JU21" s="2" t="str">
        <f>IFERROR(__xludf.DUMMYFUNCTION("""COMPUTED_VALUE"""),"603-111-2222")</f>
        <v>603-111-2222</v>
      </c>
      <c r="JV21" s="2" t="str">
        <f>IFERROR(__xludf.DUMMYFUNCTION("""COMPUTED_VALUE"""),"AESC Admin - Hose Monster")</f>
        <v>AESC Admin - Hose Monster</v>
      </c>
      <c r="JW21" s="15">
        <f>IFERROR(__xludf.DUMMYFUNCTION("""COMPUTED_VALUE"""),43865.73918981481)</f>
        <v>43865.73919</v>
      </c>
      <c r="JX21" s="2" t="str">
        <f>IFERROR(__xludf.DUMMYFUNCTION("""COMPUTED_VALUE"""),"")</f>
        <v/>
      </c>
      <c r="JY21" s="2" t="str">
        <f>IFERROR(__xludf.DUMMYFUNCTION("""COMPUTED_VALUE"""),"DFLJSD")</f>
        <v>DFLJSD</v>
      </c>
      <c r="JZ21" s="2" t="str">
        <f>IFERROR(__xludf.DUMMYFUNCTION("""COMPUTED_VALUE"""),"Minor")</f>
        <v>Minor</v>
      </c>
      <c r="KA21" s="2" t="str">
        <f>IFERROR(__xludf.DUMMYFUNCTION("""COMPUTED_VALUE"""),"Complete")</f>
        <v>Complete</v>
      </c>
      <c r="KB21" s="2" t="str">
        <f>IFERROR(__xludf.DUMMYFUNCTION("""COMPUTED_VALUE"""),"PM")</f>
        <v>PM</v>
      </c>
    </row>
    <row r="78">
      <c r="AT78" s="14"/>
    </row>
    <row r="79">
      <c r="AT79" s="14"/>
    </row>
    <row r="80">
      <c r="AT80" s="14"/>
    </row>
    <row r="81">
      <c r="AT81" s="14"/>
    </row>
    <row r="82">
      <c r="AT82" s="14"/>
    </row>
    <row r="83">
      <c r="AT83" s="14"/>
    </row>
    <row r="84">
      <c r="AT84" s="14"/>
    </row>
    <row r="85">
      <c r="AT85" s="14"/>
    </row>
    <row r="86">
      <c r="AT86" s="14"/>
    </row>
    <row r="87">
      <c r="AT87" s="14"/>
    </row>
    <row r="88">
      <c r="AT88" s="14"/>
    </row>
    <row r="89">
      <c r="AT89" s="14"/>
    </row>
    <row r="90">
      <c r="AT90" s="14"/>
    </row>
    <row r="91">
      <c r="AT91" s="14"/>
    </row>
    <row r="92">
      <c r="AT92" s="14"/>
    </row>
    <row r="93">
      <c r="AT93" s="14"/>
    </row>
    <row r="94">
      <c r="AT94" s="14"/>
    </row>
    <row r="95">
      <c r="AT95" s="14"/>
    </row>
    <row r="96">
      <c r="AT96" s="14"/>
    </row>
    <row r="97">
      <c r="AT97" s="14"/>
    </row>
    <row r="98">
      <c r="AT98" s="14"/>
    </row>
    <row r="99">
      <c r="AT99" s="14"/>
    </row>
    <row r="100">
      <c r="AT100" s="14"/>
    </row>
    <row r="101">
      <c r="AT101" s="14"/>
    </row>
    <row r="102">
      <c r="AT102" s="14"/>
    </row>
    <row r="103">
      <c r="AT103" s="14"/>
    </row>
    <row r="104">
      <c r="AT104" s="14"/>
    </row>
    <row r="105">
      <c r="AT105" s="14"/>
    </row>
    <row r="106">
      <c r="AT106" s="14"/>
    </row>
    <row r="107">
      <c r="AT107" s="14"/>
    </row>
    <row r="108">
      <c r="AT108" s="14"/>
    </row>
    <row r="109">
      <c r="AT109" s="14"/>
    </row>
    <row r="110">
      <c r="AT110" s="14"/>
    </row>
    <row r="111">
      <c r="AT111" s="14"/>
    </row>
    <row r="112">
      <c r="AT112" s="14"/>
    </row>
    <row r="113">
      <c r="AT113" s="14"/>
    </row>
    <row r="114">
      <c r="AT114" s="14"/>
    </row>
    <row r="115">
      <c r="AT115" s="14"/>
    </row>
    <row r="116">
      <c r="AT116" s="14"/>
    </row>
    <row r="117">
      <c r="AT117" s="14"/>
    </row>
    <row r="118">
      <c r="AT118" s="14"/>
    </row>
    <row r="119">
      <c r="AT119" s="14"/>
    </row>
    <row r="120">
      <c r="AT120" s="14"/>
    </row>
    <row r="121">
      <c r="AT121" s="14"/>
    </row>
    <row r="122">
      <c r="AT122" s="14"/>
    </row>
    <row r="123">
      <c r="AT123" s="14"/>
    </row>
    <row r="124">
      <c r="AT124" s="14"/>
    </row>
    <row r="125">
      <c r="AT125" s="14"/>
    </row>
    <row r="126">
      <c r="AT126" s="14"/>
    </row>
    <row r="127">
      <c r="AT127" s="14"/>
    </row>
    <row r="128">
      <c r="AT128" s="14"/>
    </row>
    <row r="129">
      <c r="AT129" s="14"/>
    </row>
    <row r="130">
      <c r="AT130" s="14"/>
    </row>
    <row r="131">
      <c r="AT131" s="14"/>
    </row>
    <row r="132">
      <c r="AT132" s="14"/>
    </row>
    <row r="133">
      <c r="AT133" s="14"/>
    </row>
    <row r="134">
      <c r="AT134" s="14"/>
    </row>
    <row r="135">
      <c r="AT135" s="14"/>
    </row>
    <row r="136">
      <c r="AT136" s="14"/>
    </row>
    <row r="137">
      <c r="AT137" s="14"/>
    </row>
    <row r="138">
      <c r="AT138" s="14"/>
    </row>
    <row r="139">
      <c r="AT139" s="14"/>
    </row>
    <row r="140">
      <c r="AT140" s="14"/>
    </row>
    <row r="141">
      <c r="AT141" s="14"/>
    </row>
    <row r="142">
      <c r="AT142" s="14"/>
    </row>
    <row r="143">
      <c r="AT143" s="14"/>
    </row>
    <row r="144">
      <c r="AT144" s="14"/>
    </row>
    <row r="145">
      <c r="AT145" s="14"/>
    </row>
    <row r="146">
      <c r="AT146" s="14"/>
    </row>
    <row r="147">
      <c r="AT147" s="14"/>
    </row>
    <row r="148">
      <c r="AT148" s="14"/>
    </row>
    <row r="149">
      <c r="AT149" s="14"/>
    </row>
    <row r="150">
      <c r="AT150" s="14"/>
    </row>
    <row r="151">
      <c r="AT151" s="14"/>
    </row>
    <row r="152">
      <c r="AT152" s="14"/>
    </row>
    <row r="153">
      <c r="AT153" s="14"/>
    </row>
    <row r="154">
      <c r="AT154" s="14"/>
    </row>
    <row r="155">
      <c r="AT155" s="14"/>
    </row>
    <row r="156">
      <c r="AT156" s="14"/>
    </row>
    <row r="157">
      <c r="AT157" s="14"/>
    </row>
    <row r="158">
      <c r="AT158" s="14"/>
    </row>
    <row r="159">
      <c r="AT159" s="14"/>
    </row>
    <row r="160">
      <c r="AT160" s="14"/>
    </row>
    <row r="161">
      <c r="AT161" s="14"/>
    </row>
    <row r="162">
      <c r="AT162" s="14"/>
    </row>
    <row r="163">
      <c r="AT163" s="14"/>
    </row>
    <row r="164">
      <c r="AT164" s="14"/>
    </row>
    <row r="165">
      <c r="AT165" s="14"/>
    </row>
    <row r="166">
      <c r="AT166" s="14"/>
    </row>
    <row r="167">
      <c r="AT167" s="14"/>
    </row>
    <row r="168">
      <c r="AT168" s="14"/>
    </row>
    <row r="169">
      <c r="AT169" s="14"/>
    </row>
    <row r="170">
      <c r="AT170" s="14"/>
    </row>
    <row r="171">
      <c r="AT171" s="14"/>
    </row>
    <row r="172">
      <c r="AT172" s="14"/>
    </row>
    <row r="173">
      <c r="AT173" s="14"/>
    </row>
    <row r="174">
      <c r="AT174" s="14"/>
    </row>
    <row r="175">
      <c r="AT175" s="14"/>
    </row>
    <row r="176">
      <c r="AT176" s="14"/>
    </row>
    <row r="177">
      <c r="AT177" s="14"/>
    </row>
    <row r="178">
      <c r="AT178" s="14"/>
    </row>
    <row r="179">
      <c r="AT179" s="14"/>
    </row>
    <row r="180">
      <c r="AT180" s="14"/>
    </row>
    <row r="181">
      <c r="AT181" s="14"/>
    </row>
    <row r="182">
      <c r="AT182" s="14"/>
    </row>
    <row r="183">
      <c r="AT183" s="14"/>
    </row>
    <row r="184">
      <c r="AT184" s="14"/>
    </row>
    <row r="185">
      <c r="AT185" s="14"/>
    </row>
    <row r="186">
      <c r="AT186" s="14"/>
    </row>
    <row r="187">
      <c r="AT187" s="14"/>
    </row>
    <row r="188">
      <c r="AT188" s="14"/>
    </row>
    <row r="189">
      <c r="AT189" s="14"/>
    </row>
    <row r="190">
      <c r="AT190" s="14"/>
    </row>
    <row r="191">
      <c r="AT191" s="14"/>
    </row>
    <row r="192">
      <c r="AT192" s="14"/>
    </row>
    <row r="193">
      <c r="AT193" s="14"/>
    </row>
    <row r="194">
      <c r="AT194" s="14"/>
    </row>
    <row r="195">
      <c r="AT195" s="14"/>
    </row>
    <row r="196">
      <c r="AT196" s="14"/>
    </row>
    <row r="197">
      <c r="AT197" s="14"/>
    </row>
    <row r="198">
      <c r="AT198" s="14"/>
    </row>
    <row r="199">
      <c r="AT199" s="14"/>
    </row>
    <row r="200">
      <c r="AT200" s="14"/>
    </row>
    <row r="201">
      <c r="AT201" s="14"/>
    </row>
    <row r="202">
      <c r="AT202" s="14"/>
    </row>
    <row r="203">
      <c r="AT203" s="14"/>
    </row>
    <row r="204">
      <c r="AT204" s="14"/>
    </row>
    <row r="205">
      <c r="AT205" s="14"/>
    </row>
    <row r="206">
      <c r="AT206" s="14"/>
    </row>
    <row r="207">
      <c r="AT207" s="14"/>
    </row>
    <row r="208">
      <c r="AT208" s="14"/>
    </row>
    <row r="209">
      <c r="AT209" s="14"/>
    </row>
    <row r="210">
      <c r="AT210" s="14"/>
    </row>
    <row r="211">
      <c r="AT211" s="14"/>
    </row>
    <row r="212">
      <c r="AT212" s="14"/>
    </row>
    <row r="213">
      <c r="AT213" s="14"/>
    </row>
    <row r="214">
      <c r="AT214" s="14"/>
    </row>
    <row r="215">
      <c r="AT215" s="14"/>
    </row>
    <row r="216">
      <c r="AT216" s="14"/>
    </row>
    <row r="217">
      <c r="AT217" s="14"/>
    </row>
    <row r="218">
      <c r="AT218" s="14"/>
    </row>
    <row r="219">
      <c r="AT219" s="14"/>
    </row>
    <row r="220">
      <c r="AT220" s="14"/>
    </row>
    <row r="221">
      <c r="AF221" s="14"/>
    </row>
    <row r="222">
      <c r="AF222" s="14"/>
    </row>
    <row r="223">
      <c r="AF223" s="14"/>
    </row>
    <row r="224">
      <c r="AF224" s="14"/>
    </row>
    <row r="225">
      <c r="AF225" s="14"/>
    </row>
    <row r="226">
      <c r="AF226" s="14"/>
    </row>
    <row r="227">
      <c r="AF227" s="14"/>
    </row>
    <row r="228">
      <c r="AF228" s="14"/>
    </row>
    <row r="229">
      <c r="AF229" s="14"/>
    </row>
    <row r="230">
      <c r="AF230" s="14"/>
    </row>
    <row r="231">
      <c r="AF231" s="14"/>
    </row>
    <row r="232">
      <c r="AF232" s="14"/>
    </row>
    <row r="233">
      <c r="AF233" s="14"/>
    </row>
    <row r="234">
      <c r="AF234" s="14"/>
    </row>
    <row r="235">
      <c r="AF235" s="14"/>
    </row>
    <row r="236">
      <c r="AF236" s="14"/>
    </row>
    <row r="237">
      <c r="AF237" s="14"/>
    </row>
    <row r="238">
      <c r="AF238" s="14"/>
    </row>
    <row r="239">
      <c r="AF239" s="14"/>
    </row>
    <row r="240">
      <c r="AF240" s="14"/>
    </row>
    <row r="241">
      <c r="AF241" s="14"/>
    </row>
    <row r="242">
      <c r="AF242" s="14"/>
    </row>
    <row r="243">
      <c r="AF243" s="14"/>
    </row>
    <row r="244">
      <c r="AF244" s="14"/>
    </row>
    <row r="245">
      <c r="AF245" s="14"/>
    </row>
    <row r="246">
      <c r="AF246" s="14"/>
    </row>
    <row r="247">
      <c r="AF247" s="14"/>
    </row>
    <row r="248">
      <c r="AF248" s="14"/>
    </row>
    <row r="249">
      <c r="AF249" s="14"/>
    </row>
    <row r="250">
      <c r="AF250" s="14"/>
    </row>
    <row r="251">
      <c r="AF251" s="14"/>
    </row>
    <row r="252">
      <c r="AF252" s="14"/>
    </row>
    <row r="253">
      <c r="AF253" s="14"/>
    </row>
    <row r="254">
      <c r="AF254" s="14"/>
    </row>
    <row r="255">
      <c r="AF255" s="14"/>
    </row>
    <row r="256">
      <c r="AF256" s="14"/>
    </row>
    <row r="257">
      <c r="AF257" s="14"/>
    </row>
    <row r="258">
      <c r="AF258" s="14"/>
    </row>
    <row r="259">
      <c r="AF259" s="14"/>
    </row>
    <row r="260">
      <c r="AF260" s="14"/>
    </row>
    <row r="261">
      <c r="AF261" s="14"/>
    </row>
    <row r="262">
      <c r="AF262" s="14"/>
    </row>
    <row r="263">
      <c r="AF263" s="14"/>
    </row>
    <row r="264">
      <c r="AF264" s="14"/>
    </row>
    <row r="265">
      <c r="AF265" s="14"/>
    </row>
    <row r="266">
      <c r="AF266" s="14"/>
    </row>
    <row r="267">
      <c r="AF267" s="14"/>
    </row>
    <row r="268">
      <c r="AF268" s="14"/>
    </row>
    <row r="269">
      <c r="AF269" s="14"/>
    </row>
    <row r="270">
      <c r="AF270" s="14"/>
    </row>
    <row r="271">
      <c r="AF271" s="14"/>
    </row>
    <row r="272">
      <c r="AF272" s="14"/>
    </row>
    <row r="273">
      <c r="AF273" s="14"/>
    </row>
    <row r="274">
      <c r="AF274" s="14"/>
    </row>
    <row r="275">
      <c r="AF275" s="14"/>
    </row>
    <row r="276">
      <c r="AF276" s="14"/>
    </row>
    <row r="277">
      <c r="AF277" s="14"/>
    </row>
    <row r="278">
      <c r="AF278" s="14"/>
    </row>
    <row r="279">
      <c r="AF279" s="14"/>
    </row>
    <row r="280">
      <c r="AF280" s="14"/>
    </row>
    <row r="281">
      <c r="AF281" s="14"/>
    </row>
    <row r="282">
      <c r="AF282" s="14"/>
    </row>
    <row r="283">
      <c r="AF283" s="14"/>
    </row>
    <row r="284">
      <c r="AF284" s="14"/>
    </row>
    <row r="285">
      <c r="AF285" s="14"/>
    </row>
    <row r="286">
      <c r="AF286" s="14"/>
    </row>
    <row r="287">
      <c r="AF287" s="14"/>
    </row>
    <row r="288">
      <c r="AF288" s="14"/>
    </row>
    <row r="289">
      <c r="AF289" s="14"/>
    </row>
    <row r="290">
      <c r="AF290" s="14"/>
    </row>
    <row r="291">
      <c r="AF291" s="14"/>
    </row>
    <row r="292">
      <c r="AF292" s="14"/>
    </row>
    <row r="293">
      <c r="AF293" s="14"/>
    </row>
    <row r="294">
      <c r="AF294" s="14"/>
    </row>
    <row r="295">
      <c r="AF295" s="14"/>
    </row>
    <row r="296">
      <c r="AF296" s="14"/>
    </row>
    <row r="297">
      <c r="AF297" s="14"/>
    </row>
    <row r="298">
      <c r="AF298" s="14"/>
    </row>
    <row r="299">
      <c r="AF299" s="14"/>
    </row>
    <row r="300">
      <c r="AF300" s="14"/>
    </row>
    <row r="301">
      <c r="AF301" s="14"/>
    </row>
    <row r="302">
      <c r="AF302" s="14"/>
    </row>
    <row r="303">
      <c r="AF303" s="14"/>
    </row>
    <row r="304">
      <c r="AF304" s="14"/>
    </row>
    <row r="305">
      <c r="AF305" s="14"/>
    </row>
    <row r="306">
      <c r="AF306" s="14"/>
    </row>
    <row r="307">
      <c r="AF307" s="14"/>
    </row>
    <row r="308">
      <c r="AF308" s="14"/>
    </row>
    <row r="309">
      <c r="AF309" s="14"/>
    </row>
    <row r="310">
      <c r="AF310" s="14"/>
    </row>
    <row r="311">
      <c r="AF311" s="14"/>
    </row>
    <row r="312">
      <c r="AF312" s="14"/>
    </row>
    <row r="313">
      <c r="AF313" s="14"/>
    </row>
    <row r="314">
      <c r="AF314" s="14"/>
    </row>
    <row r="315">
      <c r="AF315" s="14"/>
    </row>
    <row r="316">
      <c r="AF316" s="14"/>
    </row>
    <row r="317">
      <c r="AF317" s="14"/>
    </row>
    <row r="318">
      <c r="AF318" s="14"/>
    </row>
    <row r="319">
      <c r="AF319" s="14"/>
    </row>
    <row r="320">
      <c r="AF320" s="14"/>
    </row>
    <row r="321">
      <c r="AF321" s="14"/>
    </row>
    <row r="322">
      <c r="AF322" s="14"/>
    </row>
    <row r="323">
      <c r="AF323" s="14"/>
    </row>
    <row r="324">
      <c r="AF324" s="14"/>
    </row>
    <row r="325">
      <c r="AF325" s="14"/>
    </row>
    <row r="326">
      <c r="AF326" s="14"/>
    </row>
    <row r="327">
      <c r="AF327" s="14"/>
    </row>
    <row r="328">
      <c r="AF328" s="14"/>
    </row>
    <row r="329">
      <c r="AF329" s="14"/>
    </row>
    <row r="330">
      <c r="AF330" s="14"/>
    </row>
    <row r="331">
      <c r="AF331" s="14"/>
    </row>
    <row r="332">
      <c r="AF332" s="14"/>
    </row>
    <row r="333">
      <c r="AF333" s="14"/>
    </row>
    <row r="334">
      <c r="AF334" s="14"/>
    </row>
    <row r="335">
      <c r="AF335" s="14"/>
    </row>
    <row r="336">
      <c r="AF336" s="14"/>
    </row>
    <row r="337">
      <c r="AF337" s="14"/>
    </row>
    <row r="338">
      <c r="AF338" s="14"/>
    </row>
    <row r="339">
      <c r="AF339" s="14"/>
    </row>
    <row r="340">
      <c r="AF340" s="14"/>
    </row>
    <row r="341">
      <c r="AF341" s="14"/>
    </row>
    <row r="342">
      <c r="AF342" s="14"/>
    </row>
    <row r="343">
      <c r="AF343" s="14"/>
    </row>
    <row r="344">
      <c r="AF344" s="14"/>
    </row>
    <row r="345">
      <c r="AF345" s="14"/>
    </row>
    <row r="346">
      <c r="AF346" s="14"/>
    </row>
    <row r="347">
      <c r="AF347" s="14"/>
    </row>
    <row r="348">
      <c r="AF348" s="14"/>
    </row>
    <row r="349">
      <c r="AF349" s="14"/>
    </row>
    <row r="350">
      <c r="AF350" s="14"/>
    </row>
    <row r="351">
      <c r="AF351" s="14"/>
    </row>
    <row r="352">
      <c r="AF352" s="14"/>
    </row>
    <row r="353">
      <c r="AF353" s="14"/>
    </row>
    <row r="354">
      <c r="AF354" s="14"/>
    </row>
    <row r="355">
      <c r="AF355" s="14"/>
    </row>
    <row r="356">
      <c r="AF356" s="14"/>
    </row>
    <row r="357">
      <c r="AF357" s="14"/>
    </row>
    <row r="358">
      <c r="AF358" s="14"/>
    </row>
    <row r="359">
      <c r="AF359" s="14"/>
    </row>
    <row r="360">
      <c r="AF360" s="14"/>
    </row>
    <row r="361">
      <c r="AF361" s="14"/>
    </row>
    <row r="362">
      <c r="AF362" s="14"/>
    </row>
    <row r="363">
      <c r="AF363" s="14"/>
    </row>
    <row r="364">
      <c r="AF364" s="14"/>
    </row>
    <row r="365">
      <c r="AF365" s="14"/>
    </row>
    <row r="366">
      <c r="AF366" s="14"/>
    </row>
    <row r="367">
      <c r="AF367" s="14"/>
    </row>
    <row r="368">
      <c r="AF368" s="14"/>
    </row>
    <row r="369">
      <c r="AF369" s="14"/>
    </row>
    <row r="370">
      <c r="AF370" s="14"/>
    </row>
    <row r="371">
      <c r="AF371" s="14"/>
    </row>
    <row r="372">
      <c r="AF372" s="14"/>
    </row>
    <row r="373">
      <c r="AF373" s="14"/>
    </row>
    <row r="374">
      <c r="AF374" s="14"/>
    </row>
    <row r="375">
      <c r="AF375" s="14"/>
    </row>
    <row r="376">
      <c r="AF376" s="14"/>
    </row>
    <row r="377">
      <c r="AF377" s="14"/>
    </row>
    <row r="378">
      <c r="AF378" s="14"/>
    </row>
    <row r="379">
      <c r="AF379" s="14"/>
    </row>
    <row r="380">
      <c r="AF380" s="14"/>
    </row>
    <row r="381">
      <c r="AF381" s="14"/>
    </row>
    <row r="382">
      <c r="AF382" s="14"/>
    </row>
    <row r="383">
      <c r="AF383" s="14"/>
    </row>
    <row r="384">
      <c r="AF384" s="14"/>
    </row>
    <row r="385">
      <c r="AF385" s="14"/>
    </row>
    <row r="386">
      <c r="AF386" s="14"/>
    </row>
    <row r="387">
      <c r="AF387" s="14"/>
    </row>
    <row r="388">
      <c r="AF388" s="14"/>
    </row>
    <row r="389">
      <c r="AF389" s="14"/>
    </row>
    <row r="390">
      <c r="AF390" s="14"/>
    </row>
    <row r="391">
      <c r="AF391" s="14"/>
    </row>
    <row r="392">
      <c r="AF392" s="14"/>
    </row>
    <row r="393">
      <c r="AF393" s="14"/>
    </row>
    <row r="394">
      <c r="AF394" s="14"/>
    </row>
    <row r="395">
      <c r="AF395" s="14"/>
    </row>
    <row r="396">
      <c r="AF396" s="14"/>
    </row>
    <row r="397">
      <c r="AF397" s="14"/>
    </row>
    <row r="398">
      <c r="AF398" s="14"/>
    </row>
    <row r="399">
      <c r="AF399" s="14"/>
    </row>
    <row r="400">
      <c r="AF400" s="14"/>
    </row>
    <row r="401">
      <c r="AF401" s="14"/>
    </row>
    <row r="402">
      <c r="AF402" s="14"/>
    </row>
    <row r="403">
      <c r="AF403" s="14"/>
    </row>
    <row r="404">
      <c r="AF404" s="14"/>
    </row>
    <row r="405">
      <c r="AF405" s="14"/>
    </row>
    <row r="406">
      <c r="AF406" s="14"/>
    </row>
    <row r="407">
      <c r="AF407" s="14"/>
    </row>
    <row r="408">
      <c r="AF408" s="14"/>
    </row>
    <row r="409">
      <c r="AF409" s="14"/>
    </row>
    <row r="410">
      <c r="AF410" s="14"/>
    </row>
    <row r="411">
      <c r="AF411" s="14"/>
    </row>
    <row r="412">
      <c r="AF412" s="14"/>
    </row>
    <row r="413">
      <c r="AF413" s="14"/>
    </row>
    <row r="414">
      <c r="AF414" s="14"/>
    </row>
    <row r="415">
      <c r="AF415" s="14"/>
    </row>
    <row r="416">
      <c r="AF416" s="14"/>
    </row>
    <row r="417">
      <c r="AF417" s="14"/>
    </row>
    <row r="418">
      <c r="AF418" s="14"/>
    </row>
    <row r="419">
      <c r="AF419" s="14"/>
    </row>
    <row r="420">
      <c r="AF420" s="14"/>
    </row>
    <row r="421">
      <c r="AF421" s="14"/>
    </row>
    <row r="422">
      <c r="AF422" s="14"/>
    </row>
    <row r="423">
      <c r="AF423" s="14"/>
    </row>
    <row r="424">
      <c r="AF424" s="14"/>
    </row>
    <row r="425">
      <c r="AF425" s="14"/>
    </row>
    <row r="426">
      <c r="AF426" s="14"/>
    </row>
    <row r="427">
      <c r="AF427" s="14"/>
    </row>
    <row r="428">
      <c r="AF428" s="14"/>
    </row>
    <row r="429">
      <c r="AF429" s="14"/>
    </row>
    <row r="430">
      <c r="AF430" s="14"/>
    </row>
    <row r="431">
      <c r="AF431" s="14"/>
    </row>
    <row r="432">
      <c r="AF432" s="14"/>
    </row>
    <row r="433">
      <c r="AF433" s="14"/>
    </row>
    <row r="434">
      <c r="AF434" s="14"/>
    </row>
    <row r="435">
      <c r="AF435" s="14"/>
    </row>
    <row r="436">
      <c r="AF436" s="14"/>
    </row>
    <row r="437">
      <c r="AF437" s="14"/>
    </row>
    <row r="438">
      <c r="AF438" s="14"/>
    </row>
    <row r="439">
      <c r="AF439" s="14"/>
    </row>
    <row r="440">
      <c r="AF440" s="14"/>
    </row>
    <row r="441">
      <c r="AF441" s="14"/>
    </row>
    <row r="442">
      <c r="AF442" s="14"/>
    </row>
    <row r="443">
      <c r="AF443" s="14"/>
    </row>
    <row r="444">
      <c r="AF444" s="14"/>
    </row>
    <row r="445">
      <c r="AF445" s="14"/>
    </row>
    <row r="446">
      <c r="AF446" s="14"/>
    </row>
    <row r="447">
      <c r="AF447" s="14"/>
    </row>
    <row r="448">
      <c r="AF448" s="14"/>
    </row>
    <row r="449">
      <c r="AF449" s="14"/>
    </row>
    <row r="450">
      <c r="AF450" s="14"/>
    </row>
    <row r="451">
      <c r="AF451" s="14"/>
    </row>
    <row r="452">
      <c r="AF452" s="14"/>
    </row>
    <row r="453">
      <c r="AF453" s="14"/>
    </row>
    <row r="454">
      <c r="AF454" s="14"/>
    </row>
    <row r="455">
      <c r="AF455" s="14"/>
    </row>
    <row r="456">
      <c r="AF456" s="14"/>
    </row>
    <row r="457">
      <c r="AF457" s="14"/>
    </row>
    <row r="458">
      <c r="AF458" s="14"/>
    </row>
    <row r="459">
      <c r="AF459" s="14"/>
    </row>
    <row r="460">
      <c r="AF460" s="14"/>
    </row>
    <row r="461">
      <c r="AF461" s="14"/>
    </row>
    <row r="462">
      <c r="AF462" s="14"/>
    </row>
    <row r="463">
      <c r="AF463" s="14"/>
    </row>
    <row r="464">
      <c r="AF464" s="14"/>
    </row>
    <row r="465">
      <c r="AF465" s="14"/>
    </row>
    <row r="466">
      <c r="AF466" s="14"/>
    </row>
    <row r="467">
      <c r="AF467" s="14"/>
    </row>
    <row r="468">
      <c r="AF468" s="14"/>
    </row>
    <row r="469">
      <c r="AF469" s="14"/>
    </row>
    <row r="470">
      <c r="AF470" s="14"/>
    </row>
    <row r="471">
      <c r="AF471" s="14"/>
    </row>
    <row r="472">
      <c r="AF472" s="14"/>
    </row>
    <row r="473">
      <c r="AF473" s="14"/>
    </row>
    <row r="474">
      <c r="AF474" s="14"/>
    </row>
    <row r="475">
      <c r="AF475" s="14"/>
    </row>
    <row r="476">
      <c r="AF476" s="14"/>
    </row>
    <row r="477">
      <c r="AF477" s="14"/>
    </row>
    <row r="478">
      <c r="AF478" s="14"/>
    </row>
    <row r="479">
      <c r="AF479" s="14"/>
    </row>
    <row r="480">
      <c r="AF480" s="14"/>
    </row>
    <row r="481">
      <c r="AF481" s="14"/>
    </row>
    <row r="482">
      <c r="AF482" s="14"/>
    </row>
    <row r="483">
      <c r="AF483" s="14"/>
    </row>
    <row r="484">
      <c r="AF484" s="14"/>
    </row>
    <row r="485">
      <c r="AF485" s="14"/>
    </row>
    <row r="486">
      <c r="AF486" s="14"/>
    </row>
  </sheetData>
  <hyperlinks>
    <hyperlink r:id="rId1" ref="B1"/>
    <hyperlink r:id="rId2" location="ajax/AssetDetails.html?assetid=835317036" ref="FD16"/>
    <hyperlink r:id="rId3" ref="JL16"/>
    <hyperlink r:id="rId4" location="ajax/AssetDetails.html?assetid=835317036" ref="FD17"/>
    <hyperlink r:id="rId5" ref="JL17"/>
    <hyperlink r:id="rId6" location="ajax/AssetDetails.html?assetid=835317036" ref="FD18"/>
    <hyperlink r:id="rId7" ref="JL18"/>
    <hyperlink r:id="rId8" location="ajax/AssetDetails.html?assetid=835317036" ref="FD19"/>
    <hyperlink r:id="rId9" ref="JL19"/>
    <hyperlink r:id="rId10" location="ajax/AssetDetails.html?assetid=835317036" ref="FD20"/>
    <hyperlink r:id="rId11" ref="JL20"/>
    <hyperlink r:id="rId12" location="ajax/AssetDetails.html?assetid=835317036" ref="FD21"/>
    <hyperlink r:id="rId13" ref="JL21"/>
    <hyperlink r:id="rId14" ref="AT78"/>
    <hyperlink r:id="rId15" ref="AT79"/>
    <hyperlink r:id="rId16" ref="AT80"/>
    <hyperlink r:id="rId17" ref="AT81"/>
    <hyperlink r:id="rId18" ref="AT82"/>
    <hyperlink r:id="rId19" ref="AT83"/>
    <hyperlink r:id="rId20" ref="AT84"/>
    <hyperlink r:id="rId21" ref="AT85"/>
    <hyperlink r:id="rId22" ref="AT86"/>
    <hyperlink r:id="rId23" ref="AT87"/>
    <hyperlink r:id="rId24" ref="AT88"/>
    <hyperlink r:id="rId25" ref="AT89"/>
    <hyperlink r:id="rId26" ref="AT90"/>
    <hyperlink r:id="rId27" ref="AT91"/>
    <hyperlink r:id="rId28" ref="AT92"/>
    <hyperlink r:id="rId29" ref="AT93"/>
    <hyperlink r:id="rId30" ref="AT94"/>
    <hyperlink r:id="rId31" ref="AT95"/>
    <hyperlink r:id="rId32" ref="AT96"/>
    <hyperlink r:id="rId33" ref="AT97"/>
    <hyperlink r:id="rId34" ref="AT98"/>
    <hyperlink r:id="rId35" ref="AT99"/>
    <hyperlink r:id="rId36" ref="AT100"/>
    <hyperlink r:id="rId37" ref="AT101"/>
    <hyperlink r:id="rId38" ref="AT102"/>
    <hyperlink r:id="rId39" ref="AT103"/>
    <hyperlink r:id="rId40" ref="AT104"/>
    <hyperlink r:id="rId41" ref="AT105"/>
    <hyperlink r:id="rId42" ref="AT106"/>
    <hyperlink r:id="rId43" ref="AT107"/>
    <hyperlink r:id="rId44" ref="AT108"/>
    <hyperlink r:id="rId45" ref="AT109"/>
    <hyperlink r:id="rId46" ref="AT110"/>
    <hyperlink r:id="rId47" ref="AT111"/>
    <hyperlink r:id="rId48" ref="AT112"/>
    <hyperlink r:id="rId49" ref="AT113"/>
    <hyperlink r:id="rId50" ref="AT114"/>
    <hyperlink r:id="rId51" ref="AT115"/>
    <hyperlink r:id="rId52" ref="AT116"/>
    <hyperlink r:id="rId53" ref="AT117"/>
    <hyperlink r:id="rId54" ref="AT118"/>
    <hyperlink r:id="rId55" ref="AT119"/>
    <hyperlink r:id="rId56" ref="AT120"/>
    <hyperlink r:id="rId57" ref="AT121"/>
    <hyperlink r:id="rId58" ref="AT122"/>
    <hyperlink r:id="rId59" ref="AT123"/>
    <hyperlink r:id="rId60" ref="AT124"/>
    <hyperlink r:id="rId61" ref="AT125"/>
    <hyperlink r:id="rId62" ref="AT126"/>
    <hyperlink r:id="rId63" ref="AT127"/>
    <hyperlink r:id="rId64" ref="AT128"/>
    <hyperlink r:id="rId65" ref="AT129"/>
    <hyperlink r:id="rId66" ref="AT130"/>
    <hyperlink r:id="rId67" ref="AT131"/>
    <hyperlink r:id="rId68" ref="AT132"/>
    <hyperlink r:id="rId69" ref="AT133"/>
    <hyperlink r:id="rId70" ref="AT134"/>
    <hyperlink r:id="rId71" ref="AT135"/>
    <hyperlink r:id="rId72" ref="AT136"/>
    <hyperlink r:id="rId73" ref="AT137"/>
    <hyperlink r:id="rId74" ref="AT138"/>
    <hyperlink r:id="rId75" ref="AT139"/>
    <hyperlink r:id="rId76" ref="AT140"/>
    <hyperlink r:id="rId77" ref="AT141"/>
    <hyperlink r:id="rId78" ref="AT142"/>
    <hyperlink r:id="rId79" ref="AT143"/>
    <hyperlink r:id="rId80" ref="AT144"/>
    <hyperlink r:id="rId81" ref="AT145"/>
    <hyperlink r:id="rId82" ref="AT146"/>
    <hyperlink r:id="rId83" ref="AT147"/>
    <hyperlink r:id="rId84" ref="AT148"/>
    <hyperlink r:id="rId85" ref="AT149"/>
    <hyperlink r:id="rId86" ref="AT150"/>
    <hyperlink r:id="rId87" ref="AT151"/>
    <hyperlink r:id="rId88" ref="AT152"/>
    <hyperlink r:id="rId89" ref="AT153"/>
    <hyperlink r:id="rId90" ref="AT154"/>
    <hyperlink r:id="rId91" ref="AT155"/>
    <hyperlink r:id="rId92" ref="AT156"/>
    <hyperlink r:id="rId93" ref="AT157"/>
    <hyperlink r:id="rId94" ref="AT158"/>
    <hyperlink r:id="rId95" ref="AT159"/>
    <hyperlink r:id="rId96" ref="AT160"/>
    <hyperlink r:id="rId97" ref="AT161"/>
    <hyperlink r:id="rId98" ref="AT162"/>
    <hyperlink r:id="rId99" ref="AT163"/>
    <hyperlink r:id="rId100" ref="AT164"/>
    <hyperlink r:id="rId101" ref="AT165"/>
    <hyperlink r:id="rId102" ref="AT166"/>
    <hyperlink r:id="rId103" ref="AT167"/>
    <hyperlink r:id="rId104" ref="AT168"/>
    <hyperlink r:id="rId105" ref="AT169"/>
    <hyperlink r:id="rId106" ref="AT170"/>
    <hyperlink r:id="rId107" ref="AT171"/>
    <hyperlink r:id="rId108" ref="AT172"/>
    <hyperlink r:id="rId109" ref="AT173"/>
    <hyperlink r:id="rId110" ref="AT174"/>
    <hyperlink r:id="rId111" ref="AT175"/>
    <hyperlink r:id="rId112" ref="AT176"/>
    <hyperlink r:id="rId113" ref="AT177"/>
    <hyperlink r:id="rId114" ref="AT178"/>
    <hyperlink r:id="rId115" ref="AT179"/>
    <hyperlink r:id="rId116" ref="AT180"/>
    <hyperlink r:id="rId117" ref="AT181"/>
    <hyperlink r:id="rId118" ref="AT182"/>
    <hyperlink r:id="rId119" ref="AT183"/>
    <hyperlink r:id="rId120" ref="AT184"/>
    <hyperlink r:id="rId121" ref="AT185"/>
    <hyperlink r:id="rId122" ref="AT186"/>
    <hyperlink r:id="rId123" ref="AT187"/>
    <hyperlink r:id="rId124" ref="AT188"/>
    <hyperlink r:id="rId125" ref="AT189"/>
    <hyperlink r:id="rId126" ref="AT190"/>
    <hyperlink r:id="rId127" ref="AT191"/>
    <hyperlink r:id="rId128" ref="AT192"/>
    <hyperlink r:id="rId129" ref="AT193"/>
    <hyperlink r:id="rId130" ref="AT194"/>
    <hyperlink r:id="rId131" ref="AT195"/>
    <hyperlink r:id="rId132" ref="AT196"/>
    <hyperlink r:id="rId133" ref="AT197"/>
    <hyperlink r:id="rId134" ref="AT198"/>
    <hyperlink r:id="rId135" ref="AT199"/>
    <hyperlink r:id="rId136" ref="AT200"/>
    <hyperlink r:id="rId137" ref="AT201"/>
    <hyperlink r:id="rId138" ref="AT202"/>
    <hyperlink r:id="rId139" ref="AT203"/>
    <hyperlink r:id="rId140" ref="AT204"/>
    <hyperlink r:id="rId141" ref="AT205"/>
    <hyperlink r:id="rId142" ref="AT206"/>
    <hyperlink r:id="rId143" ref="AT207"/>
    <hyperlink r:id="rId144" ref="AT208"/>
    <hyperlink r:id="rId145" ref="AT209"/>
    <hyperlink r:id="rId146" ref="AT210"/>
    <hyperlink r:id="rId147" ref="AT211"/>
    <hyperlink r:id="rId148" ref="AT212"/>
    <hyperlink r:id="rId149" ref="AT213"/>
    <hyperlink r:id="rId150" ref="AT214"/>
    <hyperlink r:id="rId151" ref="AT215"/>
    <hyperlink r:id="rId152" ref="AT216"/>
    <hyperlink r:id="rId153" ref="AT217"/>
    <hyperlink r:id="rId154" ref="AT218"/>
    <hyperlink r:id="rId155" ref="AT219"/>
    <hyperlink r:id="rId156" ref="AT220"/>
    <hyperlink r:id="rId157" ref="AF221"/>
    <hyperlink r:id="rId158" ref="AF222"/>
    <hyperlink r:id="rId159" ref="AF223"/>
    <hyperlink r:id="rId160" ref="AF224"/>
    <hyperlink r:id="rId161" ref="AF225"/>
    <hyperlink r:id="rId162" ref="AF226"/>
    <hyperlink r:id="rId163" ref="AF227"/>
    <hyperlink r:id="rId164" ref="AF228"/>
    <hyperlink r:id="rId165" ref="AF229"/>
    <hyperlink r:id="rId166" ref="AF230"/>
    <hyperlink r:id="rId167" ref="AF231"/>
    <hyperlink r:id="rId168" ref="AF232"/>
    <hyperlink r:id="rId169" ref="AF233"/>
    <hyperlink r:id="rId170" ref="AF234"/>
    <hyperlink r:id="rId171" ref="AF235"/>
    <hyperlink r:id="rId172" ref="AF236"/>
    <hyperlink r:id="rId173" ref="AF237"/>
    <hyperlink r:id="rId174" ref="AF238"/>
    <hyperlink r:id="rId175" ref="AF239"/>
    <hyperlink r:id="rId176" ref="AF240"/>
    <hyperlink r:id="rId177" ref="AF241"/>
    <hyperlink r:id="rId178" ref="AF242"/>
    <hyperlink r:id="rId179" ref="AF243"/>
    <hyperlink r:id="rId180" ref="AF244"/>
    <hyperlink r:id="rId181" ref="AF245"/>
    <hyperlink r:id="rId182" ref="AF246"/>
    <hyperlink r:id="rId183" ref="AF247"/>
    <hyperlink r:id="rId184" ref="AF248"/>
    <hyperlink r:id="rId185" ref="AF249"/>
    <hyperlink r:id="rId186" ref="AF250"/>
    <hyperlink r:id="rId187" ref="AF251"/>
    <hyperlink r:id="rId188" ref="AF252"/>
    <hyperlink r:id="rId189" ref="AF253"/>
    <hyperlink r:id="rId190" ref="AF254"/>
    <hyperlink r:id="rId191" ref="AF255"/>
    <hyperlink r:id="rId192" ref="AF256"/>
    <hyperlink r:id="rId193" ref="AF257"/>
    <hyperlink r:id="rId194" ref="AF258"/>
    <hyperlink r:id="rId195" ref="AF259"/>
    <hyperlink r:id="rId196" ref="AF260"/>
    <hyperlink r:id="rId197" ref="AF261"/>
    <hyperlink r:id="rId198" ref="AF262"/>
    <hyperlink r:id="rId199" ref="AF263"/>
    <hyperlink r:id="rId200" ref="AF264"/>
    <hyperlink r:id="rId201" ref="AF265"/>
    <hyperlink r:id="rId202" ref="AF266"/>
    <hyperlink r:id="rId203" ref="AF267"/>
    <hyperlink r:id="rId204" ref="AF268"/>
    <hyperlink r:id="rId205" ref="AF269"/>
    <hyperlink r:id="rId206" ref="AF270"/>
    <hyperlink r:id="rId207" ref="AF271"/>
    <hyperlink r:id="rId208" ref="AF272"/>
    <hyperlink r:id="rId209" ref="AF273"/>
    <hyperlink r:id="rId210" ref="AF274"/>
    <hyperlink r:id="rId211" ref="AF275"/>
    <hyperlink r:id="rId212" ref="AF276"/>
    <hyperlink r:id="rId213" ref="AF277"/>
    <hyperlink r:id="rId214" ref="AF278"/>
    <hyperlink r:id="rId215" ref="AF279"/>
    <hyperlink r:id="rId216" ref="AF280"/>
    <hyperlink r:id="rId217" ref="AF281"/>
    <hyperlink r:id="rId218" ref="AF282"/>
    <hyperlink r:id="rId219" ref="AF283"/>
    <hyperlink r:id="rId220" ref="AF284"/>
    <hyperlink r:id="rId221" ref="AF285"/>
    <hyperlink r:id="rId222" ref="AF286"/>
    <hyperlink r:id="rId223" ref="AF287"/>
    <hyperlink r:id="rId224" ref="AF288"/>
    <hyperlink r:id="rId225" ref="AF289"/>
    <hyperlink r:id="rId226" ref="AF290"/>
    <hyperlink r:id="rId227" ref="AF291"/>
    <hyperlink r:id="rId228" ref="AF292"/>
    <hyperlink r:id="rId229" ref="AF293"/>
    <hyperlink r:id="rId230" ref="AF294"/>
    <hyperlink r:id="rId231" ref="AF295"/>
    <hyperlink r:id="rId232" ref="AF296"/>
    <hyperlink r:id="rId233" ref="AF297"/>
    <hyperlink r:id="rId234" ref="AF298"/>
    <hyperlink r:id="rId235" ref="AF299"/>
    <hyperlink r:id="rId236" ref="AF300"/>
    <hyperlink r:id="rId237" ref="AF301"/>
    <hyperlink r:id="rId238" ref="AF302"/>
    <hyperlink r:id="rId239" ref="AF303"/>
    <hyperlink r:id="rId240" ref="AF304"/>
    <hyperlink r:id="rId241" ref="AF305"/>
    <hyperlink r:id="rId242" ref="AF306"/>
    <hyperlink r:id="rId243" ref="AF307"/>
    <hyperlink r:id="rId244" ref="AF308"/>
    <hyperlink r:id="rId245" ref="AF309"/>
    <hyperlink r:id="rId246" ref="AF310"/>
    <hyperlink r:id="rId247" ref="AF311"/>
    <hyperlink r:id="rId248" ref="AF312"/>
    <hyperlink r:id="rId249" ref="AF313"/>
    <hyperlink r:id="rId250" ref="AF314"/>
    <hyperlink r:id="rId251" ref="AF315"/>
    <hyperlink r:id="rId252" ref="AF316"/>
    <hyperlink r:id="rId253" ref="AF317"/>
    <hyperlink r:id="rId254" ref="AF318"/>
    <hyperlink r:id="rId255" ref="AF319"/>
    <hyperlink r:id="rId256" ref="AF320"/>
    <hyperlink r:id="rId257" ref="AF321"/>
    <hyperlink r:id="rId258" ref="AF322"/>
    <hyperlink r:id="rId259" ref="AF323"/>
    <hyperlink r:id="rId260" ref="AF324"/>
    <hyperlink r:id="rId261" ref="AF325"/>
    <hyperlink r:id="rId262" ref="AF326"/>
    <hyperlink r:id="rId263" ref="AF327"/>
    <hyperlink r:id="rId264" ref="AF328"/>
    <hyperlink r:id="rId265" ref="AF329"/>
    <hyperlink r:id="rId266" ref="AF330"/>
    <hyperlink r:id="rId267" ref="AF331"/>
    <hyperlink r:id="rId268" ref="AF332"/>
    <hyperlink r:id="rId269" ref="AF333"/>
    <hyperlink r:id="rId270" ref="AF334"/>
    <hyperlink r:id="rId271" ref="AF335"/>
    <hyperlink r:id="rId272" ref="AF336"/>
    <hyperlink r:id="rId273" ref="AF337"/>
    <hyperlink r:id="rId274" ref="AF338"/>
    <hyperlink r:id="rId275" ref="AF339"/>
    <hyperlink r:id="rId276" ref="AF340"/>
    <hyperlink r:id="rId277" ref="AF341"/>
    <hyperlink r:id="rId278" ref="AF342"/>
    <hyperlink r:id="rId279" ref="AF343"/>
    <hyperlink r:id="rId280" ref="AF344"/>
    <hyperlink r:id="rId281" ref="AF345"/>
    <hyperlink r:id="rId282" ref="AF346"/>
    <hyperlink r:id="rId283" ref="AF347"/>
    <hyperlink r:id="rId284" ref="AF348"/>
    <hyperlink r:id="rId285" ref="AF349"/>
    <hyperlink r:id="rId286" ref="AF350"/>
    <hyperlink r:id="rId287" ref="AF351"/>
    <hyperlink r:id="rId288" ref="AF352"/>
    <hyperlink r:id="rId289" ref="AF353"/>
    <hyperlink r:id="rId290" ref="AF354"/>
    <hyperlink r:id="rId291" ref="AF355"/>
    <hyperlink r:id="rId292" ref="AF356"/>
    <hyperlink r:id="rId293" ref="AF357"/>
    <hyperlink r:id="rId294" ref="AF358"/>
    <hyperlink r:id="rId295" ref="AF359"/>
    <hyperlink r:id="rId296" ref="AF360"/>
    <hyperlink r:id="rId297" ref="AF361"/>
    <hyperlink r:id="rId298" ref="AF362"/>
    <hyperlink r:id="rId299" ref="AF363"/>
    <hyperlink r:id="rId300" ref="AF364"/>
    <hyperlink r:id="rId301" ref="AF365"/>
    <hyperlink r:id="rId302" ref="AF366"/>
    <hyperlink r:id="rId303" ref="AF367"/>
    <hyperlink r:id="rId304" ref="AF368"/>
    <hyperlink r:id="rId305" ref="AF369"/>
    <hyperlink r:id="rId306" ref="AF370"/>
    <hyperlink r:id="rId307" ref="AF371"/>
    <hyperlink r:id="rId308" ref="AF372"/>
    <hyperlink r:id="rId309" ref="AF373"/>
    <hyperlink r:id="rId310" ref="AF374"/>
    <hyperlink r:id="rId311" ref="AF375"/>
    <hyperlink r:id="rId312" ref="AF376"/>
    <hyperlink r:id="rId313" ref="AF377"/>
    <hyperlink r:id="rId314" ref="AF378"/>
    <hyperlink r:id="rId315" ref="AF379"/>
    <hyperlink r:id="rId316" ref="AF380"/>
    <hyperlink r:id="rId317" ref="AF381"/>
    <hyperlink r:id="rId318" ref="AF382"/>
    <hyperlink r:id="rId319" ref="AF383"/>
    <hyperlink r:id="rId320" ref="AF384"/>
    <hyperlink r:id="rId321" ref="AF385"/>
    <hyperlink r:id="rId322" ref="AF386"/>
    <hyperlink r:id="rId323" ref="AF387"/>
    <hyperlink r:id="rId324" ref="AF388"/>
    <hyperlink r:id="rId325" ref="AF389"/>
    <hyperlink r:id="rId326" ref="AF390"/>
    <hyperlink r:id="rId327" ref="AF391"/>
    <hyperlink r:id="rId328" ref="AF392"/>
    <hyperlink r:id="rId329" ref="AF393"/>
    <hyperlink r:id="rId330" ref="AF394"/>
    <hyperlink r:id="rId331" ref="AF395"/>
    <hyperlink r:id="rId332" ref="AF396"/>
    <hyperlink r:id="rId333" ref="AF397"/>
    <hyperlink r:id="rId334" ref="AF398"/>
    <hyperlink r:id="rId335" ref="AF399"/>
    <hyperlink r:id="rId336" ref="AF400"/>
    <hyperlink r:id="rId337" ref="AF401"/>
    <hyperlink r:id="rId338" ref="AF402"/>
    <hyperlink r:id="rId339" ref="AF403"/>
    <hyperlink r:id="rId340" ref="AF404"/>
    <hyperlink r:id="rId341" ref="AF405"/>
    <hyperlink r:id="rId342" ref="AF406"/>
    <hyperlink r:id="rId343" ref="AF407"/>
    <hyperlink r:id="rId344" ref="AF408"/>
    <hyperlink r:id="rId345" ref="AF409"/>
    <hyperlink r:id="rId346" ref="AF410"/>
    <hyperlink r:id="rId347" ref="AF411"/>
    <hyperlink r:id="rId348" ref="AF412"/>
    <hyperlink r:id="rId349" ref="AF413"/>
    <hyperlink r:id="rId350" ref="AF414"/>
    <hyperlink r:id="rId351" ref="AF415"/>
    <hyperlink r:id="rId352" ref="AF416"/>
    <hyperlink r:id="rId353" ref="AF417"/>
    <hyperlink r:id="rId354" ref="AF418"/>
    <hyperlink r:id="rId355" ref="AF419"/>
    <hyperlink r:id="rId356" ref="AF420"/>
    <hyperlink r:id="rId357" ref="AF421"/>
    <hyperlink r:id="rId358" ref="AF422"/>
    <hyperlink r:id="rId359" ref="AF423"/>
    <hyperlink r:id="rId360" ref="AF424"/>
    <hyperlink r:id="rId361" ref="AF425"/>
    <hyperlink r:id="rId362" ref="AF426"/>
    <hyperlink r:id="rId363" ref="AF427"/>
    <hyperlink r:id="rId364" ref="AF428"/>
    <hyperlink r:id="rId365" ref="AF429"/>
    <hyperlink r:id="rId366" ref="AF430"/>
    <hyperlink r:id="rId367" ref="AF431"/>
    <hyperlink r:id="rId368" ref="AF432"/>
    <hyperlink r:id="rId369" ref="AF433"/>
    <hyperlink r:id="rId370" ref="AF434"/>
    <hyperlink r:id="rId371" ref="AF435"/>
    <hyperlink r:id="rId372" ref="AF436"/>
    <hyperlink r:id="rId373" ref="AF437"/>
    <hyperlink r:id="rId374" ref="AF438"/>
    <hyperlink r:id="rId375" ref="AF439"/>
    <hyperlink r:id="rId376" ref="AF440"/>
    <hyperlink r:id="rId377" ref="AF441"/>
    <hyperlink r:id="rId378" ref="AF442"/>
    <hyperlink r:id="rId379" ref="AF443"/>
    <hyperlink r:id="rId380" ref="AF444"/>
    <hyperlink r:id="rId381" ref="AF445"/>
    <hyperlink r:id="rId382" ref="AF446"/>
    <hyperlink r:id="rId383" ref="AF447"/>
    <hyperlink r:id="rId384" ref="AF448"/>
    <hyperlink r:id="rId385" ref="AF449"/>
    <hyperlink r:id="rId386" ref="AF450"/>
    <hyperlink r:id="rId387" ref="AF451"/>
    <hyperlink r:id="rId388" ref="AF452"/>
    <hyperlink r:id="rId389" ref="AF453"/>
    <hyperlink r:id="rId390" ref="AF454"/>
    <hyperlink r:id="rId391" ref="AF455"/>
    <hyperlink r:id="rId392" ref="AF456"/>
    <hyperlink r:id="rId393" ref="AF457"/>
    <hyperlink r:id="rId394" ref="AF458"/>
    <hyperlink r:id="rId395" ref="AF459"/>
    <hyperlink r:id="rId396" ref="AF460"/>
    <hyperlink r:id="rId397" ref="AF461"/>
    <hyperlink r:id="rId398" ref="AF462"/>
    <hyperlink r:id="rId399" ref="AF463"/>
    <hyperlink r:id="rId400" ref="AF464"/>
    <hyperlink r:id="rId401" ref="AF465"/>
    <hyperlink r:id="rId402" ref="AF466"/>
    <hyperlink r:id="rId403" ref="AF467"/>
    <hyperlink r:id="rId404" ref="AF468"/>
    <hyperlink r:id="rId405" ref="AF469"/>
    <hyperlink r:id="rId406" ref="AF470"/>
    <hyperlink r:id="rId407" ref="AF471"/>
    <hyperlink r:id="rId408" ref="AF472"/>
    <hyperlink r:id="rId409" ref="AF473"/>
    <hyperlink r:id="rId410" ref="AF474"/>
    <hyperlink r:id="rId411" ref="AF475"/>
    <hyperlink r:id="rId412" ref="AF476"/>
    <hyperlink r:id="rId413" ref="AF477"/>
    <hyperlink r:id="rId414" ref="AF478"/>
    <hyperlink r:id="rId415" ref="AF479"/>
    <hyperlink r:id="rId416" ref="AF480"/>
    <hyperlink r:id="rId417" ref="AF481"/>
    <hyperlink r:id="rId418" ref="AF482"/>
    <hyperlink r:id="rId419" ref="AF483"/>
    <hyperlink r:id="rId420" ref="AF484"/>
    <hyperlink r:id="rId421" ref="AF485"/>
    <hyperlink r:id="rId422" ref="AF486"/>
  </hyperlinks>
  <drawing r:id="rId423"/>
</worksheet>
</file>