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4\"/>
    </mc:Choice>
  </mc:AlternateContent>
  <xr:revisionPtr revIDLastSave="0" documentId="13_ncr:1_{D3CE5CE6-D4E4-4B40-8E5D-885C73B9DBD2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Akun'!$A$2:$E$40</definedName>
    <definedName name="_xlnm.Print_Area" localSheetId="2">'Rekap Usulan TUP 4'!$B$1:$H$35</definedName>
    <definedName name="_xlnm.Print_Area" localSheetId="3">'Usulan TUP 4'!$B$1:$L$609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3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4" i="1" l="1"/>
  <c r="K494" i="1"/>
  <c r="K191" i="1"/>
  <c r="K177" i="1"/>
  <c r="F26" i="2" l="1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F34" i="2"/>
  <c r="F25" i="2"/>
  <c r="F33" i="2"/>
  <c r="C14" i="4" l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G243" i="1"/>
  <c r="G242" i="1"/>
  <c r="G240" i="1"/>
  <c r="J240" i="1" s="1"/>
  <c r="G238" i="1"/>
  <c r="G237" i="1"/>
  <c r="G236" i="1"/>
  <c r="G235" i="1"/>
  <c r="H235" i="1" s="1"/>
  <c r="G232" i="1"/>
  <c r="G230" i="1"/>
  <c r="G229" i="1"/>
  <c r="G228" i="1"/>
  <c r="J228" i="1" s="1"/>
  <c r="G227" i="1"/>
  <c r="G224" i="1"/>
  <c r="G222" i="1"/>
  <c r="G221" i="1"/>
  <c r="G220" i="1"/>
  <c r="G219" i="1"/>
  <c r="G216" i="1"/>
  <c r="G214" i="1"/>
  <c r="G213" i="1"/>
  <c r="G211" i="1"/>
  <c r="G210" i="1"/>
  <c r="G209" i="1"/>
  <c r="H209" i="1" s="1"/>
  <c r="G208" i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G171" i="1"/>
  <c r="G168" i="1"/>
  <c r="G166" i="1"/>
  <c r="G164" i="1"/>
  <c r="G162" i="1"/>
  <c r="G161" i="1"/>
  <c r="G160" i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G135" i="1"/>
  <c r="H135" i="1" s="1"/>
  <c r="G133" i="1"/>
  <c r="G132" i="1"/>
  <c r="G131" i="1"/>
  <c r="G130" i="1"/>
  <c r="G129" i="1"/>
  <c r="H129" i="1" s="1"/>
  <c r="G126" i="1"/>
  <c r="G124" i="1"/>
  <c r="G123" i="1"/>
  <c r="G121" i="1"/>
  <c r="G120" i="1"/>
  <c r="G119" i="1"/>
  <c r="G118" i="1"/>
  <c r="G112" i="1"/>
  <c r="J112" i="1" s="1"/>
  <c r="G104" i="1"/>
  <c r="G102" i="1"/>
  <c r="G100" i="1"/>
  <c r="G99" i="1"/>
  <c r="G98" i="1"/>
  <c r="G97" i="1"/>
  <c r="G96" i="1"/>
  <c r="G93" i="1"/>
  <c r="G91" i="1"/>
  <c r="G90" i="1"/>
  <c r="G89" i="1"/>
  <c r="G88" i="1"/>
  <c r="H88" i="1" s="1"/>
  <c r="G84" i="1"/>
  <c r="H84" i="1" s="1"/>
  <c r="G82" i="1"/>
  <c r="G80" i="1"/>
  <c r="G79" i="1"/>
  <c r="G78" i="1"/>
  <c r="G77" i="1"/>
  <c r="G74" i="1"/>
  <c r="G72" i="1"/>
  <c r="J72" i="1" s="1"/>
  <c r="G70" i="1"/>
  <c r="G68" i="1"/>
  <c r="G66" i="1"/>
  <c r="H66" i="1" s="1"/>
  <c r="G65" i="1"/>
  <c r="G64" i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G40" i="1"/>
  <c r="G38" i="1"/>
  <c r="G36" i="1"/>
  <c r="H36" i="1" s="1"/>
  <c r="G35" i="1"/>
  <c r="G34" i="1"/>
  <c r="G33" i="1"/>
  <c r="G30" i="1"/>
  <c r="G28" i="1"/>
  <c r="G26" i="1"/>
  <c r="H26" i="1" s="1"/>
  <c r="G25" i="1"/>
  <c r="G24" i="1"/>
  <c r="J24" i="1" s="1"/>
  <c r="G23" i="1"/>
  <c r="J23" i="1" s="1"/>
  <c r="F20" i="3" l="1"/>
  <c r="F24" i="2"/>
  <c r="J80" i="1"/>
  <c r="J100" i="1"/>
  <c r="J164" i="1"/>
  <c r="J163" i="1" s="1"/>
  <c r="J172" i="1"/>
  <c r="J184" i="1"/>
  <c r="J216" i="1"/>
  <c r="J236" i="1"/>
  <c r="J96" i="1"/>
  <c r="J40" i="1"/>
  <c r="J68" i="1"/>
  <c r="J67" i="1" s="1"/>
  <c r="J124" i="1"/>
  <c r="J140" i="1"/>
  <c r="J160" i="1"/>
  <c r="J224" i="1"/>
  <c r="J223" i="1" s="1"/>
  <c r="J28" i="1"/>
  <c r="J44" i="1"/>
  <c r="J64" i="1"/>
  <c r="J104" i="1"/>
  <c r="J103" i="1" s="1"/>
  <c r="J120" i="1"/>
  <c r="J132" i="1"/>
  <c r="J168" i="1"/>
  <c r="J167" i="1" s="1"/>
  <c r="J208" i="1"/>
  <c r="J220" i="1"/>
  <c r="J232" i="1"/>
  <c r="J244" i="1"/>
  <c r="G250" i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J316" i="1" s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J212" i="1" s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G125" i="1"/>
  <c r="H125" i="1" s="1"/>
  <c r="G128" i="1"/>
  <c r="H128" i="1" s="1"/>
  <c r="G139" i="1"/>
  <c r="H139" i="1" s="1"/>
  <c r="G149" i="1"/>
  <c r="H149" i="1" s="1"/>
  <c r="G167" i="1"/>
  <c r="H167" i="1" s="1"/>
  <c r="G189" i="1"/>
  <c r="H189" i="1" s="1"/>
  <c r="G195" i="1"/>
  <c r="H195" i="1" s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G81" i="1"/>
  <c r="H81" i="1" s="1"/>
  <c r="G95" i="1"/>
  <c r="H95" i="1" s="1"/>
  <c r="G117" i="1"/>
  <c r="H117" i="1" s="1"/>
  <c r="G163" i="1"/>
  <c r="H163" i="1" s="1"/>
  <c r="G170" i="1"/>
  <c r="H170" i="1" s="1"/>
  <c r="G181" i="1"/>
  <c r="H181" i="1" s="1"/>
  <c r="G207" i="1"/>
  <c r="H207" i="1" s="1"/>
  <c r="G223" i="1"/>
  <c r="H223" i="1" s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J503" i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J215" i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J122" i="1" l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J206" i="1" s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116" i="1" s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J75" i="1" s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194" i="1" l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60" i="1"/>
  <c r="J20" i="1"/>
  <c r="J41" i="1"/>
  <c r="J539" i="1"/>
  <c r="J538" i="1" s="1"/>
  <c r="J537" i="1" s="1"/>
  <c r="J536" i="1" s="1"/>
  <c r="J535" i="1" s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L563" i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I3" i="1"/>
  <c r="I2" i="1"/>
  <c r="C4" i="3"/>
  <c r="C3" i="3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J19" i="1" l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J113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J106" i="1" l="1"/>
  <c r="J105" i="1" s="1"/>
  <c r="J15" i="1" s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L20" i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I19" i="2" s="1" a="1"/>
  <c r="I19" i="2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M22" i="3" l="1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H13" i="2" a="1"/>
  <c r="H13" i="2" s="1"/>
  <c r="I13" i="2" a="1"/>
  <c r="I13" i="2" s="1"/>
  <c r="G535" i="1"/>
  <c r="H535" i="1" s="1"/>
  <c r="G106" i="1"/>
  <c r="H106" i="1" s="1"/>
  <c r="G17" i="1"/>
  <c r="H17" i="1" s="1"/>
  <c r="L112" i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M11" i="3" l="1"/>
  <c r="G105" i="1"/>
  <c r="H105" i="1" s="1"/>
  <c r="G16" i="1"/>
  <c r="H16" i="1" s="1"/>
  <c r="L105" i="1"/>
  <c r="L104" i="1" s="1"/>
  <c r="L15" i="1" s="1"/>
  <c r="N112" i="1"/>
  <c r="N312" i="1"/>
  <c r="I21" i="2"/>
  <c r="M105" i="1"/>
  <c r="M104" i="1" s="1"/>
  <c r="M15" i="1" s="1"/>
  <c r="G15" i="1" l="1"/>
  <c r="N105" i="1"/>
  <c r="N104" i="1" s="1"/>
  <c r="N15" i="1" s="1"/>
  <c r="H14" i="2" l="1"/>
  <c r="C12" i="1" l="1"/>
  <c r="H11" i="2" l="1"/>
  <c r="E6" i="2"/>
  <c r="J19" i="2" l="1"/>
  <c r="J10" i="2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K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tc={EBAF6F54-481D-43DD-AB58-C69D89F70264}</author>
    <author>tc={DC936AAB-BDBB-45F2-B4AD-ED4DB01F7EB0}</author>
    <author>tc={09545D37-DB24-48A4-99AD-E881498B9CA0}</author>
    <author>tc={3F3C1E02-A07E-4590-8D61-5C6C48C79522}</author>
    <author>tc={6D3C3A31-33BC-46F8-88F1-31267F5B5A25}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tc={6A559469-0D19-45D0-9769-6BCBF8718963}</author>
  </authors>
  <commentList>
    <comment ref="C61" authorId="0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1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2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3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57" authorId="4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34" authorId="5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6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7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8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9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515" authorId="10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<sst xmlns="http://schemas.openxmlformats.org/spreadsheetml/2006/main" count="1988" uniqueCount="1036">
  <si>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</si>
  <si>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</si>
  <si>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</si>
  <si>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</si>
  <si>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</si>
  <si>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</si>
  <si>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</si>
  <si>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</si>
  <si>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</si>
  <si>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</si>
  <si>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</si>
  <si>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</si>
  <si>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</si>
  <si>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</si>
  <si>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</si>
  <si>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</si>
  <si>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</si>
  <si>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</si>
  <si>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</si>
  <si>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</si>
  <si>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</si>
  <si>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</si>
  <si>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</si>
  <si>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</si>
  <si>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</si>
  <si>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</si>
  <si>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</si>
  <si>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</si>
  <si>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</si>
  <si>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</si>
  <si>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</si>
  <si>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</si>
  <si>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</si>
  <si>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</si>
  <si>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</si>
  <si>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</si>
  <si>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</si>
  <si>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</si>
  <si>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</si>
  <si>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</si>
  <si>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</si>
  <si>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</si>
  <si>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</si>
  <si>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</si>
  <si>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</si>
  <si>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</si>
  <si>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</si>
  <si>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</si>
  <si>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</si>
  <si>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</si>
  <si>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</si>
  <si>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</si>
  <si>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</si>
  <si>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</si>
  <si>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</si>
  <si>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</si>
  <si>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</si>
  <si>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</si>
  <si>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</si>
  <si>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</si>
  <si>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</si>
  <si>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</si>
  <si>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</si>
  <si>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</si>
  <si>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</si>
  <si>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</si>
  <si>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</si>
  <si>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</si>
  <si>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</si>
  <si>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</si>
  <si>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</si>
  <si>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</si>
  <si>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</si>
  <si>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</si>
  <si>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</si>
  <si>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</si>
  <si>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</si>
  <si>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</si>
  <si>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</si>
  <si>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</si>
  <si>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</si>
  <si>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</si>
  <si>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</si>
  <si>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</si>
  <si>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</si>
  <si>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</si>
  <si>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</si>
  <si>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</si>
  <si>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</si>
  <si>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</si>
  <si>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</si>
  <si>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</si>
  <si>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</si>
  <si>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</si>
  <si>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</si>
  <si>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</si>
  <si>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</si>
  <si>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</si>
  <si>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</si>
  <si>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</si>
  <si>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</si>
  <si>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</si>
  <si>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</si>
  <si>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</si>
  <si>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</si>
  <si>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</si>
  <si>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</si>
  <si>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</si>
  <si>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</si>
  <si>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</si>
  <si>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</si>
  <si>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</si>
  <si>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</si>
  <si>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</si>
  <si>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</si>
  <si>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</si>
  <si>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</si>
  <si>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</si>
  <si>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</si>
  <si>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</si>
  <si>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</si>
  <si>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</si>
  <si>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</si>
  <si>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</si>
  <si>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</si>
  <si>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</si>
  <si>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</si>
  <si>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</si>
  <si>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</si>
  <si>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</si>
  <si>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</si>
  <si>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</si>
  <si>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</si>
  <si>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</si>
  <si>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</si>
  <si>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</si>
  <si>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</si>
  <si>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</si>
  <si>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</si>
  <si>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</si>
  <si>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</si>
  <si>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</si>
  <si>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</si>
  <si>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</si>
  <si>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</si>
  <si>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</si>
  <si>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</si>
  <si>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</si>
  <si>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</si>
  <si>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</si>
  <si>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</si>
  <si>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</si>
  <si>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</si>
  <si>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</si>
  <si>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</si>
  <si>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</si>
  <si>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</si>
  <si>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</si>
  <si>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</si>
  <si>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</si>
  <si>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</si>
  <si>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</si>
  <si>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</si>
  <si>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</si>
  <si>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</si>
  <si>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</si>
  <si>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</si>
  <si>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</si>
  <si>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</si>
  <si>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</si>
  <si>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</si>
  <si>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</si>
  <si>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</si>
  <si>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</si>
  <si>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</si>
  <si>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</si>
  <si>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</si>
  <si>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</si>
  <si>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</si>
  <si>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</si>
  <si>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</si>
  <si>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</si>
  <si>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</si>
  <si>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</si>
  <si>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</si>
  <si>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</si>
  <si>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</si>
  <si>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</si>
  <si>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</si>
  <si>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</si>
  <si>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</si>
  <si>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</si>
  <si>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</si>
  <si>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</si>
  <si>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</si>
  <si>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</si>
  <si>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</si>
  <si>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</si>
  <si>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</si>
  <si>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</si>
  <si>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</si>
  <si>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</si>
  <si>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</si>
  <si>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</si>
  <si>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</si>
  <si>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</si>
  <si>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</si>
  <si>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</si>
  <si>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</si>
  <si>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</si>
  <si>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</si>
  <si>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</si>
  <si>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</si>
  <si>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</si>
  <si>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</si>
  <si>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</si>
  <si>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</si>
  <si>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</si>
  <si>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</si>
  <si>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</si>
  <si>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</si>
  <si>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</si>
  <si>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</si>
  <si>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</si>
  <si>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</si>
  <si>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</si>
  <si>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</si>
  <si>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</si>
  <si>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</si>
  <si>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</si>
  <si>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</si>
  <si>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</si>
  <si>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</si>
  <si>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</si>
  <si>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</si>
  <si>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</si>
  <si>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</si>
  <si>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</si>
  <si>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</si>
  <si>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</si>
  <si>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</si>
  <si>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</si>
  <si>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</si>
  <si>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</si>
  <si>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</si>
  <si>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</si>
  <si>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</si>
  <si>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</si>
  <si>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</si>
  <si>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</si>
  <si>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</si>
  <si>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</si>
  <si>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</si>
  <si>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</si>
  <si>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</si>
  <si>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</si>
  <si>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</si>
  <si>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</si>
  <si>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</si>
  <si>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</si>
  <si>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</si>
  <si>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</si>
  <si>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</si>
  <si>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</si>
  <si>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</si>
  <si>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</si>
  <si>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</si>
  <si>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</si>
  <si>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</si>
  <si>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</si>
  <si>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</si>
  <si>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</si>
  <si>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</si>
  <si>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</si>
  <si>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</si>
  <si>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</si>
  <si>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</si>
  <si>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</si>
  <si>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</si>
  <si>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</si>
  <si>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</si>
  <si>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</si>
  <si>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</si>
  <si>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</si>
  <si>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</si>
  <si>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</si>
  <si>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</si>
  <si>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</si>
  <si>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</si>
  <si>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</si>
  <si>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</si>
  <si>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</si>
  <si>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</si>
  <si>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</si>
  <si>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</si>
  <si>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</si>
  <si>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</si>
  <si>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</si>
  <si>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</si>
  <si>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</si>
  <si>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</si>
  <si>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</si>
  <si>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</si>
  <si>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</si>
  <si>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</si>
  <si>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</si>
  <si>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</si>
  <si>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</si>
  <si>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</si>
  <si>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</si>
  <si>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</si>
  <si>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</si>
  <si>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</si>
  <si>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</si>
  <si>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</si>
  <si>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</si>
  <si>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</si>
  <si>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</si>
  <si>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</si>
  <si>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</si>
  <si>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</si>
  <si>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</si>
  <si>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</si>
  <si>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</si>
  <si>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</si>
  <si>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</si>
  <si>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</si>
  <si>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</si>
  <si>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</si>
  <si>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</si>
  <si>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</si>
  <si>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</si>
  <si>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</si>
  <si>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</si>
  <si>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</si>
  <si>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</si>
  <si>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</si>
  <si>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</si>
  <si>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</si>
  <si>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</si>
  <si>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</si>
  <si>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</si>
  <si>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</si>
  <si>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</si>
  <si>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</si>
  <si>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</si>
  <si>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</si>
  <si>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</si>
  <si>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</si>
  <si>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</si>
  <si>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</si>
  <si>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</si>
  <si>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</si>
  <si>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</si>
  <si>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</si>
  <si>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</si>
  <si>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</si>
  <si>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</si>
  <si>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</si>
  <si>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</si>
  <si>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</si>
  <si>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</si>
  <si>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</si>
  <si>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</si>
  <si>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</si>
  <si>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</si>
  <si>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</si>
  <si>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</si>
  <si>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</si>
  <si>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</si>
  <si>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</si>
  <si>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</si>
  <si>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</si>
  <si>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</si>
  <si>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</si>
  <si>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</si>
  <si>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</si>
  <si>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</si>
  <si>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</si>
  <si>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</si>
  <si>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</si>
  <si>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</si>
  <si>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</si>
  <si>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</si>
  <si>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</si>
  <si>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</si>
  <si>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</si>
  <si>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</si>
  <si>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</si>
  <si>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</si>
  <si>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</si>
  <si>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</si>
  <si>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</si>
  <si>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</si>
  <si>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</si>
  <si>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</si>
  <si>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</si>
  <si>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</si>
  <si>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</si>
  <si>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</si>
  <si>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</si>
  <si>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</si>
  <si>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</si>
  <si>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</si>
  <si>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</si>
  <si>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</si>
  <si>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</si>
  <si>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</si>
  <si>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</si>
  <si>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</si>
  <si>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</si>
  <si>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</si>
  <si>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</si>
  <si>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</si>
  <si>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</si>
  <si>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</si>
  <si>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</si>
  <si>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</si>
  <si>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</si>
  <si>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</si>
  <si>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</si>
  <si>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</si>
  <si>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</si>
  <si>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</si>
  <si>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</si>
  <si>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</si>
  <si>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</si>
  <si>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</si>
  <si>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</si>
  <si>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</si>
  <si>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</si>
  <si>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</si>
  <si>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</si>
  <si>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</si>
  <si>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</si>
  <si>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</si>
  <si>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</si>
  <si>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</si>
  <si>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</si>
  <si>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</si>
  <si>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</si>
  <si>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</si>
  <si>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</si>
  <si>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</si>
  <si>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</si>
  <si>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</si>
  <si>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</si>
  <si>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</si>
  <si>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</si>
  <si>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</si>
  <si>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</si>
  <si>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</si>
  <si>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</si>
  <si>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</si>
  <si>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</si>
  <si>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</si>
  <si>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</si>
  <si>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</si>
  <si>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</si>
  <si>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</si>
  <si>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</si>
  <si>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</si>
  <si>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</si>
  <si>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</si>
  <si>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</si>
  <si>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</si>
  <si>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</si>
  <si>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</si>
  <si>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</si>
  <si>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</si>
  <si>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</si>
  <si>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</si>
  <si>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</si>
  <si>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</si>
  <si>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</si>
  <si>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</si>
  <si>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</si>
  <si>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</si>
  <si>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</si>
  <si>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</si>
  <si>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</si>
  <si>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</si>
  <si>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</si>
  <si>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</si>
  <si>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</si>
  <si>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</si>
  <si>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</si>
  <si>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</si>
  <si>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</si>
  <si>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</si>
  <si>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</si>
  <si>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</si>
  <si>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</si>
  <si>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</si>
  <si>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</si>
  <si>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</si>
  <si>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</si>
  <si>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</si>
  <si>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</si>
  <si>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</si>
  <si>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</si>
  <si>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</si>
  <si>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</si>
  <si>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</si>
  <si>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</si>
  <si>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</si>
  <si>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</si>
  <si>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</si>
  <si>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</si>
  <si>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</si>
  <si>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</si>
  <si>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</si>
  <si>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</si>
  <si>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</si>
  <si>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</si>
  <si>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</si>
  <si>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</si>
  <si>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</si>
  <si>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</si>
  <si>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</si>
  <si>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</si>
  <si>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</si>
  <si>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</si>
  <si>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</si>
  <si>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</si>
  <si>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</si>
  <si>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</si>
  <si>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</si>
  <si>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</si>
  <si>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</si>
  <si>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</si>
  <si>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</si>
  <si>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</si>
  <si>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</si>
  <si>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</si>
  <si>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</si>
  <si>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</si>
  <si>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</si>
  <si>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</si>
  <si>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</si>
  <si>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</si>
  <si>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</si>
  <si>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</si>
  <si>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</si>
  <si>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</si>
  <si>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</si>
  <si>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</si>
  <si>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</si>
  <si>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</si>
  <si>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</si>
  <si>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</si>
  <si>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</si>
  <si>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</si>
  <si>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</si>
  <si>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</si>
  <si>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</si>
  <si>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</si>
  <si>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</si>
  <si>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</si>
  <si>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</si>
  <si>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</si>
  <si>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</si>
  <si>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</si>
  <si>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</si>
  <si>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</si>
  <si>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</si>
  <si>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</si>
  <si>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</si>
  <si>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</si>
  <si>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</si>
  <si>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</si>
  <si>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</si>
  <si>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</si>
  <si>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</si>
  <si>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</si>
  <si>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</si>
  <si>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</si>
  <si>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</si>
  <si>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</si>
  <si>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</si>
  <si>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</si>
  <si>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</si>
  <si>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</si>
  <si>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</si>
  <si>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</si>
  <si>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</si>
  <si>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</si>
  <si>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</si>
  <si>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</si>
  <si>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</si>
  <si>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</si>
  <si>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</si>
  <si>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</si>
  <si>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</si>
  <si>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</si>
  <si>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</si>
  <si>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</si>
  <si>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</si>
  <si>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</si>
  <si>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</si>
  <si>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</si>
  <si>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</si>
  <si>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</si>
  <si>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</si>
  <si>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</si>
  <si>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</si>
  <si>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</si>
  <si>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</si>
  <si>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</si>
  <si>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</si>
  <si>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</si>
  <si>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</si>
  <si>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</si>
  <si>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</si>
  <si>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</si>
  <si>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</si>
  <si>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</si>
  <si>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</si>
  <si>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</si>
  <si>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</si>
  <si>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</si>
  <si>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</si>
  <si>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</si>
  <si>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</si>
  <si>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</si>
  <si>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</si>
  <si>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</si>
  <si>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</si>
  <si>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</si>
  <si>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</si>
  <si>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</si>
  <si>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</si>
  <si>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</si>
  <si>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</si>
  <si>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</si>
  <si>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</si>
  <si>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</si>
  <si>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</si>
  <si>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</si>
  <si>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</si>
  <si>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</si>
  <si>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</si>
  <si>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</si>
  <si>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</si>
  <si>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</si>
  <si>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</si>
  <si>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</si>
  <si>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</si>
  <si>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</si>
  <si>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</si>
  <si>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</si>
  <si>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</si>
  <si>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</si>
  <si>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</si>
  <si>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</si>
  <si>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</si>
  <si>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</si>
  <si>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</si>
  <si>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</si>
  <si>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</si>
  <si>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</si>
  <si>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</si>
  <si>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</si>
  <si>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</si>
  <si>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</si>
  <si>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</si>
  <si>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</si>
  <si>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</si>
  <si>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</si>
  <si>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</si>
  <si>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</si>
  <si>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</si>
  <si>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</si>
  <si>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</si>
  <si>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</si>
  <si>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</si>
  <si>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</si>
  <si>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</si>
  <si>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</si>
  <si>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</si>
  <si>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</si>
  <si>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</si>
  <si>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</si>
  <si>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</si>
  <si>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</si>
  <si>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</si>
  <si>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</si>
  <si>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</si>
  <si>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</si>
  <si>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</si>
  <si>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</si>
  <si>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</si>
  <si>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</si>
  <si>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</si>
  <si>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</si>
  <si>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</si>
  <si>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</si>
  <si>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</si>
  <si>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</si>
  <si>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</si>
  <si>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</si>
  <si>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</si>
  <si>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</si>
  <si>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</si>
  <si>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</si>
  <si>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</si>
  <si>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</si>
  <si>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</si>
  <si>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</si>
  <si>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</si>
  <si>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</si>
  <si>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</si>
  <si>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</si>
  <si>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</si>
  <si>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</si>
  <si>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</si>
  <si>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</si>
  <si>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</si>
  <si>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</si>
  <si>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</si>
  <si>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</si>
  <si>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</si>
  <si>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</si>
  <si>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</si>
  <si>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</si>
  <si>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</si>
  <si>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</si>
  <si>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</si>
  <si>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</si>
  <si>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</si>
  <si>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</si>
  <si>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</si>
  <si>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</si>
  <si>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</si>
  <si>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</si>
  <si>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</si>
  <si>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</si>
  <si>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</si>
  <si>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</si>
  <si>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</si>
  <si>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</si>
  <si>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</si>
  <si>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</si>
  <si>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</si>
  <si>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</si>
  <si>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</si>
  <si>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</si>
  <si>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</si>
  <si>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</si>
  <si>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</si>
  <si>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</si>
  <si>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</si>
  <si>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</si>
  <si>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</si>
  <si>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</si>
  <si>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</si>
  <si>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</si>
  <si>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</si>
  <si>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</si>
  <si>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</si>
  <si>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</si>
  <si>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</si>
  <si>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</si>
  <si>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</si>
  <si>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</si>
  <si>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</si>
  <si>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</si>
  <si>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</si>
  <si>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</si>
  <si>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</si>
  <si>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</si>
  <si>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</si>
  <si>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</si>
  <si>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</si>
  <si>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</si>
  <si>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</si>
  <si>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</si>
  <si>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</si>
  <si>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</si>
  <si>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</si>
  <si>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</si>
  <si>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</si>
  <si>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</si>
  <si>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</si>
  <si>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</si>
  <si>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</si>
  <si>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</si>
  <si>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</si>
  <si>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</si>
  <si>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</si>
  <si>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</si>
  <si>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</si>
  <si>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</si>
  <si>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</si>
  <si>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</si>
  <si>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</si>
  <si>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</si>
  <si>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</si>
  <si>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</si>
  <si>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</si>
  <si>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</si>
  <si>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</si>
  <si>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</si>
  <si>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</si>
  <si>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</si>
  <si>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</si>
  <si>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</si>
  <si>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</si>
  <si>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</si>
  <si>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</si>
  <si>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</si>
  <si>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</si>
  <si>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</si>
  <si>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</si>
  <si>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</si>
  <si>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</si>
  <si>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</si>
  <si>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</si>
  <si>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</si>
  <si>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</si>
  <si>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</si>
  <si>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</si>
  <si>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</si>
  <si>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</si>
  <si>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</si>
  <si>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</si>
  <si>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</si>
  <si>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</si>
  <si>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</si>
  <si>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</si>
  <si>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</si>
  <si>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</si>
  <si>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</si>
  <si>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</si>
  <si>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</si>
  <si>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</si>
  <si>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</si>
  <si>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</si>
  <si>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</si>
  <si>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</si>
  <si>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</si>
  <si>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</si>
  <si>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</si>
  <si>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</si>
  <si>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</si>
  <si>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</si>
  <si>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</si>
  <si>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</si>
  <si>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</si>
  <si>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</si>
  <si>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</si>
  <si>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</si>
  <si>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</si>
  <si>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</si>
  <si>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</si>
  <si>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</si>
  <si>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</si>
  <si>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</si>
  <si>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</si>
  <si>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</si>
  <si>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</si>
  <si>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</si>
  <si>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</si>
  <si>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</si>
  <si>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</si>
  <si>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</si>
  <si>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</si>
  <si>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</si>
  <si>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</si>
  <si>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</si>
  <si>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</si>
  <si>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</si>
  <si>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</si>
  <si>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</si>
  <si>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</si>
  <si>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</si>
  <si>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</si>
  <si>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</si>
  <si>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</si>
  <si>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</si>
  <si>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</si>
  <si>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</si>
  <si>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</si>
  <si>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</si>
  <si>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</si>
  <si>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</si>
  <si>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</si>
  <si>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</si>
  <si>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</si>
  <si>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</si>
  <si>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</si>
  <si>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</si>
  <si>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</si>
  <si>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</si>
  <si>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</si>
  <si>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</si>
  <si>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</si>
  <si>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</si>
  <si>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</si>
  <si>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</si>
  <si>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</si>
  <si>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</si>
  <si>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</si>
  <si>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</si>
  <si>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</si>
  <si>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</si>
  <si>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</si>
  <si>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</si>
  <si>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</si>
  <si>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</si>
  <si>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</si>
  <si>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</si>
  <si>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</si>
  <si>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</si>
  <si>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</si>
  <si>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</si>
  <si>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</si>
  <si>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</si>
  <si>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</si>
  <si>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</si>
  <si>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</si>
  <si>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</si>
  <si>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</si>
  <si>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</si>
  <si>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</si>
  <si>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</si>
  <si>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</si>
  <si>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</si>
  <si>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</si>
  <si>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</si>
  <si>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</si>
  <si>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Disetujui 
Ses BRSDM KP</t>
  </si>
  <si>
    <t>SPJ TUP Nihil</t>
  </si>
  <si>
    <t>Sisa TUP 1</t>
  </si>
  <si>
    <t>Realisasi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</si>
  <si>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</si>
  <si>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</si>
  <si>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</si>
  <si>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</si>
  <si>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</si>
  <si>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</si>
  <si>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</si>
  <si>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TUP 3
(Disetujui Ses BRSDM KP)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</si>
  <si>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</si>
  <si>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</si>
  <si>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</si>
  <si>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</si>
  <si>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</si>
  <si>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</si>
  <si>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</si>
  <si>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</si>
  <si>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</si>
  <si>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</si>
  <si>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</si>
  <si>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</si>
  <si>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</si>
  <si>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</si>
  <si>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</si>
  <si>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</si>
  <si>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</si>
  <si>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</si>
  <si>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</si>
  <si>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</si>
  <si>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</si>
  <si>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</si>
  <si>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</si>
  <si>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</si>
  <si>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</si>
  <si>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</si>
  <si>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</si>
  <si>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</si>
  <si>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</si>
  <si>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</si>
  <si>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</si>
  <si>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</si>
  <si>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</si>
  <si>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</si>
  <si>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</si>
  <si>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</si>
  <si>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</si>
  <si>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</si>
  <si>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</si>
  <si>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</si>
  <si>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</si>
  <si>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</si>
  <si>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</si>
  <si>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</si>
  <si>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</si>
  <si>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</si>
  <si>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</si>
  <si>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</si>
  <si>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</si>
  <si>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</si>
  <si>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</si>
  <si>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</si>
  <si>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</si>
  <si>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</si>
  <si>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</si>
  <si>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</si>
  <si>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</si>
  <si>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</si>
  <si>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</si>
  <si>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</si>
  <si>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</si>
  <si>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</si>
  <si>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</si>
  <si>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</si>
  <si>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</si>
  <si>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</si>
  <si>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</si>
  <si>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</si>
  <si>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</si>
  <si>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</si>
  <si>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</si>
  <si>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</si>
  <si>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</si>
  <si>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</si>
  <si>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</si>
  <si>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</si>
  <si>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</si>
  <si>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</si>
  <si>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</si>
  <si>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</si>
  <si>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</si>
  <si>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</si>
  <si>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       /BRSDM.4/KU.220/VI/2023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</si>
  <si>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</si>
  <si>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</si>
  <si>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</si>
  <si>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</si>
  <si>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</si>
  <si>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</si>
  <si>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</si>
  <si>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</si>
  <si>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</si>
  <si>
    <t>: 20 Juni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</si>
</sst>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16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41" fontId="30" fillId="0" borderId="13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0" fillId="0" borderId="13" xfId="0" applyFont="1" applyBorder="1"/>
    <xf numFmtId="0" fontId="30" fillId="0" borderId="15" xfId="0" applyFont="1" applyBorder="1"/>
    <xf numFmtId="0" fontId="30" fillId="0" borderId="13" xfId="0" applyFont="1" applyBorder="1" applyAlignment="1">
      <alignment horizontal="center"/>
    </xf>
    <xf numFmtId="0" fontId="30" fillId="9" borderId="11" xfId="0" applyFont="1" applyFill="1" applyBorder="1" applyAlignment="1">
      <alignment horizontal="centerContinuous"/>
    </xf>
    <xf numFmtId="0" fontId="30" fillId="9" borderId="16" xfId="0" applyFont="1" applyFill="1" applyBorder="1" applyAlignment="1">
      <alignment horizontal="centerContinuous"/>
    </xf>
    <xf numFmtId="41" fontId="30" fillId="9" borderId="6" xfId="0" applyNumberFormat="1" applyFont="1" applyFill="1" applyBorder="1"/>
    <xf numFmtId="0" fontId="30" fillId="0" borderId="6" xfId="0" applyFont="1" applyBorder="1" applyAlignment="1">
      <alignment horizontal="center"/>
    </xf>
    <xf numFmtId="0" fontId="30" fillId="9" borderId="6" xfId="0" applyFont="1" applyFill="1" applyBorder="1" applyAlignment="1">
      <alignment horizontal="centerContinuous"/>
    </xf>
    <xf numFmtId="41" fontId="30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30" fillId="0" borderId="14" xfId="0" applyFont="1" applyBorder="1"/>
    <xf numFmtId="41" fontId="30" fillId="0" borderId="15" xfId="0" applyNumberFormat="1" applyFont="1" applyBorder="1"/>
    <xf numFmtId="10" fontId="4" fillId="0" borderId="0" xfId="5" applyNumberFormat="1" applyFont="1"/>
    <xf numFmtId="0" fontId="30" fillId="0" borderId="0" xfId="0" applyFont="1" applyAlignment="1">
      <alignment horizontal="center"/>
    </xf>
    <xf numFmtId="0" fontId="30" fillId="9" borderId="11" xfId="0" applyFont="1" applyFill="1" applyBorder="1" applyAlignment="1">
      <alignment horizontal="left" indent="16"/>
    </xf>
    <xf numFmtId="0" fontId="30" fillId="0" borderId="28" xfId="0" applyFont="1" applyBorder="1" applyAlignment="1">
      <alignment horizontal="center"/>
    </xf>
    <xf numFmtId="0" fontId="30" fillId="9" borderId="16" xfId="0" applyFont="1" applyFill="1" applyBorder="1" applyAlignment="1">
      <alignment horizontal="left" indent="16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11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4</xdr:col>
          <xdr:colOff>647700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596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571500</xdr:colOff>
          <xdr:row>35</xdr:row>
          <xdr:rowOff>57150</xdr:rowOff>
        </xdr:from>
        <xdr:to>
          <xdr:col>10</xdr:col>
          <xdr:colOff>1183901</xdr:colOff>
          <xdr:row>39</xdr:row>
          <xdr:rowOff>3810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59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715375" y="67627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132228</xdr:colOff>
          <xdr:row>38</xdr:row>
          <xdr:rowOff>154641</xdr:rowOff>
        </xdr:from>
        <xdr:to>
          <xdr:col>6</xdr:col>
          <xdr:colOff>437028</xdr:colOff>
          <xdr:row>42</xdr:row>
          <xdr:rowOff>63201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19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26640" y="8312523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490370</xdr:colOff>
      <xdr:row>585</xdr:row>
      <xdr:rowOff>10420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358588</xdr:colOff>
          <xdr:row>612</xdr:row>
          <xdr:rowOff>44827</xdr:rowOff>
        </xdr:from>
        <xdr:to>
          <xdr:col>19</xdr:col>
          <xdr:colOff>134469</xdr:colOff>
          <xdr:row>624</xdr:row>
          <xdr:rowOff>78445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286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r="1880" b="3964"/>
            <a:stretch>
              <a:fillRect/>
            </a:stretch>
          </xdr:blipFill>
          <xdr:spPr bwMode="auto">
            <a:xfrm>
              <a:off x="11172264" y="39579180"/>
              <a:ext cx="6432177" cy="2185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493058</xdr:colOff>
          <xdr:row>608</xdr:row>
          <xdr:rowOff>6913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287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23288180000</v>
          </cell>
          <cell r="C16">
            <v>9002310889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8499324882</v>
          </cell>
        </row>
        <row r="107">
          <cell r="B107">
            <v>13788180000</v>
          </cell>
          <cell r="C107">
            <v>5410586274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4454436133</v>
          </cell>
        </row>
        <row r="115">
          <cell r="B115">
            <v>210809000</v>
          </cell>
          <cell r="C115">
            <v>20470542</v>
          </cell>
        </row>
        <row r="116">
          <cell r="B116">
            <v>210809000</v>
          </cell>
          <cell r="C116">
            <v>20470542</v>
          </cell>
        </row>
        <row r="117">
          <cell r="B117">
            <v>147749000</v>
          </cell>
          <cell r="C117">
            <v>20470542</v>
          </cell>
        </row>
        <row r="118">
          <cell r="B118">
            <v>19500000</v>
          </cell>
          <cell r="C118">
            <v>9534950</v>
          </cell>
        </row>
        <row r="119">
          <cell r="B119">
            <v>7500000</v>
          </cell>
          <cell r="C119">
            <v>1740000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422228742</v>
          </cell>
        </row>
        <row r="138">
          <cell r="B138">
            <v>1252086000</v>
          </cell>
          <cell r="C138">
            <v>422228742</v>
          </cell>
        </row>
        <row r="139">
          <cell r="B139">
            <v>61900000</v>
          </cell>
          <cell r="C139">
            <v>28785195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22892345</v>
          </cell>
        </row>
        <row r="146">
          <cell r="B146">
            <v>44800000</v>
          </cell>
          <cell r="C146">
            <v>22892345</v>
          </cell>
        </row>
        <row r="147">
          <cell r="B147">
            <v>2100000</v>
          </cell>
          <cell r="C147">
            <v>900000</v>
          </cell>
        </row>
        <row r="148">
          <cell r="B148">
            <v>2100000</v>
          </cell>
          <cell r="C148">
            <v>900000</v>
          </cell>
        </row>
        <row r="149">
          <cell r="B149">
            <v>498618000</v>
          </cell>
          <cell r="C149">
            <v>172390817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167467817</v>
          </cell>
        </row>
        <row r="156">
          <cell r="B156">
            <v>420992000</v>
          </cell>
          <cell r="C156">
            <v>102643742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23028470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11694670</v>
          </cell>
        </row>
        <row r="167">
          <cell r="B167">
            <v>38000000</v>
          </cell>
          <cell r="C167">
            <v>11694670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19375585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8711185</v>
          </cell>
        </row>
        <row r="178">
          <cell r="B178">
            <v>40000000</v>
          </cell>
          <cell r="C178">
            <v>8711185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28830205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16912505</v>
          </cell>
        </row>
        <row r="191">
          <cell r="B191">
            <v>34000000</v>
          </cell>
          <cell r="C191">
            <v>16912505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50042000</v>
          </cell>
          <cell r="C195">
            <v>46821957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2129837</v>
          </cell>
        </row>
        <row r="202">
          <cell r="B202">
            <v>3000000</v>
          </cell>
          <cell r="C202">
            <v>2129837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18042000</v>
          </cell>
          <cell r="C205">
            <v>18480420</v>
          </cell>
        </row>
        <row r="206">
          <cell r="B206">
            <v>18042000</v>
          </cell>
          <cell r="C206">
            <v>18480420</v>
          </cell>
        </row>
        <row r="207">
          <cell r="B207">
            <v>99334000</v>
          </cell>
          <cell r="C207">
            <v>47781358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910448</v>
          </cell>
        </row>
        <row r="214">
          <cell r="B214">
            <v>3000000</v>
          </cell>
          <cell r="C214">
            <v>910448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55215155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50945155</v>
          </cell>
        </row>
        <row r="225">
          <cell r="B225">
            <v>116054000</v>
          </cell>
          <cell r="C225">
            <v>50945155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72788000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5000000</v>
          </cell>
          <cell r="C240">
            <v>0</v>
          </cell>
        </row>
        <row r="241">
          <cell r="B241">
            <v>5000000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4011736849</v>
          </cell>
        </row>
        <row r="247">
          <cell r="B247">
            <v>7036020000</v>
          </cell>
          <cell r="C247">
            <v>3242171983</v>
          </cell>
        </row>
        <row r="248">
          <cell r="B248">
            <v>7036020000</v>
          </cell>
          <cell r="C248">
            <v>3242171983</v>
          </cell>
        </row>
        <row r="249">
          <cell r="B249">
            <v>2390272000</v>
          </cell>
          <cell r="C249">
            <v>1316693500</v>
          </cell>
        </row>
        <row r="250">
          <cell r="B250">
            <v>2390272000</v>
          </cell>
          <cell r="C250">
            <v>1316693500</v>
          </cell>
        </row>
        <row r="251">
          <cell r="B251">
            <v>109000</v>
          </cell>
          <cell r="C251">
            <v>20865</v>
          </cell>
        </row>
        <row r="252">
          <cell r="B252">
            <v>109000</v>
          </cell>
          <cell r="C252">
            <v>20865</v>
          </cell>
        </row>
        <row r="253">
          <cell r="B253">
            <v>163168000</v>
          </cell>
          <cell r="C253">
            <v>86453990</v>
          </cell>
        </row>
        <row r="254">
          <cell r="B254">
            <v>163168000</v>
          </cell>
          <cell r="C254">
            <v>86453990</v>
          </cell>
        </row>
        <row r="255">
          <cell r="B255">
            <v>57444000</v>
          </cell>
          <cell r="C255">
            <v>26499496</v>
          </cell>
        </row>
        <row r="256">
          <cell r="B256">
            <v>57444000</v>
          </cell>
          <cell r="C256">
            <v>26499496</v>
          </cell>
        </row>
        <row r="257">
          <cell r="B257">
            <v>136220000</v>
          </cell>
          <cell r="C257">
            <v>46160000</v>
          </cell>
        </row>
        <row r="258">
          <cell r="B258">
            <v>136220000</v>
          </cell>
          <cell r="C258">
            <v>46160000</v>
          </cell>
        </row>
        <row r="259">
          <cell r="B259">
            <v>198366000</v>
          </cell>
          <cell r="C259">
            <v>165140000</v>
          </cell>
        </row>
        <row r="260">
          <cell r="B260">
            <v>198366000</v>
          </cell>
          <cell r="C260">
            <v>165140000</v>
          </cell>
        </row>
        <row r="261">
          <cell r="B261">
            <v>13346000</v>
          </cell>
          <cell r="C261">
            <v>7850621</v>
          </cell>
        </row>
        <row r="262">
          <cell r="B262">
            <v>13346000</v>
          </cell>
          <cell r="C262">
            <v>7850621</v>
          </cell>
        </row>
        <row r="263">
          <cell r="B263">
            <v>113636000</v>
          </cell>
          <cell r="C263">
            <v>69668040</v>
          </cell>
        </row>
        <row r="264">
          <cell r="B264">
            <v>113636000</v>
          </cell>
          <cell r="C264">
            <v>69668040</v>
          </cell>
        </row>
        <row r="265">
          <cell r="B265">
            <v>451220000</v>
          </cell>
          <cell r="C265">
            <v>103486000</v>
          </cell>
        </row>
        <row r="266">
          <cell r="B266">
            <v>451220000</v>
          </cell>
          <cell r="C266">
            <v>103486000</v>
          </cell>
        </row>
        <row r="267">
          <cell r="B267">
            <v>81480000</v>
          </cell>
          <cell r="C267">
            <v>39885000</v>
          </cell>
        </row>
        <row r="268">
          <cell r="B268">
            <v>81480000</v>
          </cell>
          <cell r="C268">
            <v>39885000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1375899471</v>
          </cell>
        </row>
        <row r="272">
          <cell r="B272">
            <v>3257727000</v>
          </cell>
          <cell r="C272">
            <v>1375899471</v>
          </cell>
        </row>
        <row r="273">
          <cell r="B273">
            <v>2195658000</v>
          </cell>
          <cell r="C273">
            <v>769564866</v>
          </cell>
        </row>
        <row r="274">
          <cell r="B274">
            <v>1528900000</v>
          </cell>
          <cell r="C274">
            <v>549973466</v>
          </cell>
        </row>
        <row r="275">
          <cell r="B275">
            <v>1252040000</v>
          </cell>
          <cell r="C275">
            <v>474027416</v>
          </cell>
        </row>
        <row r="276">
          <cell r="B276">
            <v>89250000</v>
          </cell>
          <cell r="C276">
            <v>24721200</v>
          </cell>
        </row>
        <row r="277">
          <cell r="B277">
            <v>63386000</v>
          </cell>
          <cell r="C277">
            <v>10072000</v>
          </cell>
        </row>
        <row r="278">
          <cell r="B278">
            <v>795600000</v>
          </cell>
          <cell r="C278">
            <v>372304000</v>
          </cell>
        </row>
        <row r="279">
          <cell r="B279">
            <v>72800000</v>
          </cell>
          <cell r="C279">
            <v>33600000</v>
          </cell>
        </row>
        <row r="280">
          <cell r="B280">
            <v>4800000</v>
          </cell>
          <cell r="C280">
            <v>1442880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4593336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66084500</v>
          </cell>
        </row>
        <row r="288">
          <cell r="B288">
            <v>48000000</v>
          </cell>
          <cell r="C288">
            <v>16957000</v>
          </cell>
        </row>
        <row r="289">
          <cell r="B289">
            <v>72000000</v>
          </cell>
          <cell r="C289">
            <v>23827500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72609000</v>
          </cell>
        </row>
        <row r="298">
          <cell r="B298">
            <v>9000000</v>
          </cell>
          <cell r="C298">
            <v>2809000</v>
          </cell>
        </row>
        <row r="299">
          <cell r="B299">
            <v>9000000</v>
          </cell>
          <cell r="C299">
            <v>2809000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53030400</v>
          </cell>
        </row>
        <row r="304">
          <cell r="B304">
            <v>374362000</v>
          </cell>
          <cell r="C304">
            <v>44116400</v>
          </cell>
        </row>
        <row r="305">
          <cell r="B305">
            <v>38730000</v>
          </cell>
          <cell r="C305">
            <v>6000000</v>
          </cell>
        </row>
        <row r="306">
          <cell r="B306">
            <v>175000000</v>
          </cell>
          <cell r="C306">
            <v>21588000</v>
          </cell>
        </row>
        <row r="307">
          <cell r="B307">
            <v>18200000</v>
          </cell>
          <cell r="C307">
            <v>4003400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8914000</v>
          </cell>
        </row>
        <row r="315">
          <cell r="B315">
            <v>36000000</v>
          </cell>
          <cell r="C315">
            <v>8914000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769160141</v>
          </cell>
        </row>
        <row r="337">
          <cell r="B337">
            <v>1314322000</v>
          </cell>
          <cell r="C337">
            <v>477080034</v>
          </cell>
        </row>
        <row r="338">
          <cell r="B338">
            <v>1314322000</v>
          </cell>
          <cell r="C338">
            <v>477080034</v>
          </cell>
        </row>
        <row r="339">
          <cell r="B339">
            <v>116572000</v>
          </cell>
          <cell r="C339">
            <v>15996664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2370000</v>
          </cell>
        </row>
        <row r="349">
          <cell r="B349">
            <v>56822000</v>
          </cell>
          <cell r="C349">
            <v>2370000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13106950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3133000</v>
          </cell>
        </row>
        <row r="391">
          <cell r="B391">
            <v>135937000</v>
          </cell>
          <cell r="C391">
            <v>3133000</v>
          </cell>
        </row>
        <row r="392">
          <cell r="B392">
            <v>623614000</v>
          </cell>
          <cell r="C392">
            <v>377322946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64517746</v>
          </cell>
        </row>
        <row r="403">
          <cell r="B403">
            <v>90000000</v>
          </cell>
          <cell r="C403">
            <v>64517746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153184257</v>
          </cell>
        </row>
        <row r="408">
          <cell r="B408">
            <v>646853000</v>
          </cell>
          <cell r="C408">
            <v>117218557</v>
          </cell>
        </row>
        <row r="409">
          <cell r="B409">
            <v>150075000</v>
          </cell>
          <cell r="C409">
            <v>57222125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52423705</v>
          </cell>
        </row>
        <row r="419">
          <cell r="B419">
            <v>109075000</v>
          </cell>
          <cell r="C419">
            <v>52423705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0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0</v>
          </cell>
        </row>
        <row r="442">
          <cell r="B442">
            <v>1000000</v>
          </cell>
          <cell r="C442">
            <v>0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138895850</v>
          </cell>
        </row>
        <row r="456">
          <cell r="B456">
            <v>568121000</v>
          </cell>
          <cell r="C456">
            <v>138895850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16094100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6420000</v>
          </cell>
        </row>
        <row r="474">
          <cell r="B474">
            <v>26250000</v>
          </cell>
          <cell r="C474">
            <v>6420000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27385500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16348500</v>
          </cell>
        </row>
        <row r="485">
          <cell r="B485">
            <v>43750000</v>
          </cell>
          <cell r="C485">
            <v>16348500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12210000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4280000</v>
          </cell>
        </row>
        <row r="495">
          <cell r="B495">
            <v>42758000</v>
          </cell>
          <cell r="C495">
            <v>4280000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3088738608</v>
          </cell>
        </row>
        <row r="537">
          <cell r="B537">
            <v>8500000000</v>
          </cell>
          <cell r="C537">
            <v>3088738608</v>
          </cell>
        </row>
        <row r="538">
          <cell r="B538">
            <v>8500000000</v>
          </cell>
          <cell r="C538">
            <v>3088738608</v>
          </cell>
        </row>
        <row r="539">
          <cell r="B539">
            <v>8408830000</v>
          </cell>
          <cell r="C539">
            <v>3077053108</v>
          </cell>
        </row>
        <row r="540">
          <cell r="B540">
            <v>2523377000</v>
          </cell>
          <cell r="C540">
            <v>8339950</v>
          </cell>
        </row>
        <row r="541">
          <cell r="B541">
            <v>129600000</v>
          </cell>
          <cell r="C541">
            <v>8339950</v>
          </cell>
        </row>
        <row r="542">
          <cell r="B542">
            <v>28000000</v>
          </cell>
          <cell r="C542">
            <v>506000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0</v>
          </cell>
        </row>
        <row r="556">
          <cell r="B556">
            <v>110000000</v>
          </cell>
          <cell r="C556">
            <v>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3056942708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2980710248</v>
          </cell>
        </row>
        <row r="567">
          <cell r="B567">
            <v>5256842000</v>
          </cell>
          <cell r="C567">
            <v>2980710248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7.646508912039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9035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8000000"/>
    <n v="0"/>
  </r>
  <r>
    <x v="0"/>
    <x v="2"/>
    <n v="69142000"/>
    <n v="0"/>
  </r>
  <r>
    <x v="0"/>
    <x v="3"/>
    <n v="2500000"/>
    <n v="0"/>
  </r>
  <r>
    <x v="1"/>
    <x v="0"/>
    <n v="15000000"/>
    <n v="0"/>
  </r>
  <r>
    <x v="1"/>
    <x v="2"/>
    <n v="9035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71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35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117">
      <pivotArea field="0" type="button" dataOnly="0" labelOnly="1" outline="0" axis="axisRow" fieldPosition="0"/>
    </format>
    <format dxfId="116">
      <pivotArea field="1" type="button" dataOnly="0" labelOnly="1" outline="0" axis="axisRow" fieldPosition="1"/>
    </format>
    <format dxfId="115">
      <pivotArea dataOnly="0" labelOnly="1" outline="0" axis="axisValues" fieldPosition="0"/>
    </format>
    <format dxfId="11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1">
      <pivotArea dataOnly="0" labelOnly="1" grandRow="1" outline="0" fieldPosition="0"/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0" type="button" dataOnly="0" labelOnly="1" outline="0" axis="axisRow" fieldPosition="0"/>
    </format>
    <format dxfId="107">
      <pivotArea field="1" type="button" dataOnly="0" labelOnly="1" outline="0" axis="axisRow" fieldPosition="1"/>
    </format>
    <format dxfId="106">
      <pivotArea dataOnly="0" labelOnly="1" outline="0" fieldPosition="0">
        <references count="1">
          <reference field="0" count="0"/>
        </references>
      </pivotArea>
    </format>
    <format dxfId="105">
      <pivotArea dataOnly="0" labelOnly="1" outline="0" fieldPosition="0">
        <references count="1">
          <reference field="0" count="0" defaultSubtotal="1"/>
        </references>
      </pivotArea>
    </format>
    <format dxfId="104">
      <pivotArea dataOnly="0" labelOnly="1" grandRow="1" outline="0" fieldPosition="0"/>
    </format>
    <format dxfId="10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1">
      <pivotArea dataOnly="0" labelOnly="1" outline="0" axis="axisValues" fieldPosition="0"/>
    </format>
    <format dxfId="100">
      <pivotArea dataOnly="0" labelOnly="1" outline="0" fieldPosition="0">
        <references count="1">
          <reference field="1" count="0"/>
        </references>
      </pivotArea>
    </format>
    <format dxfId="99">
      <pivotArea outline="0" fieldPosition="0">
        <references count="1">
          <reference field="4294967294" count="1">
            <x v="0"/>
          </reference>
        </references>
      </pivotArea>
    </format>
    <format dxfId="98">
      <pivotArea outline="0" fieldPosition="0">
        <references count="1">
          <reference field="0" count="1" selected="0" defaultSubtotal="1">
            <x v="2"/>
          </reference>
        </references>
      </pivotArea>
    </format>
    <format dxfId="97">
      <pivotArea outline="0" fieldPosition="0">
        <references count="1">
          <reference field="0" count="1" selected="0" defaultSubtotal="1">
            <x v="1"/>
          </reference>
        </references>
      </pivotArea>
    </format>
    <format dxfId="96">
      <pivotArea outline="0" fieldPosition="0">
        <references count="1">
          <reference field="0" count="1" selected="0" defaultSubtotal="1">
            <x v="0"/>
          </reference>
        </references>
      </pivotArea>
    </format>
    <format dxfId="95">
      <pivotArea outline="0" fieldPosition="0">
        <references count="1">
          <reference field="0" count="1" selected="0" defaultSubtotal="1">
            <x v="0"/>
          </reference>
        </references>
      </pivotArea>
    </format>
    <format dxfId="94">
      <pivotArea outline="0" fieldPosition="0">
        <references count="1">
          <reference field="0" count="1" selected="0" defaultSubtotal="1">
            <x v="0"/>
          </reference>
        </references>
      </pivotArea>
    </format>
    <format dxfId="9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90">
      <pivotArea outline="0" fieldPosition="0">
        <references count="1">
          <reference field="0" count="0" selected="0" defaultSubtotal="1"/>
        </references>
      </pivotArea>
    </format>
    <format dxfId="89">
      <pivotArea dataOnly="0" labelOnly="1" outline="0" fieldPosition="0">
        <references count="1">
          <reference field="0" count="0" defaultSubtotal="1"/>
        </references>
      </pivotArea>
    </format>
    <format dxfId="8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3">
      <pivotArea outline="0" fieldPosition="0">
        <references count="1">
          <reference field="0" count="1" selected="0" defaultSubtotal="1">
            <x v="0"/>
          </reference>
        </references>
      </pivotArea>
    </format>
    <format dxfId="82">
      <pivotArea outline="0" fieldPosition="0">
        <references count="1">
          <reference field="0" count="1" selected="0" defaultSubtotal="1">
            <x v="1"/>
          </reference>
        </references>
      </pivotArea>
    </format>
    <format dxfId="81">
      <pivotArea outline="0" fieldPosition="0">
        <references count="1">
          <reference field="0" count="1" selected="0" defaultSubtotal="1">
            <x v="2"/>
          </reference>
        </references>
      </pivotArea>
    </format>
    <format dxfId="80">
      <pivotArea grandRow="1" outline="0" collapsedLevelsAreSubtotals="1" fieldPosition="0"/>
    </format>
    <format dxfId="79">
      <pivotArea outline="0" fieldPosition="0">
        <references count="1">
          <reference field="0" count="1" selected="0" defaultSubtotal="1">
            <x v="1"/>
          </reference>
        </references>
      </pivotArea>
    </format>
    <format dxfId="78">
      <pivotArea outline="0" fieldPosition="0">
        <references count="1">
          <reference field="0" count="1" selected="0" defaultSubtotal="1">
            <x v="2"/>
          </reference>
        </references>
      </pivotArea>
    </format>
    <format dxfId="77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5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0" type="button" dataOnly="0" labelOnly="1" outline="0" axis="axisRow" fieldPosition="0"/>
    </format>
    <format dxfId="71">
      <pivotArea field="1" type="button" dataOnly="0" labelOnly="1" outline="0" axis="axisRow" fieldPosition="1"/>
    </format>
    <format dxfId="70">
      <pivotArea dataOnly="0" labelOnly="1" outline="0" fieldPosition="0">
        <references count="1">
          <reference field="0" count="0"/>
        </references>
      </pivotArea>
    </format>
    <format dxfId="69">
      <pivotArea dataOnly="0" labelOnly="1" outline="0" fieldPosition="0">
        <references count="1">
          <reference field="0" count="0" defaultSubtotal="1"/>
        </references>
      </pivotArea>
    </format>
    <format dxfId="68">
      <pivotArea dataOnly="0" labelOnly="1" grandRow="1" outline="0" fieldPosition="0"/>
    </format>
    <format dxfId="6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4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0" type="button" dataOnly="0" labelOnly="1" outline="0" axis="axisRow" fieldPosition="0"/>
    </format>
    <format dxfId="60">
      <pivotArea field="1" type="button" dataOnly="0" labelOnly="1" outline="0" axis="axisRow" fieldPosition="1"/>
    </format>
    <format dxfId="59">
      <pivotArea dataOnly="0" labelOnly="1" outline="0" fieldPosition="0">
        <references count="1">
          <reference field="0" count="0"/>
        </references>
      </pivotArea>
    </format>
    <format dxfId="58">
      <pivotArea dataOnly="0" labelOnly="1" outline="0" fieldPosition="0">
        <references count="1">
          <reference field="0" count="0" defaultSubtotal="1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3">
      <pivotArea dataOnly="0" labelOnly="1" outline="0" axis="axisValues" fieldPosition="0"/>
    </format>
    <format dxfId="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50">
      <pivotArea outline="0" fieldPosition="0">
        <references count="1">
          <reference field="4294967294" count="1" selected="0">
            <x v="0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6">
      <pivotArea field="0" type="button" dataOnly="0" labelOnly="1" outline="0" axis="axisRow" fieldPosition="0"/>
    </format>
    <format dxfId="45">
      <pivotArea field="1" type="button" dataOnly="0" labelOnly="1" outline="0" axis="axisRow" fieldPosition="1"/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2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1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40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6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35">
      <pivotArea outline="0" fieldPosition="0">
        <references count="1">
          <reference field="4294967294" count="1">
            <x v="1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30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29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G157" dT="2023-01-18T08:34:06.16" personId="{AE2ADCB6-10A2-4F42-A437-15C54D5DEABE}" id="{6D3C3A31-33BC-46F8-88F1-31267F5B5A25}">
    <text>Pagu Menjadi 58 juta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tabSelected="1" zoomScale="70" zoomScaleNormal="70" workbookViewId="0">
      <selection activeCell="C34" sqref="C34"/>
    </sheetView>
  </sheetViews>
  <sheetFormatPr defaultColWidth="8.6640625" defaultRowHeight="13.8" x14ac:dyDescent="0.25"/>
  <cols>
    <col min="1" max="1" width="8.6640625" style="42"/>
    <col min="2" max="2" width="35.6640625" style="42" bestFit="1" customWidth="1"/>
    <col min="3" max="3" width="95.6640625" style="42" customWidth="1"/>
    <col min="4" max="8" width="8.6640625" style="42"/>
    <col min="9" max="9" width="5.6640625" style="42" customWidth="1"/>
    <col min="10" max="10" width="25.33203125" style="42" customWidth="1"/>
    <col min="11" max="11" width="12.5546875" style="42" customWidth="1"/>
    <col min="12" max="16384" width="8.6640625" style="42"/>
  </cols>
  <sheetData>
    <row r="3" spans="2:11" ht="20.399999999999999" x14ac:dyDescent="0.35">
      <c r="D3" s="41"/>
      <c r="E3" s="41"/>
    </row>
    <row r="4" spans="2:11" ht="20.399999999999999" x14ac:dyDescent="0.35">
      <c r="D4" s="41"/>
      <c r="E4" s="41"/>
    </row>
    <row r="5" spans="2:11" ht="20.399999999999999" x14ac:dyDescent="0.35">
      <c r="B5" s="41"/>
      <c r="C5" s="41"/>
      <c r="D5" s="41"/>
      <c r="E5" s="41"/>
    </row>
    <row r="6" spans="2:11" ht="20.399999999999999" x14ac:dyDescent="0.35">
      <c r="B6" s="43" t="s">
        <v>1027</v>
      </c>
      <c r="C6" s="43" t="s">
        <v>1028</v>
      </c>
      <c r="D6" s="41"/>
      <c r="E6" s="41"/>
    </row>
    <row r="7" spans="2:11" ht="20.399999999999999" x14ac:dyDescent="0.35">
      <c r="B7" s="43" t="s">
        <v>938</v>
      </c>
      <c r="C7" s="44" t="s">
        <v>1026</v>
      </c>
      <c r="D7" s="41"/>
      <c r="E7" s="41"/>
    </row>
    <row r="8" spans="2:11" ht="20.399999999999999" x14ac:dyDescent="0.35">
      <c r="B8" s="43" t="s">
        <v>936</v>
      </c>
      <c r="C8" s="44" t="s">
        <v>1025</v>
      </c>
      <c r="D8" s="41"/>
      <c r="E8" s="41"/>
    </row>
    <row r="9" spans="2:11" ht="20.399999999999999" x14ac:dyDescent="0.35">
      <c r="B9" s="43" t="s">
        <v>937</v>
      </c>
      <c r="C9" s="44" t="s">
        <v>1035</v>
      </c>
      <c r="D9" s="41"/>
      <c r="E9" s="41"/>
    </row>
    <row r="14" spans="2:11" ht="17.399999999999999" x14ac:dyDescent="0.3">
      <c r="C14" s="263" t="str">
        <f>"Jakarta, "&amp;TRIM(MID('Setting Tanggal'!C9,2,LEN('Setting Tanggal'!C9)))</f>
        <v>Jakarta, 20 Juni 2023</v>
      </c>
      <c r="I14" s="288" t="s">
        <v>1021</v>
      </c>
      <c r="J14" s="288"/>
      <c r="K14" s="288"/>
    </row>
    <row r="15" spans="2:11" ht="17.399999999999999" x14ac:dyDescent="0.3">
      <c r="C15" s="263" t="s">
        <v>1018</v>
      </c>
      <c r="I15" s="267" t="s">
        <v>521</v>
      </c>
      <c r="J15" s="267" t="s">
        <v>1022</v>
      </c>
      <c r="K15" s="267" t="s">
        <v>1023</v>
      </c>
    </row>
    <row r="16" spans="2:11" ht="17.399999999999999" x14ac:dyDescent="0.3">
      <c r="C16" s="263" t="s">
        <v>1029</v>
      </c>
      <c r="I16" s="266">
        <v>1</v>
      </c>
      <c r="J16" s="265" t="s">
        <v>1024</v>
      </c>
      <c r="K16" s="265"/>
    </row>
    <row r="17" spans="3:4" ht="17.399999999999999" x14ac:dyDescent="0.3">
      <c r="C17" s="263"/>
    </row>
    <row r="18" spans="3:4" x14ac:dyDescent="0.25">
      <c r="D18" s="264"/>
    </row>
    <row r="19" spans="3:4" x14ac:dyDescent="0.25">
      <c r="D19" s="264"/>
    </row>
    <row r="20" spans="3:4" ht="17.399999999999999" x14ac:dyDescent="0.3">
      <c r="C20" s="263"/>
    </row>
    <row r="21" spans="3:4" ht="17.399999999999999" x14ac:dyDescent="0.3">
      <c r="C21" s="263"/>
    </row>
    <row r="22" spans="3:4" ht="17.399999999999999" x14ac:dyDescent="0.3">
      <c r="C22" s="263"/>
    </row>
    <row r="23" spans="3:4" ht="17.399999999999999" x14ac:dyDescent="0.3">
      <c r="C23" s="263" t="s">
        <v>1019</v>
      </c>
    </row>
    <row r="24" spans="3:4" ht="17.399999999999999" x14ac:dyDescent="0.3">
      <c r="C24" s="263" t="s">
        <v>1020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zoomScaleNormal="130" zoomScaleSheetLayoutView="100" workbookViewId="0">
      <selection activeCell="G11" sqref="G11"/>
    </sheetView>
  </sheetViews>
  <sheetFormatPr defaultColWidth="8.6640625" defaultRowHeight="13.8" x14ac:dyDescent="0.25"/>
  <cols>
    <col min="1" max="1" width="49" style="1" customWidth="1"/>
    <col min="2" max="2" width="14.6640625" style="1" customWidth="1"/>
    <col min="3" max="3" width="19" style="16" customWidth="1"/>
    <col min="4" max="4" width="19" style="16" hidden="1" customWidth="1"/>
    <col min="5" max="5" width="13.5546875" style="2" bestFit="1" customWidth="1"/>
    <col min="6" max="6" width="13.5546875" style="1" bestFit="1" customWidth="1"/>
    <col min="7" max="7" width="12.33203125" style="1" bestFit="1" customWidth="1"/>
    <col min="8" max="8" width="17.33203125" style="1" bestFit="1" customWidth="1"/>
    <col min="9" max="10" width="8.6640625" style="1"/>
    <col min="11" max="11" width="28.44140625" style="1" bestFit="1" customWidth="1"/>
    <col min="12" max="12" width="8.6640625" style="1"/>
    <col min="13" max="13" width="15.33203125" style="16" bestFit="1" customWidth="1"/>
    <col min="14" max="14" width="14.6640625" style="1" bestFit="1" customWidth="1"/>
    <col min="15" max="15" width="8.6640625" style="1"/>
    <col min="16" max="16" width="12.33203125" style="1" bestFit="1" customWidth="1"/>
    <col min="17" max="16384" width="8.6640625" style="1"/>
  </cols>
  <sheetData>
    <row r="2" spans="1:14" x14ac:dyDescent="0.25">
      <c r="B2" s="15" t="s">
        <v>509</v>
      </c>
      <c r="C2" s="1"/>
      <c r="D2" s="1"/>
      <c r="E2" s="20"/>
    </row>
    <row r="3" spans="1:14" x14ac:dyDescent="0.25">
      <c r="B3" s="15" t="s">
        <v>510</v>
      </c>
      <c r="C3" s="1" t="str">
        <f>'Setting Tanggal'!C8</f>
        <v>:        /BRSDM.4/KU.220/VI/2023</v>
      </c>
      <c r="D3" s="1"/>
      <c r="E3" s="20"/>
    </row>
    <row r="4" spans="1:14" x14ac:dyDescent="0.25">
      <c r="B4" s="15" t="s">
        <v>511</v>
      </c>
      <c r="C4" s="1" t="str">
        <f>'Setting Tanggal'!C9</f>
        <v>: 20 Juni 2023</v>
      </c>
      <c r="D4" s="1"/>
      <c r="E4" s="20"/>
    </row>
    <row r="9" spans="1:14" x14ac:dyDescent="0.25">
      <c r="A9" s="289" t="s">
        <v>1017</v>
      </c>
      <c r="B9" s="289"/>
      <c r="C9" s="289"/>
      <c r="D9" s="19"/>
    </row>
    <row r="10" spans="1:14" x14ac:dyDescent="0.25">
      <c r="K10" s="1" t="s">
        <v>531</v>
      </c>
      <c r="L10" s="1" t="s">
        <v>5</v>
      </c>
      <c r="M10" s="16" t="s">
        <v>529</v>
      </c>
      <c r="N10" s="1" t="s">
        <v>939</v>
      </c>
    </row>
    <row r="11" spans="1:14" ht="27.6" x14ac:dyDescent="0.25">
      <c r="A11" s="260" t="s">
        <v>532</v>
      </c>
      <c r="B11" s="260" t="s">
        <v>5</v>
      </c>
      <c r="C11" s="261" t="s">
        <v>533</v>
      </c>
      <c r="D11" s="262" t="s">
        <v>940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0</v>
      </c>
    </row>
    <row r="12" spans="1:14" x14ac:dyDescent="0.25">
      <c r="A12" s="268" t="s">
        <v>11</v>
      </c>
      <c r="B12" s="274" t="s">
        <v>534</v>
      </c>
      <c r="C12" s="276">
        <v>22600000</v>
      </c>
      <c r="D12" s="259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8000000</v>
      </c>
      <c r="N12" s="2">
        <f>SUMIFS('Usulan TUP 4'!$L$15:$L$1000,'Usulan TUP 4'!$A$15:$A$1000,K12&amp;"*",'Usulan TUP 4'!$B$15:$B$1000,L12)</f>
        <v>0</v>
      </c>
    </row>
    <row r="13" spans="1:14" x14ac:dyDescent="0.25">
      <c r="A13" s="281"/>
      <c r="B13" s="274" t="s">
        <v>535</v>
      </c>
      <c r="C13" s="276">
        <v>2500000</v>
      </c>
      <c r="D13" s="255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69142000</v>
      </c>
      <c r="N13" s="2">
        <f>SUMIFS('Usulan TUP 4'!$L$15:$L$1000,'Usulan TUP 4'!$A$15:$A$1000,K13&amp;"*",'Usulan TUP 4'!$B$15:$B$1000,L13)</f>
        <v>0</v>
      </c>
    </row>
    <row r="14" spans="1:14" x14ac:dyDescent="0.25">
      <c r="A14" s="281"/>
      <c r="B14" s="274" t="s">
        <v>536</v>
      </c>
      <c r="C14" s="276">
        <v>69142000</v>
      </c>
      <c r="D14" s="282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0</v>
      </c>
    </row>
    <row r="15" spans="1:14" x14ac:dyDescent="0.25">
      <c r="A15" s="269"/>
      <c r="B15" s="270" t="s">
        <v>538</v>
      </c>
      <c r="C15" s="276">
        <v>8000000</v>
      </c>
      <c r="D15" s="259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0</v>
      </c>
    </row>
    <row r="16" spans="1:14" x14ac:dyDescent="0.25">
      <c r="A16" s="271" t="s">
        <v>1030</v>
      </c>
      <c r="B16" s="275"/>
      <c r="C16" s="273">
        <v>102242000</v>
      </c>
      <c r="D16" s="273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90350000</v>
      </c>
      <c r="N16" s="2">
        <f>SUMIFS('Usulan TUP 4'!$L$15:$L$1000,'Usulan TUP 4'!$A$15:$A$1000,K16&amp;"*",'Usulan TUP 4'!$B$15:$B$1000,L16)</f>
        <v>0</v>
      </c>
    </row>
    <row r="17" spans="1:14" x14ac:dyDescent="0.25">
      <c r="A17" s="268" t="s">
        <v>121</v>
      </c>
      <c r="B17" s="274" t="s">
        <v>534</v>
      </c>
      <c r="C17" s="276">
        <v>15000000</v>
      </c>
      <c r="D17" s="254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0</v>
      </c>
    </row>
    <row r="18" spans="1:14" x14ac:dyDescent="0.25">
      <c r="A18" s="281"/>
      <c r="B18" s="274" t="s">
        <v>536</v>
      </c>
      <c r="C18" s="276">
        <v>90350000</v>
      </c>
      <c r="D18" s="258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0</v>
      </c>
    </row>
    <row r="19" spans="1:14" x14ac:dyDescent="0.25">
      <c r="A19" s="269"/>
      <c r="B19" s="286" t="s">
        <v>588</v>
      </c>
      <c r="C19" s="276">
        <v>1500000</v>
      </c>
      <c r="D19" s="255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0</v>
      </c>
    </row>
    <row r="20" spans="1:14" x14ac:dyDescent="0.25">
      <c r="A20" s="271" t="s">
        <v>1031</v>
      </c>
      <c r="B20" s="275"/>
      <c r="C20" s="273">
        <v>106850000</v>
      </c>
      <c r="D20" s="273">
        <v>0</v>
      </c>
      <c r="E20" s="21"/>
      <c r="F20" s="2" t="str">
        <f>'Setting Tanggal'!C14</f>
        <v>Jakarta, 20 Juni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71400000</v>
      </c>
      <c r="N20" s="2">
        <f>SUMIFS('Usulan TUP 4'!$L$15:$L$1000,'Usulan TUP 4'!$A$15:$A$1000,K20&amp;"*",'Usulan TUP 4'!$B$15:$B$1000,L20)</f>
        <v>0</v>
      </c>
    </row>
    <row r="21" spans="1:14" x14ac:dyDescent="0.25">
      <c r="A21" s="268" t="s">
        <v>313</v>
      </c>
      <c r="B21" s="274" t="s">
        <v>534</v>
      </c>
      <c r="C21" s="276">
        <v>29758000</v>
      </c>
      <c r="D21" s="255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0</v>
      </c>
    </row>
    <row r="22" spans="1:14" x14ac:dyDescent="0.25">
      <c r="A22" s="281"/>
      <c r="B22" s="274" t="s">
        <v>535</v>
      </c>
      <c r="C22" s="276">
        <v>700000</v>
      </c>
      <c r="D22" s="255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0</v>
      </c>
    </row>
    <row r="23" spans="1:14" x14ac:dyDescent="0.25">
      <c r="A23" s="281"/>
      <c r="B23" s="274" t="s">
        <v>536</v>
      </c>
      <c r="C23" s="276">
        <v>71400000</v>
      </c>
      <c r="D23" s="255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5">
      <c r="A24" s="269"/>
      <c r="B24" s="284" t="s">
        <v>588</v>
      </c>
      <c r="C24" s="276">
        <v>1050000</v>
      </c>
      <c r="D24" s="255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5">
      <c r="A25" s="271" t="s">
        <v>1032</v>
      </c>
      <c r="B25" s="272"/>
      <c r="C25" s="273">
        <v>102908000</v>
      </c>
      <c r="D25" s="273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5">
      <c r="A26" s="253" t="s">
        <v>432</v>
      </c>
      <c r="B26" s="284" t="s">
        <v>534</v>
      </c>
      <c r="C26" s="276">
        <v>20000000</v>
      </c>
      <c r="D26" s="255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5">
      <c r="A27" s="285" t="s">
        <v>1034</v>
      </c>
      <c r="B27" s="287"/>
      <c r="C27" s="273">
        <v>20000000</v>
      </c>
      <c r="D27" s="255">
        <v>0</v>
      </c>
      <c r="F27" s="2"/>
    </row>
    <row r="28" spans="1:14" x14ac:dyDescent="0.25">
      <c r="A28" s="256" t="s">
        <v>537</v>
      </c>
      <c r="B28" s="257"/>
      <c r="C28" s="258">
        <v>332000000</v>
      </c>
      <c r="D28" s="258">
        <v>0</v>
      </c>
      <c r="F28" s="2"/>
    </row>
    <row r="29" spans="1:14" x14ac:dyDescent="0.25">
      <c r="B29" s="18"/>
      <c r="F29" s="2" t="str">
        <f>'Setting Tanggal'!C23</f>
        <v>Sutrisno, S.Pi., M.M.</v>
      </c>
    </row>
    <row r="30" spans="1:14" x14ac:dyDescent="0.25">
      <c r="B30" s="18"/>
      <c r="F30" s="2" t="str">
        <f>'Setting Tanggal'!C24</f>
        <v>NIP. 19700606 199803 1 004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6"/>
    </row>
    <row r="34" spans="2:8" x14ac:dyDescent="0.25">
      <c r="B34" s="18"/>
      <c r="C34" s="36"/>
      <c r="H34" s="23"/>
    </row>
    <row r="35" spans="2:8" x14ac:dyDescent="0.25">
      <c r="B35" s="18"/>
      <c r="H35" s="23"/>
    </row>
    <row r="36" spans="2:8" x14ac:dyDescent="0.25">
      <c r="B36" s="18"/>
    </row>
    <row r="37" spans="2:8" x14ac:dyDescent="0.25">
      <c r="B37" s="18"/>
    </row>
  </sheetData>
  <mergeCells count="1">
    <mergeCell ref="A9:C9"/>
  </mergeCells>
  <pageMargins left="0.7" right="0.7" top="0.75" bottom="0.75" header="0.3" footer="0.3"/>
  <pageSetup paperSize="9" scale="92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zoomScale="85" zoomScaleNormal="90" zoomScaleSheetLayoutView="85" workbookViewId="0">
      <selection activeCell="K35" sqref="K35"/>
    </sheetView>
  </sheetViews>
  <sheetFormatPr defaultColWidth="14" defaultRowHeight="15" customHeight="1" x14ac:dyDescent="0.25"/>
  <cols>
    <col min="1" max="1" width="3.6640625" style="3" customWidth="1"/>
    <col min="2" max="2" width="6.33203125" style="3" customWidth="1"/>
    <col min="3" max="3" width="19.6640625" style="3" customWidth="1"/>
    <col min="4" max="4" width="39.33203125" style="3" bestFit="1" customWidth="1"/>
    <col min="5" max="5" width="20" style="3" customWidth="1"/>
    <col min="6" max="6" width="19.33203125" style="3" customWidth="1"/>
    <col min="7" max="7" width="20.33203125" style="3" customWidth="1"/>
    <col min="8" max="8" width="28.33203125" style="3" hidden="1" customWidth="1"/>
    <col min="9" max="9" width="17.5546875" style="3" hidden="1" customWidth="1"/>
    <col min="10" max="10" width="20.6640625" style="3" hidden="1" customWidth="1"/>
    <col min="11" max="11" width="16.6640625" style="3" customWidth="1"/>
    <col min="12" max="13" width="14" style="3"/>
    <col min="14" max="14" width="16.44140625" style="277" bestFit="1" customWidth="1"/>
    <col min="15" max="16384" width="14" style="3"/>
  </cols>
  <sheetData>
    <row r="2" spans="2:16377" ht="15" customHeight="1" x14ac:dyDescent="0.3">
      <c r="B2" s="5" t="s">
        <v>943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37" t="s">
        <v>518</v>
      </c>
      <c r="C3" s="37"/>
      <c r="D3" s="37"/>
      <c r="E3" s="37"/>
      <c r="F3" s="37"/>
      <c r="G3" s="37"/>
      <c r="H3" s="37"/>
      <c r="I3" s="37"/>
      <c r="J3" s="37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296" t="s">
        <v>519</v>
      </c>
      <c r="C5" s="297"/>
      <c r="D5" s="4" t="s">
        <v>520</v>
      </c>
    </row>
    <row r="6" spans="2:16377" ht="25.95" customHeight="1" x14ac:dyDescent="0.3">
      <c r="B6" s="298" t="s">
        <v>521</v>
      </c>
      <c r="C6" s="300" t="s">
        <v>522</v>
      </c>
      <c r="D6" s="300" t="s">
        <v>523</v>
      </c>
      <c r="E6" s="304" t="str">
        <f>"Pagu "</f>
        <v xml:space="preserve">Pagu </v>
      </c>
      <c r="F6" s="306" t="s">
        <v>517</v>
      </c>
      <c r="G6" s="308" t="s">
        <v>944</v>
      </c>
      <c r="H6" s="310" t="s">
        <v>942</v>
      </c>
      <c r="I6" s="312" t="s">
        <v>934</v>
      </c>
      <c r="J6" s="302" t="s">
        <v>930</v>
      </c>
      <c r="K6" s="5"/>
      <c r="L6" s="5"/>
      <c r="M6" s="5"/>
      <c r="N6" s="278"/>
      <c r="O6" s="5"/>
    </row>
    <row r="7" spans="2:16377" ht="25.95" customHeight="1" x14ac:dyDescent="0.3">
      <c r="B7" s="299"/>
      <c r="C7" s="301"/>
      <c r="D7" s="301"/>
      <c r="E7" s="305"/>
      <c r="F7" s="307"/>
      <c r="G7" s="309"/>
      <c r="H7" s="311"/>
      <c r="I7" s="313"/>
      <c r="J7" s="303"/>
      <c r="K7" s="5"/>
      <c r="L7" s="5"/>
      <c r="M7" s="5"/>
      <c r="N7" s="278"/>
      <c r="O7" s="5"/>
    </row>
    <row r="8" spans="2:16377" ht="19.5" customHeight="1" x14ac:dyDescent="0.25">
      <c r="B8" s="6" t="s">
        <v>21</v>
      </c>
      <c r="C8" s="290" t="s">
        <v>524</v>
      </c>
      <c r="D8" s="291"/>
      <c r="E8" s="38"/>
      <c r="F8" s="38"/>
      <c r="G8" s="8"/>
      <c r="H8" s="7"/>
      <c r="I8" s="7"/>
      <c r="J8" s="7"/>
      <c r="K8" s="9"/>
      <c r="L8" s="9"/>
      <c r="M8" s="9"/>
      <c r="N8" s="279"/>
      <c r="O8" s="9"/>
    </row>
    <row r="9" spans="2:16377" ht="19.5" customHeight="1" x14ac:dyDescent="0.25">
      <c r="B9" s="292">
        <v>1</v>
      </c>
      <c r="C9" s="295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187232192</v>
      </c>
      <c r="G9" s="10" cm="1">
        <f t="array" ref="G9">SUM(_xlfn._xlws.FILTER('Usulan TUP 4'!$K$15:$K$1000,'Usulan TUP 4'!$P$15:$P$1000=D9,0))</f>
        <v>38450000</v>
      </c>
      <c r="H9" s="10" cm="1">
        <f t="array" ref="H9">SUM(_xlfn._xlws.FILTER('Usulan TUP 4'!$L$15:$L$564,'Usulan TUP 4'!$P$15:$P$564=$D9,0))</f>
        <v>0</v>
      </c>
      <c r="I9" s="11" t="e" cm="1">
        <f t="array" ref="I9">SUM(_xlfn._xlws.FILTER('Usulan TUP 4'!$M$15:$M$564,'Usulan TUP 4'!$P$15:$P$564=$D9,0))</f>
        <v>#REF!</v>
      </c>
      <c r="J9" s="12" t="e">
        <f>H9-I9</f>
        <v>#REF!</v>
      </c>
      <c r="K9" s="13"/>
      <c r="L9" s="13"/>
      <c r="M9" s="13"/>
      <c r="N9" s="280"/>
      <c r="O9" s="13"/>
    </row>
    <row r="10" spans="2:16377" ht="19.5" customHeight="1" x14ac:dyDescent="0.25">
      <c r="B10" s="293"/>
      <c r="C10" s="293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162957989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4'!$L$15:$L$564,'Usulan TUP 4'!$P$15:$P$564=$D10,0))</f>
        <v>0</v>
      </c>
      <c r="I10" s="11" t="e" cm="1">
        <f t="array" ref="I10">SUM(_xlfn._xlws.FILTER('Usulan TUP 4'!$M$15:$M$564,'Usulan TUP 4'!$P$15:$P$564=$D10,0))</f>
        <v>#REF!</v>
      </c>
      <c r="J10" s="12" t="e">
        <f>H10-I10</f>
        <v>#REF!</v>
      </c>
      <c r="K10" s="13"/>
      <c r="L10" s="13"/>
      <c r="M10" s="13"/>
      <c r="N10" s="280"/>
      <c r="O10" s="13"/>
    </row>
    <row r="11" spans="2:16377" ht="19.5" customHeight="1" x14ac:dyDescent="0.25">
      <c r="B11" s="293"/>
      <c r="C11" s="293"/>
      <c r="D11" s="30" t="s">
        <v>525</v>
      </c>
      <c r="E11" s="31">
        <f t="shared" ref="E11:J11" si="0">SUM(E9:E10)</f>
        <v>622685000</v>
      </c>
      <c r="F11" s="31">
        <f t="shared" si="0"/>
        <v>350190181</v>
      </c>
      <c r="G11" s="22">
        <f t="shared" si="0"/>
        <v>58900000</v>
      </c>
      <c r="H11" s="22">
        <f t="shared" si="0"/>
        <v>0</v>
      </c>
      <c r="I11" s="22" t="e">
        <f t="shared" ref="I11" si="1">SUM(I9:I10)</f>
        <v>#REF!</v>
      </c>
      <c r="J11" s="22" t="e">
        <f t="shared" si="0"/>
        <v>#REF!</v>
      </c>
      <c r="K11" s="25"/>
      <c r="L11" s="13"/>
      <c r="M11" s="13"/>
      <c r="N11" s="280"/>
      <c r="O11" s="13"/>
    </row>
    <row r="12" spans="2:16377" ht="19.5" customHeight="1" x14ac:dyDescent="0.25">
      <c r="B12" s="292">
        <v>2</v>
      </c>
      <c r="C12" s="295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6438841816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4'!$L$15:$L$564,'Usulan TUP 4'!$P$15:$P$564=$D12,0))</f>
        <v>0</v>
      </c>
      <c r="I12" s="11" t="e" cm="1">
        <f t="array" ref="I12">SUM(_xlfn._xlws.FILTER('Usulan TUP 4'!$M$15:$M$564,'Usulan TUP 4'!$P$15:$P$564=$D12,0))</f>
        <v>#REF!</v>
      </c>
      <c r="J12" s="12" t="e">
        <f>H12-I12</f>
        <v>#REF!</v>
      </c>
      <c r="K12" s="25"/>
      <c r="L12" s="25"/>
      <c r="M12" s="13"/>
      <c r="N12" s="280"/>
      <c r="O12" s="13"/>
    </row>
    <row r="13" spans="2:16377" ht="19.5" customHeight="1" x14ac:dyDescent="0.25">
      <c r="B13" s="293"/>
      <c r="C13" s="293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647979743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4'!$L$15:$L$564,'Usulan TUP 4'!$P$15:$P$564=$D13,0))</f>
        <v>0</v>
      </c>
      <c r="I13" s="11" t="e" cm="1">
        <f t="array" ref="I13">SUM(_xlfn._xlws.FILTER('Usulan TUP 4'!$M$15:$M$564,'Usulan TUP 4'!$P$15:$P$564=$D13,0))</f>
        <v>#REF!</v>
      </c>
      <c r="J13" s="12" t="e">
        <f>H13-I13</f>
        <v>#REF!</v>
      </c>
      <c r="K13" s="13"/>
      <c r="L13" s="13"/>
      <c r="M13" s="13"/>
      <c r="N13" s="280"/>
      <c r="O13" s="13"/>
    </row>
    <row r="14" spans="2:16377" ht="19.5" customHeight="1" x14ac:dyDescent="0.25">
      <c r="B14" s="293"/>
      <c r="C14" s="293"/>
      <c r="D14" s="30" t="s">
        <v>526</v>
      </c>
      <c r="E14" s="31">
        <f t="shared" ref="E14:J14" si="2">SUM(E12:E13)</f>
        <v>10826295000</v>
      </c>
      <c r="F14" s="31">
        <f t="shared" si="2"/>
        <v>7086821559</v>
      </c>
      <c r="G14" s="22">
        <f t="shared" si="2"/>
        <v>84850000</v>
      </c>
      <c r="H14" s="22">
        <f t="shared" si="2"/>
        <v>0</v>
      </c>
      <c r="I14" s="22" t="e">
        <f t="shared" ref="I14" si="3">SUM(I12:I13)</f>
        <v>#REF!</v>
      </c>
      <c r="J14" s="22" t="e">
        <f t="shared" si="2"/>
        <v>#REF!</v>
      </c>
      <c r="K14" s="25"/>
      <c r="L14" s="13"/>
      <c r="M14" s="13"/>
      <c r="N14" s="280"/>
      <c r="O14" s="13"/>
    </row>
    <row r="15" spans="2:16377" ht="19.5" customHeight="1" x14ac:dyDescent="0.25">
      <c r="B15" s="292">
        <v>3</v>
      </c>
      <c r="C15" s="295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259292036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4'!$L$15:$L$564,'Usulan TUP 4'!$P$15:$P$564=$D15,0))</f>
        <v>0</v>
      </c>
      <c r="I15" s="11" t="e" cm="1">
        <f t="array" ref="I15">SUM(_xlfn._xlws.FILTER('Usulan TUP 4'!$M$15:$M$564,'Usulan TUP 4'!$P$15:$P$564=$D15,0))</f>
        <v>#REF!</v>
      </c>
      <c r="J15" s="12" t="e">
        <f>H15-I15</f>
        <v>#REF!</v>
      </c>
      <c r="K15" s="13"/>
      <c r="L15" s="27"/>
      <c r="M15" s="13"/>
      <c r="N15" s="280"/>
      <c r="O15" s="13"/>
    </row>
    <row r="16" spans="2:16377" ht="19.5" customHeight="1" x14ac:dyDescent="0.25">
      <c r="B16" s="293"/>
      <c r="C16" s="293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4'!$L$15:$L$564,'Usulan TUP 4'!$P$15:$P$564=$D16,0))</f>
        <v>0</v>
      </c>
      <c r="I16" s="11" t="e" cm="1">
        <f t="array" ref="I16">SUM(_xlfn._xlws.FILTER('Usulan TUP 4'!$M$15:$M$564,'Usulan TUP 4'!$P$15:$P$564=$D16,0))</f>
        <v>#REF!</v>
      </c>
      <c r="J16" s="12" t="e">
        <f>H16-I16</f>
        <v>#REF!</v>
      </c>
      <c r="K16" s="13"/>
      <c r="L16" s="13"/>
      <c r="M16" s="13"/>
      <c r="N16" s="280"/>
      <c r="O16" s="13"/>
    </row>
    <row r="17" spans="2:15" ht="19.5" customHeight="1" x14ac:dyDescent="0.25">
      <c r="B17" s="293"/>
      <c r="C17" s="293"/>
      <c r="D17" s="30" t="s">
        <v>527</v>
      </c>
      <c r="E17" s="31">
        <f t="shared" ref="E17:J17" si="4">SUM(E15:E16)</f>
        <v>745048000</v>
      </c>
      <c r="F17" s="31">
        <f t="shared" si="4"/>
        <v>324238092</v>
      </c>
      <c r="G17" s="22">
        <f t="shared" si="4"/>
        <v>62042000</v>
      </c>
      <c r="H17" s="22">
        <f t="shared" si="4"/>
        <v>0</v>
      </c>
      <c r="I17" s="22" t="e">
        <f t="shared" ref="I17" si="5">SUM(I15:I16)</f>
        <v>#REF!</v>
      </c>
      <c r="J17" s="22" t="e">
        <f t="shared" si="4"/>
        <v>#REF!</v>
      </c>
      <c r="K17" s="25"/>
      <c r="L17" s="25"/>
      <c r="M17" s="13"/>
      <c r="N17" s="280"/>
      <c r="O17" s="13"/>
    </row>
    <row r="18" spans="2:15" ht="19.5" customHeight="1" x14ac:dyDescent="0.25">
      <c r="B18" s="292">
        <v>4</v>
      </c>
      <c r="C18" s="295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2339848862</v>
      </c>
      <c r="G18" s="10" cm="1">
        <f t="array" ref="G18">SUM(_xlfn._xlws.FILTER('Usulan TUP 4'!$K$15:$K$1000,'Usulan TUP 4'!$P$15:$P$1000=D18,0))</f>
        <v>84150000</v>
      </c>
      <c r="H18" s="10" cm="1">
        <f t="array" ref="H18">SUM(_xlfn._xlws.FILTER('Usulan TUP 4'!$L$15:$L$564,'Usulan TUP 4'!$P$15:$P$564=$D18,0))</f>
        <v>0</v>
      </c>
      <c r="I18" s="11" t="e" cm="1">
        <f t="array" ref="I18">SUM(_xlfn._xlws.FILTER('Usulan TUP 4'!$M$15:$M$564,'Usulan TUP 4'!$P$15:$P$564=$D18,0))</f>
        <v>#REF!</v>
      </c>
      <c r="J18" s="12" t="e">
        <f>H18-I18</f>
        <v>#REF!</v>
      </c>
      <c r="K18" s="13"/>
      <c r="L18" s="13"/>
      <c r="M18" s="13"/>
      <c r="N18" s="280"/>
      <c r="O18" s="13"/>
    </row>
    <row r="19" spans="2:15" ht="19.5" customHeight="1" x14ac:dyDescent="0.25">
      <c r="B19" s="293"/>
      <c r="C19" s="293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4184770417</v>
      </c>
      <c r="G19" s="10" cm="1">
        <f t="array" ref="G19">SUM(_xlfn._xlws.FILTER('Usulan TUP 4'!$K$15:$K$1000,'Usulan TUP 4'!$P$15:$P$1000=D19,0))</f>
        <v>42058000</v>
      </c>
      <c r="H19" s="24" cm="1">
        <f t="array" ref="H19">SUM(_xlfn._xlws.FILTER('Usulan TUP 4'!$L$15:$L$564,'Usulan TUP 4'!$P$15:$P$564=$D19,0))</f>
        <v>0</v>
      </c>
      <c r="I19" s="28" t="e" cm="1">
        <f t="array" ref="I19">SUM(_xlfn._xlws.FILTER('Usulan TUP 4'!$M$15:$M$564,'Usulan TUP 4'!$P$15:$P$564=$D19,0))</f>
        <v>#REF!</v>
      </c>
      <c r="J19" s="29" t="e">
        <f>H19-I19</f>
        <v>#REF!</v>
      </c>
      <c r="K19" s="13"/>
      <c r="L19" s="13"/>
      <c r="M19" s="13"/>
      <c r="N19" s="280"/>
      <c r="O19" s="13"/>
    </row>
    <row r="20" spans="2:15" ht="19.5" customHeight="1" x14ac:dyDescent="0.25">
      <c r="B20" s="293"/>
      <c r="C20" s="293"/>
      <c r="D20" s="30" t="s">
        <v>528</v>
      </c>
      <c r="E20" s="31">
        <f>SUM(E18:E19)</f>
        <v>11094152000</v>
      </c>
      <c r="F20" s="31">
        <f>SUM(F18:F19)</f>
        <v>6524619279</v>
      </c>
      <c r="G20" s="32">
        <f>SUM(G18:G19)</f>
        <v>126208000</v>
      </c>
      <c r="H20" s="32">
        <f t="shared" ref="H20:J20" si="6">SUM(H18:H19)</f>
        <v>0</v>
      </c>
      <c r="I20" s="32" t="e">
        <f t="shared" ref="I20" si="7">SUM(I18:I19)</f>
        <v>#REF!</v>
      </c>
      <c r="J20" s="32" t="e">
        <f t="shared" si="6"/>
        <v>#REF!</v>
      </c>
      <c r="K20" s="25"/>
      <c r="L20" s="26"/>
      <c r="M20" s="13"/>
      <c r="N20" s="280"/>
      <c r="O20" s="13"/>
    </row>
    <row r="21" spans="2:15" ht="24" customHeight="1" x14ac:dyDescent="0.25">
      <c r="B21" s="294" t="s">
        <v>529</v>
      </c>
      <c r="C21" s="294"/>
      <c r="D21" s="294"/>
      <c r="E21" s="35">
        <f>SUM(E11,E14,E17,E20)</f>
        <v>23288180000</v>
      </c>
      <c r="F21" s="35">
        <f t="shared" ref="F21:J21" si="8">SUM(F11,F14,F17,F20)</f>
        <v>14285869111</v>
      </c>
      <c r="G21" s="35">
        <f t="shared" si="8"/>
        <v>332000000</v>
      </c>
      <c r="H21" s="34">
        <f t="shared" si="8"/>
        <v>0</v>
      </c>
      <c r="I21" s="34" t="e">
        <f t="shared" ref="I21" si="9">SUM(I11,I14,I17,I20)</f>
        <v>#REF!</v>
      </c>
      <c r="J21" s="34" t="e">
        <f t="shared" si="8"/>
        <v>#REF!</v>
      </c>
      <c r="K21" s="283">
        <f>G21/E21</f>
        <v>1.4256159133088116E-2</v>
      </c>
    </row>
    <row r="22" spans="2:15" x14ac:dyDescent="0.25"/>
    <row r="23" spans="2:15" x14ac:dyDescent="0.25">
      <c r="K23" s="277"/>
    </row>
    <row r="24" spans="2:15" x14ac:dyDescent="0.25">
      <c r="F24" s="3" t="str">
        <f>'Setting Tanggal'!C14</f>
        <v>Jakarta, 20 Juni 2023</v>
      </c>
    </row>
    <row r="25" spans="2:15" x14ac:dyDescent="0.25">
      <c r="F25" s="3" t="str">
        <f>'Setting Tanggal'!C15</f>
        <v>Pejabat Pembuat Komitmen</v>
      </c>
    </row>
    <row r="26" spans="2:15" x14ac:dyDescent="0.25">
      <c r="F26" s="3" t="str">
        <f>'Setting Tanggal'!C16</f>
        <v>Pusat Pendidikan KP,</v>
      </c>
    </row>
    <row r="27" spans="2:15" x14ac:dyDescent="0.25"/>
    <row r="28" spans="2:15" x14ac:dyDescent="0.25"/>
    <row r="29" spans="2:15" x14ac:dyDescent="0.25"/>
    <row r="30" spans="2:15" x14ac:dyDescent="0.25"/>
    <row r="31" spans="2:15" x14ac:dyDescent="0.25"/>
    <row r="32" spans="2:15" x14ac:dyDescent="0.25">
      <c r="C32" s="14"/>
    </row>
    <row r="33" spans="6:6" x14ac:dyDescent="0.25">
      <c r="F33" s="3" t="str">
        <f>'Setting Tanggal'!C23</f>
        <v>Sutrisno, S.Pi., M.M.</v>
      </c>
    </row>
    <row r="34" spans="6:6" x14ac:dyDescent="0.25">
      <c r="F34" s="3" t="str">
        <f>'Setting Tanggal'!C24</f>
        <v>NIP. 19700606 199803 1 004</v>
      </c>
    </row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3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view="pageBreakPreview" topLeftCell="B1" zoomScaleNormal="100" zoomScaleSheetLayoutView="100" workbookViewId="0">
      <pane xSplit="1" ySplit="14" topLeftCell="C15" activePane="bottomRight" state="frozen"/>
      <selection activeCell="B1" sqref="B1"/>
      <selection pane="topRight" activeCell="C1" sqref="C1"/>
      <selection pane="bottomLeft" activeCell="B15" sqref="B15"/>
      <selection pane="bottomRight" activeCell="O7" sqref="O7"/>
    </sheetView>
  </sheetViews>
  <sheetFormatPr defaultColWidth="14" defaultRowHeight="13.8" x14ac:dyDescent="0.25"/>
  <cols>
    <col min="1" max="1" width="33.33203125" style="150" hidden="1" customWidth="1"/>
    <col min="2" max="2" width="16.5546875" style="145" customWidth="1"/>
    <col min="3" max="3" width="72.44140625" style="145" customWidth="1"/>
    <col min="4" max="4" width="6.109375" style="145" hidden="1" customWidth="1"/>
    <col min="5" max="5" width="11.33203125" style="145" hidden="1" customWidth="1"/>
    <col min="6" max="6" width="16.109375" style="145" hidden="1" customWidth="1"/>
    <col min="7" max="7" width="17.109375" style="145" bestFit="1" customWidth="1"/>
    <col min="8" max="8" width="18.5546875" style="149" hidden="1" customWidth="1"/>
    <col min="9" max="9" width="18.5546875" style="149" customWidth="1"/>
    <col min="10" max="11" width="18.5546875" style="139" customWidth="1"/>
    <col min="12" max="12" width="20.33203125" style="139" hidden="1" customWidth="1"/>
    <col min="13" max="13" width="15.6640625" style="139" hidden="1" customWidth="1"/>
    <col min="14" max="14" width="12.5546875" style="139" hidden="1" customWidth="1"/>
    <col min="15" max="15" width="26.33203125" style="139" customWidth="1"/>
    <col min="16" max="16" width="31.6640625" style="139" customWidth="1"/>
    <col min="17" max="16384" width="14" style="139"/>
  </cols>
  <sheetData>
    <row r="1" spans="1:18" s="123" customFormat="1" ht="13.2" x14ac:dyDescent="0.25">
      <c r="A1" s="122"/>
      <c r="G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3.2" x14ac:dyDescent="0.25">
      <c r="A2" s="122"/>
      <c r="G2" s="124" t="s">
        <v>510</v>
      </c>
      <c r="H2" s="122"/>
      <c r="I2" s="123" t="str">
        <f>'Setting Tanggal'!C8</f>
        <v>:        /BRSDM.4/KU.220/VI/2023</v>
      </c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3.2" x14ac:dyDescent="0.25">
      <c r="A3" s="122"/>
      <c r="G3" s="124" t="s">
        <v>511</v>
      </c>
      <c r="H3" s="122"/>
      <c r="I3" s="123" t="str">
        <f>'Setting Tanggal'!C9</f>
        <v>: 20 Juni 2023</v>
      </c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3.2" x14ac:dyDescent="0.25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x14ac:dyDescent="0.25">
      <c r="A5" s="122"/>
      <c r="B5" s="314" t="s">
        <v>1016</v>
      </c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125"/>
      <c r="N5" s="125"/>
      <c r="O5" s="122"/>
      <c r="P5" s="122"/>
      <c r="Q5" s="122"/>
      <c r="R5" s="122"/>
    </row>
    <row r="6" spans="1:18" s="123" customFormat="1" ht="13.2" x14ac:dyDescent="0.25">
      <c r="A6" s="122"/>
      <c r="B6" s="315" t="s">
        <v>512</v>
      </c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125"/>
      <c r="N6" s="125"/>
      <c r="O6" s="122"/>
      <c r="P6" s="122"/>
      <c r="Q6" s="122"/>
      <c r="R6" s="122"/>
    </row>
    <row r="7" spans="1:18" s="123" customFormat="1" ht="13.2" x14ac:dyDescent="0.25">
      <c r="A7" s="122"/>
      <c r="B7" s="315" t="str">
        <f>"Berdasarkan "&amp;'Setting Tanggal'!$C$6</f>
        <v>Berdasarkan DIPA Revisi 2, POK Ke 1 Pusdik KP TA. 2023 (Tanggal 09 Mei 2023)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125"/>
      <c r="N7" s="125"/>
      <c r="O7" s="122"/>
      <c r="P7" s="122"/>
      <c r="Q7" s="122"/>
      <c r="R7" s="122"/>
    </row>
    <row r="8" spans="1:18" s="123" customFormat="1" ht="13.2" x14ac:dyDescent="0.25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3.2" x14ac:dyDescent="0.25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3.2" x14ac:dyDescent="0.25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3.2" x14ac:dyDescent="0.25">
      <c r="A11" s="122"/>
      <c r="B11" s="124" t="s">
        <v>1015</v>
      </c>
      <c r="C11" s="124" t="str">
        <f>": Rp. "&amp;TEXT(K15,"#.##")</f>
        <v>: Rp. 332.000.000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1" customFormat="1" x14ac:dyDescent="0.25">
      <c r="A12" s="133"/>
      <c r="B12" s="134" t="s">
        <v>941</v>
      </c>
      <c r="C12" s="160" t="str">
        <f>": Rp. "&amp;TEXT(L15,"#.##")</f>
        <v xml:space="preserve">: Rp. </v>
      </c>
      <c r="D12" s="134"/>
      <c r="E12" s="134"/>
      <c r="F12" s="134"/>
      <c r="G12" s="134"/>
      <c r="H12" s="135"/>
      <c r="I12" s="135"/>
      <c r="J12" s="136">
        <f>'Rekap Usulan TUP 4'!F21</f>
        <v>14285869111</v>
      </c>
    </row>
    <row r="13" spans="1:18" ht="31.95" customHeight="1" x14ac:dyDescent="0.25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1033</v>
      </c>
      <c r="H13" s="46" t="s">
        <v>935</v>
      </c>
      <c r="I13" s="46" t="s">
        <v>1013</v>
      </c>
      <c r="J13" s="72" t="s">
        <v>517</v>
      </c>
      <c r="K13" s="72" t="s">
        <v>1014</v>
      </c>
      <c r="L13" s="152" t="s">
        <v>931</v>
      </c>
      <c r="M13" s="46" t="s">
        <v>932</v>
      </c>
      <c r="N13" s="46" t="s">
        <v>933</v>
      </c>
      <c r="O13" s="249" t="s">
        <v>540</v>
      </c>
      <c r="P13" s="138" t="s">
        <v>541</v>
      </c>
      <c r="Q13" s="248"/>
    </row>
    <row r="14" spans="1:18" s="141" customFormat="1" ht="13.2" x14ac:dyDescent="0.25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50">
        <v>9</v>
      </c>
      <c r="P14" s="251">
        <v>10</v>
      </c>
    </row>
    <row r="15" spans="1:18" x14ac:dyDescent="0.25">
      <c r="A15" s="142"/>
      <c r="B15" s="159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6" t="b">
        <f>G15='[5]Pvt SP2D Pusdik'!B16</f>
        <v>1</v>
      </c>
      <c r="I15" s="247">
        <f>'[5]Pvt SP2D Pusdik'!C16</f>
        <v>9002310889</v>
      </c>
      <c r="J15" s="162">
        <f>SUM(J16,J105)</f>
        <v>14285869111</v>
      </c>
      <c r="K15" s="157">
        <f>SUM(K16,K105)</f>
        <v>332000000</v>
      </c>
      <c r="L15" s="158">
        <f t="shared" ref="L15" si="0">SUM(L16,L104)</f>
        <v>0</v>
      </c>
      <c r="M15" s="143" t="e">
        <f t="shared" ref="M15:N15" si="1">SUM(M16,M104)</f>
        <v>#REF!</v>
      </c>
      <c r="N15" s="143" t="e">
        <f t="shared" si="1"/>
        <v>#REF!</v>
      </c>
      <c r="O15" s="252"/>
      <c r="P15" s="252"/>
      <c r="Q15" s="144"/>
    </row>
    <row r="16" spans="1:18" ht="13.2" x14ac:dyDescent="0.25">
      <c r="A16" s="163" t="s">
        <v>7</v>
      </c>
      <c r="B16" s="164" t="s">
        <v>7</v>
      </c>
      <c r="C16" s="55" t="s">
        <v>8</v>
      </c>
      <c r="D16" s="54"/>
      <c r="E16" s="54"/>
      <c r="F16" s="56"/>
      <c r="G16" s="56">
        <f t="shared" ref="G16:G18" si="2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K18" si="3">J17</f>
        <v>497013993</v>
      </c>
      <c r="K16" s="56">
        <f t="shared" si="3"/>
        <v>102242000</v>
      </c>
      <c r="L16" s="56">
        <f t="shared" ref="L16:N18" si="4">L17</f>
        <v>0</v>
      </c>
      <c r="M16" s="56" t="e">
        <f t="shared" si="4"/>
        <v>#REF!</v>
      </c>
      <c r="N16" s="56" t="e">
        <f t="shared" si="4"/>
        <v>#REF!</v>
      </c>
      <c r="O16" s="252"/>
      <c r="P16" s="252"/>
      <c r="Q16" s="144"/>
    </row>
    <row r="17" spans="1:17" ht="13.2" x14ac:dyDescent="0.25">
      <c r="A17" s="163" t="s">
        <v>9</v>
      </c>
      <c r="B17" s="165" t="s">
        <v>559</v>
      </c>
      <c r="C17" s="58" t="s">
        <v>10</v>
      </c>
      <c r="D17" s="57"/>
      <c r="E17" s="57"/>
      <c r="F17" s="59"/>
      <c r="G17" s="59">
        <f t="shared" si="2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3"/>
        <v>497013993</v>
      </c>
      <c r="K17" s="59">
        <f t="shared" si="3"/>
        <v>102242000</v>
      </c>
      <c r="L17" s="59">
        <f t="shared" si="4"/>
        <v>0</v>
      </c>
      <c r="M17" s="59" t="e">
        <f t="shared" si="4"/>
        <v>#REF!</v>
      </c>
      <c r="N17" s="59" t="e">
        <f t="shared" si="4"/>
        <v>#REF!</v>
      </c>
      <c r="O17" s="252"/>
      <c r="P17" s="252"/>
      <c r="Q17" s="144"/>
    </row>
    <row r="18" spans="1:17" ht="13.2" customHeight="1" x14ac:dyDescent="0.25">
      <c r="A18" s="163" t="s">
        <v>11</v>
      </c>
      <c r="B18" s="166" t="s">
        <v>12</v>
      </c>
      <c r="C18" s="61" t="s">
        <v>560</v>
      </c>
      <c r="D18" s="60">
        <v>5</v>
      </c>
      <c r="E18" s="167" t="s">
        <v>561</v>
      </c>
      <c r="F18" s="167"/>
      <c r="G18" s="62">
        <f t="shared" si="2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3"/>
        <v>497013993</v>
      </c>
      <c r="K18" s="62">
        <f t="shared" si="3"/>
        <v>102242000</v>
      </c>
      <c r="L18" s="62">
        <f t="shared" si="4"/>
        <v>0</v>
      </c>
      <c r="M18" s="62" t="e">
        <f t="shared" si="4"/>
        <v>#REF!</v>
      </c>
      <c r="N18" s="62" t="e">
        <f t="shared" si="4"/>
        <v>#REF!</v>
      </c>
      <c r="O18" s="252"/>
      <c r="P18" s="252"/>
      <c r="Q18" s="144"/>
    </row>
    <row r="19" spans="1:17" ht="13.2" x14ac:dyDescent="0.25">
      <c r="A19" s="163" t="s">
        <v>14</v>
      </c>
      <c r="B19" s="168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102242000</v>
      </c>
      <c r="L19" s="65">
        <f t="shared" ref="L19" si="5">SUM(L20,L41,L60,L84)</f>
        <v>0</v>
      </c>
      <c r="M19" s="65" t="e">
        <f t="shared" ref="M19:N19" si="6">SUM(M20,M41,M60,M84)</f>
        <v>#REF!</v>
      </c>
      <c r="N19" s="65" t="e">
        <f t="shared" si="6"/>
        <v>#REF!</v>
      </c>
      <c r="O19" s="252"/>
      <c r="P19" s="252"/>
      <c r="Q19" s="144"/>
    </row>
    <row r="20" spans="1:17" ht="13.2" x14ac:dyDescent="0.25">
      <c r="A20" s="163" t="s">
        <v>17</v>
      </c>
      <c r="B20" s="169" t="s">
        <v>18</v>
      </c>
      <c r="C20" s="170" t="s">
        <v>19</v>
      </c>
      <c r="D20" s="171"/>
      <c r="E20" s="171" t="s">
        <v>562</v>
      </c>
      <c r="F20" s="172"/>
      <c r="G20" s="172">
        <f>SUM(G21,G31)</f>
        <v>186192000</v>
      </c>
      <c r="H20" s="172" t="b">
        <f>G20='[5]Pvt SP2D Pusdik'!B21</f>
        <v>1</v>
      </c>
      <c r="I20" s="172">
        <f>'[5]Pvt SP2D Pusdik'!C21</f>
        <v>88815200</v>
      </c>
      <c r="J20" s="172">
        <f>SUM(J21,J31)</f>
        <v>97376800</v>
      </c>
      <c r="K20" s="172">
        <f>SUM(K21,K31)</f>
        <v>34700000</v>
      </c>
      <c r="L20" s="172">
        <f t="shared" ref="L20" si="7">SUM(L21,L31)</f>
        <v>0</v>
      </c>
      <c r="M20" s="172" t="e">
        <f t="shared" ref="M20:N20" si="8">SUM(M21,M31)</f>
        <v>#REF!</v>
      </c>
      <c r="N20" s="172" t="e">
        <f t="shared" si="8"/>
        <v>#REF!</v>
      </c>
      <c r="O20" s="252"/>
      <c r="P20" s="252"/>
      <c r="Q20" s="144"/>
    </row>
    <row r="21" spans="1:17" ht="13.2" x14ac:dyDescent="0.25">
      <c r="A21" s="163" t="s">
        <v>20</v>
      </c>
      <c r="B21" s="173" t="s">
        <v>21</v>
      </c>
      <c r="C21" s="174" t="s">
        <v>22</v>
      </c>
      <c r="D21" s="175"/>
      <c r="E21" s="175"/>
      <c r="F21" s="176"/>
      <c r="G21" s="176">
        <f>SUM(G22,G27,G29)</f>
        <v>131673000</v>
      </c>
      <c r="H21" s="176" t="b">
        <f>G21='[5]Pvt SP2D Pusdik'!B22</f>
        <v>1</v>
      </c>
      <c r="I21" s="176">
        <f>'[5]Pvt SP2D Pusdik'!C22</f>
        <v>58874400</v>
      </c>
      <c r="J21" s="176">
        <f>SUM(J22,J27,J29)</f>
        <v>72798600</v>
      </c>
      <c r="K21" s="176">
        <f>SUM(K22,K27,K29)</f>
        <v>25350000</v>
      </c>
      <c r="L21" s="176">
        <f t="shared" ref="L21" si="9">SUM(L22,L27,L29)</f>
        <v>0</v>
      </c>
      <c r="M21" s="176" t="e">
        <f t="shared" ref="M21:N21" si="10">SUM(M22,M27,M29)</f>
        <v>#REF!</v>
      </c>
      <c r="N21" s="176" t="e">
        <f t="shared" si="10"/>
        <v>#REF!</v>
      </c>
      <c r="O21" s="252" t="s">
        <v>497</v>
      </c>
      <c r="P21" s="252" t="s">
        <v>498</v>
      </c>
      <c r="Q21" s="144"/>
    </row>
    <row r="22" spans="1:17" ht="13.2" x14ac:dyDescent="0.25">
      <c r="A22" s="163" t="s">
        <v>23</v>
      </c>
      <c r="B22" s="177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 t="shared" ref="L22" si="11">SUM(L23:L26)</f>
        <v>0</v>
      </c>
      <c r="M22" s="71" t="e" cm="1">
        <f t="array" ref="M22">SUM(_xlfn._xlws.FILTER([6]!Draft_SPBY[Jumlah],[6]!Draft_SPBY[MAK4]=A22,0))</f>
        <v>#REF!</v>
      </c>
      <c r="N22" s="71" t="e">
        <f>L22-M22</f>
        <v>#REF!</v>
      </c>
      <c r="O22" s="252"/>
      <c r="P22" s="252"/>
      <c r="Q22" s="144"/>
    </row>
    <row r="23" spans="1:17" ht="13.2" x14ac:dyDescent="0.25">
      <c r="A23" s="163" t="s">
        <v>25</v>
      </c>
      <c r="B23" s="178"/>
      <c r="C23" s="179" t="s">
        <v>563</v>
      </c>
      <c r="D23" s="180">
        <v>533</v>
      </c>
      <c r="E23" s="180" t="s">
        <v>26</v>
      </c>
      <c r="F23" s="181">
        <v>75000</v>
      </c>
      <c r="G23" s="182">
        <f>ROUNDDOWN(D23*F23,-3)</f>
        <v>39975000</v>
      </c>
      <c r="H23" s="182" t="b">
        <f>G23='[5]Pvt SP2D Pusdik'!B24</f>
        <v>1</v>
      </c>
      <c r="I23" s="182">
        <f>'[5]Pvt SP2D Pusdik'!C24</f>
        <v>4771700</v>
      </c>
      <c r="J23" s="182">
        <f>G23-I23</f>
        <v>35203300</v>
      </c>
      <c r="K23" s="182">
        <v>1500000</v>
      </c>
      <c r="L23" s="182"/>
      <c r="M23" s="182"/>
      <c r="N23" s="182"/>
      <c r="O23" s="252"/>
      <c r="P23" s="252"/>
      <c r="Q23" s="144"/>
    </row>
    <row r="24" spans="1:17" ht="13.2" hidden="1" x14ac:dyDescent="0.25">
      <c r="A24" s="163" t="s">
        <v>27</v>
      </c>
      <c r="B24" s="178"/>
      <c r="C24" s="179" t="s">
        <v>564</v>
      </c>
      <c r="D24" s="180">
        <v>1</v>
      </c>
      <c r="E24" s="180" t="s">
        <v>120</v>
      </c>
      <c r="F24" s="182">
        <v>750000</v>
      </c>
      <c r="G24" s="182">
        <f>ROUNDDOWN(D24*F24,-3)</f>
        <v>750000</v>
      </c>
      <c r="H24" s="182" t="b">
        <f>G24='[5]Pvt SP2D Pusdik'!B25</f>
        <v>1</v>
      </c>
      <c r="I24" s="182">
        <f>'[5]Pvt SP2D Pusdik'!C25</f>
        <v>0</v>
      </c>
      <c r="J24" s="182">
        <f t="shared" ref="J24:J26" si="12">G24-I24</f>
        <v>750000</v>
      </c>
      <c r="K24" s="182"/>
      <c r="L24" s="182"/>
      <c r="M24" s="182"/>
      <c r="N24" s="182"/>
      <c r="O24" s="252"/>
      <c r="P24" s="252"/>
      <c r="Q24" s="144"/>
    </row>
    <row r="25" spans="1:17" ht="13.2" x14ac:dyDescent="0.25">
      <c r="A25" s="163" t="s">
        <v>28</v>
      </c>
      <c r="B25" s="178"/>
      <c r="C25" s="179" t="s">
        <v>565</v>
      </c>
      <c r="D25" s="180">
        <v>3</v>
      </c>
      <c r="E25" s="180" t="s">
        <v>120</v>
      </c>
      <c r="F25" s="182">
        <v>1500000</v>
      </c>
      <c r="G25" s="182">
        <f>ROUNDDOWN(D25*F25,-3)</f>
        <v>4500000</v>
      </c>
      <c r="H25" s="182" t="b">
        <f>G25='[5]Pvt SP2D Pusdik'!B26</f>
        <v>1</v>
      </c>
      <c r="I25" s="182">
        <f>'[5]Pvt SP2D Pusdik'!C26</f>
        <v>1448000</v>
      </c>
      <c r="J25" s="182">
        <f t="shared" si="12"/>
        <v>3052000</v>
      </c>
      <c r="K25" s="182">
        <v>1500000</v>
      </c>
      <c r="L25" s="182"/>
      <c r="M25" s="182"/>
      <c r="N25" s="182"/>
      <c r="O25" s="252"/>
      <c r="P25" s="252"/>
      <c r="Q25" s="144"/>
    </row>
    <row r="26" spans="1:17" ht="13.2" x14ac:dyDescent="0.25">
      <c r="A26" s="163" t="s">
        <v>29</v>
      </c>
      <c r="B26" s="178"/>
      <c r="C26" s="179" t="s">
        <v>566</v>
      </c>
      <c r="D26" s="180">
        <v>3</v>
      </c>
      <c r="E26" s="180" t="s">
        <v>120</v>
      </c>
      <c r="F26" s="182">
        <v>1000000</v>
      </c>
      <c r="G26" s="182">
        <f>ROUNDDOWN(D26*F26,-3)</f>
        <v>3000000</v>
      </c>
      <c r="H26" s="182" t="b">
        <f>G26='[5]Pvt SP2D Pusdik'!B27</f>
        <v>1</v>
      </c>
      <c r="I26" s="182">
        <f>'[5]Pvt SP2D Pusdik'!C27</f>
        <v>997300</v>
      </c>
      <c r="J26" s="182">
        <f t="shared" si="12"/>
        <v>2002700</v>
      </c>
      <c r="K26" s="182">
        <v>1000000</v>
      </c>
      <c r="L26" s="182"/>
      <c r="M26" s="182"/>
      <c r="N26" s="182"/>
      <c r="O26" s="252"/>
      <c r="P26" s="252"/>
      <c r="Q26" s="144"/>
    </row>
    <row r="27" spans="1:17" ht="13.2" x14ac:dyDescent="0.25">
      <c r="A27" s="163" t="s">
        <v>30</v>
      </c>
      <c r="B27" s="177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8000000</v>
      </c>
      <c r="L27" s="71">
        <f t="shared" ref="L27" si="13">L28</f>
        <v>0</v>
      </c>
      <c r="M27" s="71" t="e" cm="1">
        <f t="array" ref="M27">SUM(_xlfn._xlws.FILTER([6]!Draft_SPBY[Jumlah],[6]!Draft_SPBY[MAK4]=A27,0))</f>
        <v>#REF!</v>
      </c>
      <c r="N27" s="71" t="e">
        <f>L27-M27</f>
        <v>#REF!</v>
      </c>
      <c r="O27" s="252"/>
      <c r="P27" s="252"/>
      <c r="Q27" s="144"/>
    </row>
    <row r="28" spans="1:17" ht="13.2" x14ac:dyDescent="0.25">
      <c r="A28" s="163" t="s">
        <v>32</v>
      </c>
      <c r="B28" s="178"/>
      <c r="C28" s="179" t="s">
        <v>567</v>
      </c>
      <c r="D28" s="180">
        <v>16</v>
      </c>
      <c r="E28" s="180" t="s">
        <v>33</v>
      </c>
      <c r="F28" s="182">
        <v>1000000</v>
      </c>
      <c r="G28" s="182">
        <f>ROUNDDOWN(D28*F28,-3)</f>
        <v>16000000</v>
      </c>
      <c r="H28" s="182" t="b">
        <f>G28='[5]Pvt SP2D Pusdik'!B29</f>
        <v>1</v>
      </c>
      <c r="I28" s="182">
        <f>'[5]Pvt SP2D Pusdik'!C29</f>
        <v>0</v>
      </c>
      <c r="J28" s="182">
        <f>G28-I28</f>
        <v>16000000</v>
      </c>
      <c r="K28" s="182">
        <v>8000000</v>
      </c>
      <c r="L28" s="182"/>
      <c r="M28" s="182"/>
      <c r="N28" s="182"/>
      <c r="O28" s="252"/>
      <c r="P28" s="252"/>
      <c r="Q28" s="144"/>
    </row>
    <row r="29" spans="1:17" ht="13.2" x14ac:dyDescent="0.25">
      <c r="A29" s="163" t="s">
        <v>34</v>
      </c>
      <c r="B29" s="177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13350000</v>
      </c>
      <c r="L29" s="71">
        <f t="shared" ref="L29" si="14">L30</f>
        <v>0</v>
      </c>
      <c r="M29" s="71" t="e" cm="1">
        <f t="array" ref="M29">SUM(_xlfn._xlws.FILTER([6]!Draft_SPBY[Jumlah],[6]!Draft_SPBY[MAK4]=A29,0))</f>
        <v>#REF!</v>
      </c>
      <c r="N29" s="71" t="e">
        <f>L29-M29</f>
        <v>#REF!</v>
      </c>
      <c r="O29" s="252"/>
      <c r="P29" s="252"/>
      <c r="Q29" s="144"/>
    </row>
    <row r="30" spans="1:17" ht="13.2" x14ac:dyDescent="0.25">
      <c r="A30" s="163" t="s">
        <v>36</v>
      </c>
      <c r="B30" s="178"/>
      <c r="C30" s="179" t="s">
        <v>568</v>
      </c>
      <c r="D30" s="180">
        <v>13</v>
      </c>
      <c r="E30" s="180" t="s">
        <v>26</v>
      </c>
      <c r="F30" s="182">
        <v>5188308</v>
      </c>
      <c r="G30" s="182">
        <f>ROUNDDOWN(D30*F30,-3)</f>
        <v>67448000</v>
      </c>
      <c r="H30" s="182" t="b">
        <f>G30='[5]Pvt SP2D Pusdik'!B31</f>
        <v>1</v>
      </c>
      <c r="I30" s="182">
        <f>'[5]Pvt SP2D Pusdik'!C31</f>
        <v>51657400</v>
      </c>
      <c r="J30" s="182">
        <f>G30-I30</f>
        <v>15790600</v>
      </c>
      <c r="K30" s="182">
        <v>13350000</v>
      </c>
      <c r="L30" s="182"/>
      <c r="M30" s="182"/>
      <c r="N30" s="182"/>
      <c r="O30" s="252"/>
      <c r="P30" s="252"/>
      <c r="Q30" s="144"/>
    </row>
    <row r="31" spans="1:17" ht="13.2" x14ac:dyDescent="0.25">
      <c r="A31" s="163" t="s">
        <v>37</v>
      </c>
      <c r="B31" s="173" t="s">
        <v>38</v>
      </c>
      <c r="C31" s="174" t="s">
        <v>39</v>
      </c>
      <c r="D31" s="175"/>
      <c r="E31" s="175"/>
      <c r="F31" s="176"/>
      <c r="G31" s="176">
        <f>SUM(G32,G37,G39)</f>
        <v>54519000</v>
      </c>
      <c r="H31" s="176" t="b">
        <f>G31='[5]Pvt SP2D Pusdik'!B32</f>
        <v>1</v>
      </c>
      <c r="I31" s="176">
        <f>'[5]Pvt SP2D Pusdik'!C32</f>
        <v>29940800</v>
      </c>
      <c r="J31" s="176">
        <f>SUM(J32,J37,J39)</f>
        <v>24578200</v>
      </c>
      <c r="K31" s="176">
        <f>SUM(K32,K37,K39)</f>
        <v>9350000</v>
      </c>
      <c r="L31" s="176">
        <f t="shared" ref="L31" si="15">SUM(L32,L37,L39)</f>
        <v>0</v>
      </c>
      <c r="M31" s="176" t="e">
        <f t="shared" ref="M31:N31" si="16">SUM(M32,M37,M39)</f>
        <v>#REF!</v>
      </c>
      <c r="N31" s="176" t="e">
        <f t="shared" si="16"/>
        <v>#REF!</v>
      </c>
      <c r="O31" s="252" t="s">
        <v>497</v>
      </c>
      <c r="P31" s="252" t="s">
        <v>498</v>
      </c>
      <c r="Q31" s="144"/>
    </row>
    <row r="32" spans="1:17" ht="13.2" x14ac:dyDescent="0.25">
      <c r="A32" s="163" t="s">
        <v>40</v>
      </c>
      <c r="B32" s="177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 t="shared" ref="L32" si="17">SUM(L33:L36)</f>
        <v>0</v>
      </c>
      <c r="M32" s="71" t="e" cm="1">
        <f t="array" ref="M32">SUM(_xlfn._xlws.FILTER([6]!Draft_SPBY[Jumlah],[6]!Draft_SPBY[MAK4]=A32,0))</f>
        <v>#REF!</v>
      </c>
      <c r="N32" s="71" t="e">
        <f>L32-M32</f>
        <v>#REF!</v>
      </c>
      <c r="O32" s="252"/>
      <c r="P32" s="252"/>
      <c r="Q32" s="144"/>
    </row>
    <row r="33" spans="1:17" ht="13.2" x14ac:dyDescent="0.25">
      <c r="A33" s="163" t="s">
        <v>41</v>
      </c>
      <c r="B33" s="178"/>
      <c r="C33" s="179" t="s">
        <v>563</v>
      </c>
      <c r="D33" s="180">
        <v>140</v>
      </c>
      <c r="E33" s="180" t="s">
        <v>26</v>
      </c>
      <c r="F33" s="182">
        <v>75000</v>
      </c>
      <c r="G33" s="182">
        <f>ROUNDDOWN(D33*F33,-3)</f>
        <v>10500000</v>
      </c>
      <c r="H33" s="182" t="b">
        <f>G33='[5]Pvt SP2D Pusdik'!B34</f>
        <v>1</v>
      </c>
      <c r="I33" s="182">
        <f>'[5]Pvt SP2D Pusdik'!C34</f>
        <v>3695800</v>
      </c>
      <c r="J33" s="182">
        <f t="shared" ref="J33:J36" si="18">G33-I33</f>
        <v>6804200</v>
      </c>
      <c r="K33" s="182">
        <v>1500000</v>
      </c>
      <c r="L33" s="182"/>
      <c r="M33" s="182"/>
      <c r="N33" s="182"/>
      <c r="O33" s="252"/>
      <c r="P33" s="252"/>
      <c r="Q33" s="144"/>
    </row>
    <row r="34" spans="1:17" ht="13.2" x14ac:dyDescent="0.25">
      <c r="A34" s="163" t="s">
        <v>42</v>
      </c>
      <c r="B34" s="178"/>
      <c r="C34" s="179" t="s">
        <v>564</v>
      </c>
      <c r="D34" s="180">
        <v>2</v>
      </c>
      <c r="E34" s="180" t="s">
        <v>120</v>
      </c>
      <c r="F34" s="182">
        <v>1000000</v>
      </c>
      <c r="G34" s="182">
        <f>ROUNDDOWN(D34*F34,-3)</f>
        <v>2000000</v>
      </c>
      <c r="H34" s="182" t="b">
        <f>G34='[5]Pvt SP2D Pusdik'!B35</f>
        <v>1</v>
      </c>
      <c r="I34" s="182">
        <f>'[5]Pvt SP2D Pusdik'!C35</f>
        <v>0</v>
      </c>
      <c r="J34" s="182">
        <f t="shared" si="18"/>
        <v>2000000</v>
      </c>
      <c r="K34" s="182">
        <v>2000000</v>
      </c>
      <c r="L34" s="182"/>
      <c r="M34" s="182"/>
      <c r="N34" s="182"/>
      <c r="O34" s="252"/>
      <c r="P34" s="252"/>
      <c r="Q34" s="144"/>
    </row>
    <row r="35" spans="1:17" ht="13.2" hidden="1" x14ac:dyDescent="0.25">
      <c r="A35" s="163" t="s">
        <v>43</v>
      </c>
      <c r="B35" s="178"/>
      <c r="C35" s="179" t="s">
        <v>565</v>
      </c>
      <c r="D35" s="180">
        <v>2</v>
      </c>
      <c r="E35" s="180" t="s">
        <v>120</v>
      </c>
      <c r="F35" s="182">
        <v>1500000</v>
      </c>
      <c r="G35" s="182">
        <f>ROUNDDOWN(D35*F35,-3)</f>
        <v>3000000</v>
      </c>
      <c r="H35" s="182" t="b">
        <f>G35='[5]Pvt SP2D Pusdik'!B36</f>
        <v>1</v>
      </c>
      <c r="I35" s="182">
        <f>'[5]Pvt SP2D Pusdik'!C36</f>
        <v>1475000</v>
      </c>
      <c r="J35" s="182">
        <f t="shared" si="18"/>
        <v>1525000</v>
      </c>
      <c r="K35" s="182"/>
      <c r="L35" s="182"/>
      <c r="M35" s="182"/>
      <c r="N35" s="182"/>
      <c r="O35" s="252"/>
      <c r="P35" s="252"/>
      <c r="Q35" s="144"/>
    </row>
    <row r="36" spans="1:17" ht="13.2" hidden="1" x14ac:dyDescent="0.25">
      <c r="A36" s="163" t="s">
        <v>44</v>
      </c>
      <c r="B36" s="178"/>
      <c r="C36" s="179" t="s">
        <v>566</v>
      </c>
      <c r="D36" s="180">
        <v>2</v>
      </c>
      <c r="E36" s="180" t="s">
        <v>120</v>
      </c>
      <c r="F36" s="182">
        <v>1000000</v>
      </c>
      <c r="G36" s="182">
        <f>ROUNDDOWN(D36*F36,-3)</f>
        <v>2000000</v>
      </c>
      <c r="H36" s="182" t="b">
        <f>G36='[5]Pvt SP2D Pusdik'!B37</f>
        <v>1</v>
      </c>
      <c r="I36" s="182">
        <f>'[5]Pvt SP2D Pusdik'!C37</f>
        <v>990000</v>
      </c>
      <c r="J36" s="182">
        <f t="shared" si="18"/>
        <v>1010000</v>
      </c>
      <c r="K36" s="182"/>
      <c r="L36" s="182"/>
      <c r="M36" s="182"/>
      <c r="N36" s="182"/>
      <c r="O36" s="252"/>
      <c r="P36" s="252"/>
      <c r="Q36" s="144"/>
    </row>
    <row r="37" spans="1:17" ht="13.2" hidden="1" x14ac:dyDescent="0.25">
      <c r="A37" s="163" t="s">
        <v>45</v>
      </c>
      <c r="B37" s="177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 t="shared" ref="L37" si="19">L38</f>
        <v>0</v>
      </c>
      <c r="M37" s="71" t="e" cm="1">
        <f t="array" ref="M37">SUM(_xlfn._xlws.FILTER([6]!Draft_SPBY[Jumlah],[6]!Draft_SPBY[MAK4]=A37,0))</f>
        <v>#REF!</v>
      </c>
      <c r="N37" s="71" t="e">
        <f>L37-M37</f>
        <v>#REF!</v>
      </c>
      <c r="O37" s="252"/>
      <c r="P37" s="252"/>
      <c r="Q37" s="144"/>
    </row>
    <row r="38" spans="1:17" ht="13.2" hidden="1" x14ac:dyDescent="0.25">
      <c r="A38" s="163" t="s">
        <v>46</v>
      </c>
      <c r="B38" s="178"/>
      <c r="C38" s="179" t="s">
        <v>567</v>
      </c>
      <c r="D38" s="180">
        <v>5</v>
      </c>
      <c r="E38" s="180" t="s">
        <v>33</v>
      </c>
      <c r="F38" s="182">
        <v>1000000</v>
      </c>
      <c r="G38" s="182">
        <f>ROUNDDOWN(D38*F38,-3)</f>
        <v>5000000</v>
      </c>
      <c r="H38" s="182" t="b">
        <f>G38='[5]Pvt SP2D Pusdik'!B39</f>
        <v>1</v>
      </c>
      <c r="I38" s="182">
        <f>'[5]Pvt SP2D Pusdik'!C39</f>
        <v>2400000</v>
      </c>
      <c r="J38" s="182">
        <f>G38-I38</f>
        <v>2600000</v>
      </c>
      <c r="K38" s="182"/>
      <c r="L38" s="182"/>
      <c r="M38" s="182"/>
      <c r="N38" s="182"/>
      <c r="O38" s="252"/>
      <c r="P38" s="252"/>
      <c r="Q38" s="144"/>
    </row>
    <row r="39" spans="1:17" ht="13.2" x14ac:dyDescent="0.25">
      <c r="A39" s="163" t="s">
        <v>47</v>
      </c>
      <c r="B39" s="177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5850000</v>
      </c>
      <c r="L39" s="71">
        <f t="shared" ref="L39" si="20">L40</f>
        <v>0</v>
      </c>
      <c r="M39" s="71" t="e" cm="1">
        <f t="array" ref="M39">SUM(_xlfn._xlws.FILTER([6]!Draft_SPBY[Jumlah],[6]!Draft_SPBY[MAK4]=A39,0))</f>
        <v>#REF!</v>
      </c>
      <c r="N39" s="71" t="e">
        <f>L39-M39</f>
        <v>#REF!</v>
      </c>
      <c r="O39" s="252"/>
      <c r="P39" s="252"/>
      <c r="Q39" s="144"/>
    </row>
    <row r="40" spans="1:17" ht="13.2" x14ac:dyDescent="0.25">
      <c r="A40" s="163" t="s">
        <v>48</v>
      </c>
      <c r="B40" s="178"/>
      <c r="C40" s="179" t="s">
        <v>569</v>
      </c>
      <c r="D40" s="180">
        <v>11</v>
      </c>
      <c r="E40" s="180" t="s">
        <v>26</v>
      </c>
      <c r="F40" s="182">
        <v>2910883</v>
      </c>
      <c r="G40" s="182">
        <f>ROUNDDOWN(D40*F40,-3)</f>
        <v>32019000</v>
      </c>
      <c r="H40" s="182" t="b">
        <f>G40='[5]Pvt SP2D Pusdik'!B41</f>
        <v>1</v>
      </c>
      <c r="I40" s="182">
        <f>'[5]Pvt SP2D Pusdik'!C41</f>
        <v>21380000</v>
      </c>
      <c r="J40" s="182">
        <f>G40-I40</f>
        <v>10639000</v>
      </c>
      <c r="K40" s="182">
        <v>5850000</v>
      </c>
      <c r="L40" s="182"/>
      <c r="M40" s="182"/>
      <c r="N40" s="182"/>
      <c r="O40" s="252"/>
      <c r="P40" s="252"/>
      <c r="Q40" s="144"/>
    </row>
    <row r="41" spans="1:17" ht="13.2" x14ac:dyDescent="0.25">
      <c r="A41" s="163" t="s">
        <v>49</v>
      </c>
      <c r="B41" s="183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 t="shared" ref="L41" si="21">SUM(L42,L50)</f>
        <v>0</v>
      </c>
      <c r="M41" s="68" t="e">
        <f t="shared" ref="M41:N41" si="22">SUM(M42,M50)</f>
        <v>#REF!</v>
      </c>
      <c r="N41" s="68" t="e">
        <f t="shared" si="22"/>
        <v>#REF!</v>
      </c>
      <c r="O41" s="252"/>
      <c r="P41" s="252"/>
      <c r="Q41" s="144"/>
    </row>
    <row r="42" spans="1:17" ht="13.2" x14ac:dyDescent="0.25">
      <c r="A42" s="163" t="s">
        <v>52</v>
      </c>
      <c r="B42" s="173" t="s">
        <v>21</v>
      </c>
      <c r="C42" s="174" t="s">
        <v>570</v>
      </c>
      <c r="D42" s="175"/>
      <c r="E42" s="175"/>
      <c r="F42" s="176"/>
      <c r="G42" s="176">
        <f>SUM(G43,G48)</f>
        <v>35050000</v>
      </c>
      <c r="H42" s="176" t="b">
        <f>G42='[5]Pvt SP2D Pusdik'!B43</f>
        <v>1</v>
      </c>
      <c r="I42" s="176">
        <f>'[5]Pvt SP2D Pusdik'!C43</f>
        <v>23210000</v>
      </c>
      <c r="J42" s="176">
        <f>SUM(J43,J48)</f>
        <v>11840000</v>
      </c>
      <c r="K42" s="176">
        <f>SUM(K43,K48)</f>
        <v>5500000</v>
      </c>
      <c r="L42" s="176">
        <f t="shared" ref="L42" si="23">SUM(L43,L48)</f>
        <v>0</v>
      </c>
      <c r="M42" s="176" t="e">
        <f t="shared" ref="M42:N42" si="24">SUM(M43,M48)</f>
        <v>#REF!</v>
      </c>
      <c r="N42" s="176" t="e">
        <f t="shared" si="24"/>
        <v>#REF!</v>
      </c>
      <c r="O42" s="252" t="s">
        <v>497</v>
      </c>
      <c r="P42" s="252" t="s">
        <v>499</v>
      </c>
      <c r="Q42" s="144"/>
    </row>
    <row r="43" spans="1:17" ht="13.2" x14ac:dyDescent="0.25">
      <c r="A43" s="163" t="s">
        <v>53</v>
      </c>
      <c r="B43" s="177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 t="shared" ref="L43" si="25">SUM(L44:L47)</f>
        <v>0</v>
      </c>
      <c r="M43" s="71" t="e" cm="1">
        <f t="array" ref="M43">SUM(_xlfn._xlws.FILTER([6]!Draft_SPBY[Jumlah],[6]!Draft_SPBY[MAK4]=A43,0))</f>
        <v>#REF!</v>
      </c>
      <c r="N43" s="71" t="e">
        <f>L43-M43</f>
        <v>#REF!</v>
      </c>
      <c r="O43" s="252"/>
      <c r="P43" s="252"/>
      <c r="Q43" s="144"/>
    </row>
    <row r="44" spans="1:17" ht="13.2" x14ac:dyDescent="0.25">
      <c r="A44" s="163" t="s">
        <v>54</v>
      </c>
      <c r="B44" s="178"/>
      <c r="C44" s="179" t="s">
        <v>563</v>
      </c>
      <c r="D44" s="180">
        <v>100</v>
      </c>
      <c r="E44" s="180" t="s">
        <v>26</v>
      </c>
      <c r="F44" s="182">
        <v>75000</v>
      </c>
      <c r="G44" s="182">
        <f>ROUNDDOWN(D44*F44,-3)</f>
        <v>7500000</v>
      </c>
      <c r="H44" s="182" t="b">
        <f>G44='[5]Pvt SP2D Pusdik'!B45</f>
        <v>1</v>
      </c>
      <c r="I44" s="182">
        <f>'[5]Pvt SP2D Pusdik'!C45</f>
        <v>2442000</v>
      </c>
      <c r="J44" s="182">
        <f t="shared" ref="J44:J47" si="26">G44-I44</f>
        <v>5058000</v>
      </c>
      <c r="K44" s="182">
        <v>1500000</v>
      </c>
      <c r="L44" s="182"/>
      <c r="M44" s="182"/>
      <c r="N44" s="182"/>
      <c r="O44" s="252"/>
      <c r="P44" s="252"/>
      <c r="Q44" s="144"/>
    </row>
    <row r="45" spans="1:17" ht="13.2" hidden="1" x14ac:dyDescent="0.25">
      <c r="A45" s="163" t="s">
        <v>56</v>
      </c>
      <c r="B45" s="178"/>
      <c r="C45" s="179" t="s">
        <v>571</v>
      </c>
      <c r="D45" s="180">
        <v>1</v>
      </c>
      <c r="E45" s="180" t="s">
        <v>120</v>
      </c>
      <c r="F45" s="182">
        <v>1500000</v>
      </c>
      <c r="G45" s="182">
        <f>ROUNDDOWN(D45*F45,-3)</f>
        <v>1500000</v>
      </c>
      <c r="H45" s="182" t="b">
        <f>G45='[5]Pvt SP2D Pusdik'!B46</f>
        <v>1</v>
      </c>
      <c r="I45" s="182">
        <f>'[5]Pvt SP2D Pusdik'!C46</f>
        <v>1470000</v>
      </c>
      <c r="J45" s="182">
        <f t="shared" si="26"/>
        <v>30000</v>
      </c>
      <c r="K45" s="182"/>
      <c r="L45" s="182"/>
      <c r="M45" s="182"/>
      <c r="N45" s="182"/>
      <c r="O45" s="252"/>
      <c r="P45" s="252"/>
      <c r="Q45" s="144"/>
    </row>
    <row r="46" spans="1:17" ht="13.2" hidden="1" x14ac:dyDescent="0.25">
      <c r="A46" s="163" t="s">
        <v>57</v>
      </c>
      <c r="B46" s="178"/>
      <c r="C46" s="179" t="s">
        <v>572</v>
      </c>
      <c r="D46" s="180">
        <v>1</v>
      </c>
      <c r="E46" s="180" t="s">
        <v>120</v>
      </c>
      <c r="F46" s="182">
        <v>1000000</v>
      </c>
      <c r="G46" s="182">
        <f>ROUNDDOWN(D46*F46,-3)</f>
        <v>1000000</v>
      </c>
      <c r="H46" s="182" t="b">
        <f>G46='[5]Pvt SP2D Pusdik'!B47</f>
        <v>1</v>
      </c>
      <c r="I46" s="182">
        <f>'[5]Pvt SP2D Pusdik'!C47</f>
        <v>988000</v>
      </c>
      <c r="J46" s="182">
        <f t="shared" si="26"/>
        <v>12000</v>
      </c>
      <c r="K46" s="182"/>
      <c r="L46" s="182"/>
      <c r="M46" s="182"/>
      <c r="N46" s="182"/>
      <c r="O46" s="252"/>
      <c r="P46" s="252"/>
      <c r="Q46" s="144"/>
    </row>
    <row r="47" spans="1:17" ht="13.2" hidden="1" x14ac:dyDescent="0.25">
      <c r="A47" s="163" t="s">
        <v>58</v>
      </c>
      <c r="B47" s="178"/>
      <c r="C47" s="179" t="s">
        <v>573</v>
      </c>
      <c r="D47" s="180">
        <v>3</v>
      </c>
      <c r="E47" s="180" t="s">
        <v>59</v>
      </c>
      <c r="F47" s="182">
        <v>350000</v>
      </c>
      <c r="G47" s="182">
        <f>ROUNDDOWN(D47*F47,-3)</f>
        <v>1050000</v>
      </c>
      <c r="H47" s="182" t="b">
        <f>G47='[5]Pvt SP2D Pusdik'!B48</f>
        <v>1</v>
      </c>
      <c r="I47" s="182">
        <f>'[5]Pvt SP2D Pusdik'!C48</f>
        <v>0</v>
      </c>
      <c r="J47" s="182">
        <f t="shared" si="26"/>
        <v>1050000</v>
      </c>
      <c r="K47" s="182"/>
      <c r="L47" s="182"/>
      <c r="M47" s="182"/>
      <c r="N47" s="182"/>
      <c r="O47" s="252"/>
      <c r="P47" s="252"/>
      <c r="Q47" s="144"/>
    </row>
    <row r="48" spans="1:17" ht="13.2" x14ac:dyDescent="0.25">
      <c r="A48" s="163" t="s">
        <v>60</v>
      </c>
      <c r="B48" s="184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 t="shared" ref="L48" si="27">L49</f>
        <v>0</v>
      </c>
      <c r="M48" s="76" t="e" cm="1">
        <f t="array" ref="M48">SUM(_xlfn._xlws.FILTER([6]!Draft_SPBY[Jumlah],[6]!Draft_SPBY[MAK4]=A48,0))</f>
        <v>#REF!</v>
      </c>
      <c r="N48" s="76" t="e">
        <f>L48-M48</f>
        <v>#REF!</v>
      </c>
      <c r="O48" s="252"/>
      <c r="P48" s="252"/>
      <c r="Q48" s="144"/>
    </row>
    <row r="49" spans="1:17" ht="13.2" x14ac:dyDescent="0.25">
      <c r="A49" s="163" t="s">
        <v>61</v>
      </c>
      <c r="B49" s="178"/>
      <c r="C49" s="179" t="s">
        <v>574</v>
      </c>
      <c r="D49" s="180">
        <v>6</v>
      </c>
      <c r="E49" s="180" t="s">
        <v>26</v>
      </c>
      <c r="F49" s="182">
        <v>4000000</v>
      </c>
      <c r="G49" s="182">
        <f>ROUNDDOWN(D49*F49,-3)</f>
        <v>24000000</v>
      </c>
      <c r="H49" s="182" t="b">
        <f>G49='[5]Pvt SP2D Pusdik'!B50</f>
        <v>1</v>
      </c>
      <c r="I49" s="182">
        <f>'[5]Pvt SP2D Pusdik'!C50</f>
        <v>18310000</v>
      </c>
      <c r="J49" s="182">
        <f>G49-I49</f>
        <v>5690000</v>
      </c>
      <c r="K49" s="182">
        <v>4000000</v>
      </c>
      <c r="L49" s="182"/>
      <c r="M49" s="182"/>
      <c r="N49" s="182"/>
      <c r="O49" s="252"/>
      <c r="P49" s="252"/>
      <c r="Q49" s="144"/>
    </row>
    <row r="50" spans="1:17" ht="13.2" hidden="1" x14ac:dyDescent="0.25">
      <c r="A50" s="163" t="s">
        <v>62</v>
      </c>
      <c r="B50" s="185" t="s">
        <v>38</v>
      </c>
      <c r="C50" s="186" t="s">
        <v>575</v>
      </c>
      <c r="D50" s="187"/>
      <c r="E50" s="187"/>
      <c r="F50" s="188"/>
      <c r="G50" s="188">
        <f>SUM(G51,G56,G58)</f>
        <v>83752000</v>
      </c>
      <c r="H50" s="188" t="b">
        <f>G50='[5]Pvt SP2D Pusdik'!B51</f>
        <v>1</v>
      </c>
      <c r="I50" s="188">
        <f>'[5]Pvt SP2D Pusdik'!C51</f>
        <v>16972856</v>
      </c>
      <c r="J50" s="188">
        <f>SUM(J51,J56,J58)</f>
        <v>66779144</v>
      </c>
      <c r="K50" s="188">
        <f>SUM(K51,K56,K58)</f>
        <v>0</v>
      </c>
      <c r="L50" s="188">
        <f t="shared" ref="L50" si="28">SUM(L51,L56,L58)</f>
        <v>0</v>
      </c>
      <c r="M50" s="188" t="e">
        <f t="shared" ref="M50:N50" si="29">SUM(M51,M56,M58)</f>
        <v>#REF!</v>
      </c>
      <c r="N50" s="188" t="e">
        <f t="shared" si="29"/>
        <v>#REF!</v>
      </c>
      <c r="O50" s="252" t="s">
        <v>497</v>
      </c>
      <c r="P50" s="252" t="s">
        <v>499</v>
      </c>
      <c r="Q50" s="144"/>
    </row>
    <row r="51" spans="1:17" ht="13.2" hidden="1" x14ac:dyDescent="0.25">
      <c r="A51" s="163" t="s">
        <v>576</v>
      </c>
      <c r="B51" s="184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 t="shared" ref="L51" si="30">SUM(L52:L55)</f>
        <v>0</v>
      </c>
      <c r="M51" s="76" t="e" cm="1">
        <f t="array" ref="M51">SUM(_xlfn._xlws.FILTER([6]!Draft_SPBY[Jumlah],[6]!Draft_SPBY[MAK4]=A51,0))</f>
        <v>#REF!</v>
      </c>
      <c r="N51" s="76" t="e">
        <f>L51-M51</f>
        <v>#REF!</v>
      </c>
      <c r="O51" s="252"/>
      <c r="P51" s="252"/>
      <c r="Q51" s="144"/>
    </row>
    <row r="52" spans="1:17" ht="13.2" hidden="1" x14ac:dyDescent="0.25">
      <c r="A52" s="163" t="s">
        <v>577</v>
      </c>
      <c r="B52" s="178"/>
      <c r="C52" s="179" t="s">
        <v>563</v>
      </c>
      <c r="D52" s="180">
        <v>100</v>
      </c>
      <c r="E52" s="180" t="s">
        <v>26</v>
      </c>
      <c r="F52" s="182">
        <v>75000</v>
      </c>
      <c r="G52" s="182">
        <f>ROUNDDOWN(D52*F52,-3)</f>
        <v>7500000</v>
      </c>
      <c r="H52" s="182" t="b">
        <f>G52='[5]Pvt SP2D Pusdik'!B53</f>
        <v>1</v>
      </c>
      <c r="I52" s="182">
        <f>'[5]Pvt SP2D Pusdik'!C53</f>
        <v>1584000</v>
      </c>
      <c r="J52" s="182">
        <f t="shared" ref="J52:J55" si="31">G52-I52</f>
        <v>5916000</v>
      </c>
      <c r="K52" s="182"/>
      <c r="L52" s="182"/>
      <c r="M52" s="182"/>
      <c r="N52" s="182"/>
      <c r="O52" s="252"/>
      <c r="P52" s="252"/>
      <c r="Q52" s="144"/>
    </row>
    <row r="53" spans="1:17" ht="13.2" hidden="1" x14ac:dyDescent="0.25">
      <c r="A53" s="163" t="s">
        <v>578</v>
      </c>
      <c r="B53" s="178"/>
      <c r="C53" s="179" t="s">
        <v>571</v>
      </c>
      <c r="D53" s="180">
        <v>2</v>
      </c>
      <c r="E53" s="180" t="s">
        <v>120</v>
      </c>
      <c r="F53" s="182">
        <v>1500000</v>
      </c>
      <c r="G53" s="182">
        <f>ROUNDDOWN(D53*F53,-3)</f>
        <v>3000000</v>
      </c>
      <c r="H53" s="182" t="b">
        <f>G53='[5]Pvt SP2D Pusdik'!B54</f>
        <v>1</v>
      </c>
      <c r="I53" s="182">
        <f>'[5]Pvt SP2D Pusdik'!C54</f>
        <v>1495000</v>
      </c>
      <c r="J53" s="182">
        <f t="shared" si="31"/>
        <v>1505000</v>
      </c>
      <c r="K53" s="182"/>
      <c r="L53" s="182"/>
      <c r="M53" s="182"/>
      <c r="N53" s="182"/>
      <c r="O53" s="252"/>
      <c r="P53" s="252"/>
      <c r="Q53" s="144"/>
    </row>
    <row r="54" spans="1:17" ht="13.2" hidden="1" x14ac:dyDescent="0.25">
      <c r="A54" s="163" t="s">
        <v>579</v>
      </c>
      <c r="B54" s="178"/>
      <c r="C54" s="179" t="s">
        <v>572</v>
      </c>
      <c r="D54" s="180">
        <v>2</v>
      </c>
      <c r="E54" s="180" t="s">
        <v>120</v>
      </c>
      <c r="F54" s="182">
        <v>1000000</v>
      </c>
      <c r="G54" s="182">
        <f>ROUNDDOWN(D54*F54,-3)</f>
        <v>2000000</v>
      </c>
      <c r="H54" s="182" t="b">
        <f>G54='[5]Pvt SP2D Pusdik'!B55</f>
        <v>1</v>
      </c>
      <c r="I54" s="182">
        <f>'[5]Pvt SP2D Pusdik'!C55</f>
        <v>990000</v>
      </c>
      <c r="J54" s="182">
        <f t="shared" si="31"/>
        <v>1010000</v>
      </c>
      <c r="K54" s="182"/>
      <c r="L54" s="182"/>
      <c r="M54" s="182"/>
      <c r="N54" s="182"/>
      <c r="O54" s="252"/>
      <c r="P54" s="252"/>
      <c r="Q54" s="144"/>
    </row>
    <row r="55" spans="1:17" ht="13.2" hidden="1" x14ac:dyDescent="0.25">
      <c r="A55" s="189" t="s">
        <v>580</v>
      </c>
      <c r="B55" s="178"/>
      <c r="C55" s="179" t="s">
        <v>581</v>
      </c>
      <c r="D55" s="180">
        <v>4</v>
      </c>
      <c r="E55" s="180" t="s">
        <v>59</v>
      </c>
      <c r="F55" s="182">
        <v>250000</v>
      </c>
      <c r="G55" s="182">
        <f>ROUNDDOWN(D55*F55,-3)</f>
        <v>1000000</v>
      </c>
      <c r="H55" s="182" t="b">
        <f>G55='[5]Pvt SP2D Pusdik'!B56</f>
        <v>1</v>
      </c>
      <c r="I55" s="182">
        <f>'[5]Pvt SP2D Pusdik'!C56</f>
        <v>0</v>
      </c>
      <c r="J55" s="182">
        <f t="shared" si="31"/>
        <v>1000000</v>
      </c>
      <c r="K55" s="182"/>
      <c r="L55" s="182"/>
      <c r="M55" s="182"/>
      <c r="N55" s="182"/>
      <c r="O55" s="252"/>
      <c r="P55" s="252"/>
      <c r="Q55" s="144"/>
    </row>
    <row r="56" spans="1:17" ht="13.2" hidden="1" x14ac:dyDescent="0.25">
      <c r="A56" s="163" t="s">
        <v>582</v>
      </c>
      <c r="B56" s="190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 t="shared" ref="L56" si="32">L57</f>
        <v>0</v>
      </c>
      <c r="M56" s="79" t="e" cm="1">
        <f t="array" ref="M56">SUM(_xlfn._xlws.FILTER([6]!Draft_SPBY[Jumlah],[6]!Draft_SPBY[MAK4]=A56,0))</f>
        <v>#REF!</v>
      </c>
      <c r="N56" s="79" t="e">
        <f>L56-M56</f>
        <v>#REF!</v>
      </c>
      <c r="O56" s="252"/>
      <c r="P56" s="252"/>
      <c r="Q56" s="144"/>
    </row>
    <row r="57" spans="1:17" ht="13.2" hidden="1" x14ac:dyDescent="0.25">
      <c r="A57" s="163" t="s">
        <v>583</v>
      </c>
      <c r="B57" s="178"/>
      <c r="C57" s="179" t="s">
        <v>567</v>
      </c>
      <c r="D57" s="180">
        <v>4</v>
      </c>
      <c r="E57" s="180" t="s">
        <v>33</v>
      </c>
      <c r="F57" s="182">
        <v>1000000</v>
      </c>
      <c r="G57" s="182">
        <f>ROUNDDOWN(D57*F57,-3)</f>
        <v>4000000</v>
      </c>
      <c r="H57" s="182" t="b">
        <f>G57='[5]Pvt SP2D Pusdik'!B58</f>
        <v>1</v>
      </c>
      <c r="I57" s="182">
        <f>'[5]Pvt SP2D Pusdik'!C58</f>
        <v>0</v>
      </c>
      <c r="J57" s="182">
        <f>G57-I57</f>
        <v>4000000</v>
      </c>
      <c r="K57" s="182"/>
      <c r="L57" s="182"/>
      <c r="M57" s="182"/>
      <c r="N57" s="182"/>
      <c r="O57" s="252"/>
      <c r="P57" s="252"/>
      <c r="Q57" s="144"/>
    </row>
    <row r="58" spans="1:17" ht="13.2" hidden="1" x14ac:dyDescent="0.25">
      <c r="A58" s="163" t="s">
        <v>63</v>
      </c>
      <c r="B58" s="184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 t="shared" ref="L58" si="33">L59</f>
        <v>0</v>
      </c>
      <c r="M58" s="76" t="e" cm="1">
        <f t="array" ref="M58">SUM(_xlfn._xlws.FILTER([6]!Draft_SPBY[Jumlah],[6]!Draft_SPBY[MAK4]=A58,0))</f>
        <v>#REF!</v>
      </c>
      <c r="N58" s="76" t="e">
        <f>L58-M58</f>
        <v>#REF!</v>
      </c>
      <c r="O58" s="252"/>
      <c r="P58" s="252"/>
      <c r="Q58" s="144"/>
    </row>
    <row r="59" spans="1:17" ht="13.2" hidden="1" x14ac:dyDescent="0.25">
      <c r="A59" s="163" t="s">
        <v>64</v>
      </c>
      <c r="B59" s="178"/>
      <c r="C59" s="179" t="s">
        <v>584</v>
      </c>
      <c r="D59" s="180">
        <v>12</v>
      </c>
      <c r="E59" s="180" t="s">
        <v>26</v>
      </c>
      <c r="F59" s="182">
        <v>5521000</v>
      </c>
      <c r="G59" s="182">
        <f>ROUNDDOWN(D59*F59,-3)</f>
        <v>66252000</v>
      </c>
      <c r="H59" s="182" t="b">
        <f>G59='[5]Pvt SP2D Pusdik'!B60</f>
        <v>1</v>
      </c>
      <c r="I59" s="182">
        <f>'[5]Pvt SP2D Pusdik'!C60</f>
        <v>12903856</v>
      </c>
      <c r="J59" s="182">
        <f>G59-I59</f>
        <v>53348144</v>
      </c>
      <c r="K59" s="182"/>
      <c r="L59" s="182"/>
      <c r="M59" s="182"/>
      <c r="N59" s="182"/>
      <c r="O59" s="252"/>
      <c r="P59" s="252"/>
      <c r="Q59" s="144"/>
    </row>
    <row r="60" spans="1:17" ht="13.2" x14ac:dyDescent="0.25">
      <c r="A60" s="163" t="s">
        <v>65</v>
      </c>
      <c r="B60" s="191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 t="shared" ref="L60" si="34">SUM(L61,L74)</f>
        <v>0</v>
      </c>
      <c r="M60" s="82" t="e">
        <f t="shared" ref="M60:N60" si="35">SUM(M61,M74)</f>
        <v>#REF!</v>
      </c>
      <c r="N60" s="82" t="e">
        <f t="shared" si="35"/>
        <v>#REF!</v>
      </c>
      <c r="O60" s="252"/>
      <c r="P60" s="252"/>
      <c r="Q60" s="144"/>
    </row>
    <row r="61" spans="1:17" ht="13.2" x14ac:dyDescent="0.25">
      <c r="A61" s="163" t="s">
        <v>68</v>
      </c>
      <c r="B61" s="185" t="s">
        <v>21</v>
      </c>
      <c r="C61" s="186" t="s">
        <v>585</v>
      </c>
      <c r="D61" s="187"/>
      <c r="E61" s="187"/>
      <c r="F61" s="188"/>
      <c r="G61" s="188">
        <f>SUM(G62,G67,G69,G71,G73)</f>
        <v>404820000</v>
      </c>
      <c r="H61" s="188" t="b">
        <f>G61='[5]Pvt SP2D Pusdik'!B62</f>
        <v>1</v>
      </c>
      <c r="I61" s="188">
        <f>'[5]Pvt SP2D Pusdik'!C62</f>
        <v>215290807</v>
      </c>
      <c r="J61" s="188">
        <f>SUM(J62,J67,J69,J71,J73)</f>
        <v>189529193</v>
      </c>
      <c r="K61" s="188">
        <f>SUM(K62,K67,K69,K71,K73)</f>
        <v>17521000</v>
      </c>
      <c r="L61" s="188">
        <f t="shared" ref="L61" si="36">SUM(L62,L68,L70,L72)</f>
        <v>0</v>
      </c>
      <c r="M61" s="188" t="e">
        <f t="shared" ref="M61:N61" si="37">SUM(M62,M68,M70,M72)</f>
        <v>#REF!</v>
      </c>
      <c r="N61" s="188" t="e">
        <f t="shared" si="37"/>
        <v>#REF!</v>
      </c>
      <c r="O61" s="252" t="s">
        <v>500</v>
      </c>
      <c r="P61" s="252" t="s">
        <v>501</v>
      </c>
      <c r="Q61" s="144"/>
    </row>
    <row r="62" spans="1:17" ht="13.2" hidden="1" x14ac:dyDescent="0.25">
      <c r="A62" s="163" t="s">
        <v>69</v>
      </c>
      <c r="B62" s="184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 t="shared" ref="L62" si="38">SUM(L63:L67)</f>
        <v>0</v>
      </c>
      <c r="M62" s="76" t="e" cm="1">
        <f t="array" ref="M62">SUM(_xlfn._xlws.FILTER([6]!Draft_SPBY[Jumlah],[6]!Draft_SPBY[MAK4]=A62,0))</f>
        <v>#REF!</v>
      </c>
      <c r="N62" s="76" t="e">
        <f>L62-M62</f>
        <v>#REF!</v>
      </c>
      <c r="O62" s="252"/>
      <c r="P62" s="252"/>
      <c r="Q62" s="144"/>
    </row>
    <row r="63" spans="1:17" ht="13.2" hidden="1" x14ac:dyDescent="0.25">
      <c r="A63" s="163" t="s">
        <v>70</v>
      </c>
      <c r="B63" s="178"/>
      <c r="C63" s="179" t="s">
        <v>563</v>
      </c>
      <c r="D63" s="180">
        <v>200</v>
      </c>
      <c r="E63" s="180" t="s">
        <v>26</v>
      </c>
      <c r="F63" s="182">
        <v>75000</v>
      </c>
      <c r="G63" s="182">
        <f>ROUNDDOWN(D63*F63,-3)</f>
        <v>15000000</v>
      </c>
      <c r="H63" s="182" t="b">
        <f>G63='[5]Pvt SP2D Pusdik'!B64</f>
        <v>1</v>
      </c>
      <c r="I63" s="182">
        <f>'[5]Pvt SP2D Pusdik'!C64</f>
        <v>14240000</v>
      </c>
      <c r="J63" s="182">
        <f t="shared" ref="J63:J66" si="39">G63-I63</f>
        <v>760000</v>
      </c>
      <c r="K63" s="182"/>
      <c r="L63" s="182"/>
      <c r="M63" s="182"/>
      <c r="N63" s="182"/>
      <c r="O63" s="252"/>
      <c r="P63" s="252"/>
      <c r="Q63" s="144"/>
    </row>
    <row r="64" spans="1:17" ht="13.2" hidden="1" x14ac:dyDescent="0.25">
      <c r="A64" s="163" t="s">
        <v>71</v>
      </c>
      <c r="B64" s="178"/>
      <c r="C64" s="179" t="s">
        <v>564</v>
      </c>
      <c r="D64" s="180">
        <v>8</v>
      </c>
      <c r="E64" s="180" t="s">
        <v>120</v>
      </c>
      <c r="F64" s="182">
        <v>1000000</v>
      </c>
      <c r="G64" s="182">
        <f>ROUNDDOWN(D64*F64,-3)</f>
        <v>8000000</v>
      </c>
      <c r="H64" s="182" t="b">
        <f>G64='[5]Pvt SP2D Pusdik'!B65</f>
        <v>1</v>
      </c>
      <c r="I64" s="182">
        <f>'[5]Pvt SP2D Pusdik'!C65</f>
        <v>3989450</v>
      </c>
      <c r="J64" s="182">
        <f t="shared" si="39"/>
        <v>4010550</v>
      </c>
      <c r="K64" s="182"/>
      <c r="L64" s="182"/>
      <c r="M64" s="182"/>
      <c r="N64" s="182"/>
      <c r="O64" s="252"/>
      <c r="P64" s="252"/>
      <c r="Q64" s="144"/>
    </row>
    <row r="65" spans="1:17" ht="13.2" hidden="1" x14ac:dyDescent="0.25">
      <c r="A65" s="163" t="s">
        <v>72</v>
      </c>
      <c r="B65" s="178"/>
      <c r="C65" s="179" t="s">
        <v>565</v>
      </c>
      <c r="D65" s="180">
        <v>8</v>
      </c>
      <c r="E65" s="180" t="s">
        <v>120</v>
      </c>
      <c r="F65" s="182">
        <v>1500000</v>
      </c>
      <c r="G65" s="182">
        <f>ROUNDDOWN(D65*F65,-3)</f>
        <v>12000000</v>
      </c>
      <c r="H65" s="182" t="b">
        <f>G65='[5]Pvt SP2D Pusdik'!B66</f>
        <v>1</v>
      </c>
      <c r="I65" s="182">
        <f>'[5]Pvt SP2D Pusdik'!C66</f>
        <v>4460000</v>
      </c>
      <c r="J65" s="182">
        <f t="shared" si="39"/>
        <v>7540000</v>
      </c>
      <c r="K65" s="182"/>
      <c r="L65" s="182"/>
      <c r="M65" s="182"/>
      <c r="N65" s="182"/>
      <c r="O65" s="252"/>
      <c r="P65" s="252"/>
      <c r="Q65" s="144"/>
    </row>
    <row r="66" spans="1:17" ht="13.2" hidden="1" x14ac:dyDescent="0.25">
      <c r="A66" s="163" t="s">
        <v>586</v>
      </c>
      <c r="B66" s="178"/>
      <c r="C66" s="179" t="s">
        <v>566</v>
      </c>
      <c r="D66" s="180">
        <v>8</v>
      </c>
      <c r="E66" s="180" t="s">
        <v>120</v>
      </c>
      <c r="F66" s="182">
        <v>1000000</v>
      </c>
      <c r="G66" s="182">
        <f>ROUNDDOWN(D66*F66,-3)</f>
        <v>8000000</v>
      </c>
      <c r="H66" s="182" t="b">
        <f>G66='[5]Pvt SP2D Pusdik'!B67</f>
        <v>1</v>
      </c>
      <c r="I66" s="182">
        <f>'[5]Pvt SP2D Pusdik'!C67</f>
        <v>2989500</v>
      </c>
      <c r="J66" s="182">
        <f t="shared" si="39"/>
        <v>5010500</v>
      </c>
      <c r="K66" s="182"/>
      <c r="L66" s="182"/>
      <c r="M66" s="182"/>
      <c r="N66" s="182"/>
      <c r="O66" s="252"/>
      <c r="P66" s="252"/>
      <c r="Q66" s="144"/>
    </row>
    <row r="67" spans="1:17" ht="13.2" x14ac:dyDescent="0.25">
      <c r="A67" s="163" t="s">
        <v>945</v>
      </c>
      <c r="B67" s="177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/>
      <c r="M67" s="71"/>
      <c r="N67" s="71"/>
      <c r="O67" s="252"/>
      <c r="P67" s="252"/>
      <c r="Q67" s="144"/>
    </row>
    <row r="68" spans="1:17" ht="13.2" x14ac:dyDescent="0.25">
      <c r="A68" s="163" t="s">
        <v>946</v>
      </c>
      <c r="B68" s="178"/>
      <c r="C68" s="179" t="s">
        <v>947</v>
      </c>
      <c r="D68" s="180">
        <v>1</v>
      </c>
      <c r="E68" s="180" t="s">
        <v>120</v>
      </c>
      <c r="F68" s="182">
        <v>31000000</v>
      </c>
      <c r="G68" s="182">
        <f>ROUNDDOWN(D68*F68,-3)</f>
        <v>31000000</v>
      </c>
      <c r="H68" s="182" t="b">
        <f>G68='[5]Pvt SP2D Pusdik'!B69</f>
        <v>1</v>
      </c>
      <c r="I68" s="182">
        <f>'[5]Pvt SP2D Pusdik'!C69</f>
        <v>4147500</v>
      </c>
      <c r="J68" s="182">
        <f>G68-I68</f>
        <v>26852500</v>
      </c>
      <c r="K68" s="182">
        <v>2500000</v>
      </c>
      <c r="L68" s="182">
        <f t="shared" ref="L68" si="40">L69</f>
        <v>0</v>
      </c>
      <c r="M68" s="182" t="e" cm="1">
        <f t="array" ref="M68">SUM(_xlfn._xlws.FILTER([6]!Draft_SPBY[Jumlah],[6]!Draft_SPBY[MAK4]=A68,0))</f>
        <v>#REF!</v>
      </c>
      <c r="N68" s="182" t="e">
        <f>L68-M68</f>
        <v>#REF!</v>
      </c>
      <c r="O68" s="252"/>
      <c r="P68" s="252"/>
      <c r="Q68" s="144"/>
    </row>
    <row r="69" spans="1:17" ht="13.2" hidden="1" x14ac:dyDescent="0.25">
      <c r="A69" s="163" t="s">
        <v>75</v>
      </c>
      <c r="B69" s="184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/>
      <c r="M69" s="76"/>
      <c r="N69" s="76"/>
      <c r="O69" s="252"/>
      <c r="P69" s="252"/>
      <c r="Q69" s="144"/>
    </row>
    <row r="70" spans="1:17" ht="13.2" hidden="1" x14ac:dyDescent="0.25">
      <c r="A70" s="163" t="s">
        <v>76</v>
      </c>
      <c r="B70" s="178"/>
      <c r="C70" s="179" t="s">
        <v>567</v>
      </c>
      <c r="D70" s="180">
        <v>28</v>
      </c>
      <c r="E70" s="180" t="s">
        <v>33</v>
      </c>
      <c r="F70" s="182">
        <v>900000</v>
      </c>
      <c r="G70" s="182">
        <f>ROUNDDOWN(D70*F70,-3)</f>
        <v>25200000</v>
      </c>
      <c r="H70" s="182" t="b">
        <f>G70='[5]Pvt SP2D Pusdik'!B71</f>
        <v>1</v>
      </c>
      <c r="I70" s="182">
        <f>'[5]Pvt SP2D Pusdik'!C71</f>
        <v>0</v>
      </c>
      <c r="J70" s="182">
        <f>G70-I70</f>
        <v>25200000</v>
      </c>
      <c r="K70" s="182"/>
      <c r="L70" s="182">
        <f t="shared" ref="L70" si="41">L71</f>
        <v>0</v>
      </c>
      <c r="M70" s="182" t="e" cm="1">
        <f t="array" ref="M70">SUM(_xlfn._xlws.FILTER([6]!Draft_SPBY[Jumlah],[6]!Draft_SPBY[MAK4]=A70,0))</f>
        <v>#REF!</v>
      </c>
      <c r="N70" s="182" t="e">
        <f>L70-M70</f>
        <v>#REF!</v>
      </c>
      <c r="O70" s="252"/>
      <c r="P70" s="252"/>
      <c r="Q70" s="144"/>
    </row>
    <row r="71" spans="1:17" ht="13.2" x14ac:dyDescent="0.25">
      <c r="A71" s="163" t="s">
        <v>77</v>
      </c>
      <c r="B71" s="184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/>
      <c r="M71" s="76"/>
      <c r="N71" s="76"/>
      <c r="O71" s="252"/>
      <c r="P71" s="252"/>
      <c r="Q71" s="144"/>
    </row>
    <row r="72" spans="1:17" ht="13.2" x14ac:dyDescent="0.25">
      <c r="A72" s="163" t="s">
        <v>78</v>
      </c>
      <c r="B72" s="178"/>
      <c r="C72" s="179" t="s">
        <v>587</v>
      </c>
      <c r="D72" s="180">
        <v>52</v>
      </c>
      <c r="E72" s="180" t="s">
        <v>26</v>
      </c>
      <c r="F72" s="182">
        <v>5848480</v>
      </c>
      <c r="G72" s="182">
        <f>ROUNDDOWN(D72*F72,-3)</f>
        <v>304120000</v>
      </c>
      <c r="H72" s="182" t="b">
        <f>G72='[5]Pvt SP2D Pusdik'!B73</f>
        <v>1</v>
      </c>
      <c r="I72" s="182">
        <f>'[5]Pvt SP2D Pusdik'!C73</f>
        <v>184864357</v>
      </c>
      <c r="J72" s="182">
        <f>G72-I72</f>
        <v>119255643</v>
      </c>
      <c r="K72" s="182">
        <v>15021000</v>
      </c>
      <c r="L72" s="182">
        <f t="shared" ref="L72" si="42">L73</f>
        <v>0</v>
      </c>
      <c r="M72" s="182" t="e" cm="1">
        <f t="array" ref="M72">SUM(_xlfn._xlws.FILTER([6]!Draft_SPBY[Jumlah],[6]!Draft_SPBY[MAK4]=A72,0))</f>
        <v>#REF!</v>
      </c>
      <c r="N72" s="182" t="e">
        <f>L72-M72</f>
        <v>#REF!</v>
      </c>
      <c r="O72" s="252"/>
      <c r="P72" s="252"/>
      <c r="Q72" s="144"/>
    </row>
    <row r="73" spans="1:17" ht="13.2" hidden="1" x14ac:dyDescent="0.25">
      <c r="A73" s="163" t="s">
        <v>79</v>
      </c>
      <c r="B73" s="184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/>
      <c r="M73" s="76"/>
      <c r="N73" s="76"/>
      <c r="O73" s="252"/>
      <c r="P73" s="252"/>
      <c r="Q73" s="144"/>
    </row>
    <row r="74" spans="1:17" ht="13.2" hidden="1" x14ac:dyDescent="0.25">
      <c r="A74" s="163" t="s">
        <v>81</v>
      </c>
      <c r="B74" s="178"/>
      <c r="C74" s="179" t="s">
        <v>589</v>
      </c>
      <c r="D74" s="180">
        <v>10</v>
      </c>
      <c r="E74" s="180" t="s">
        <v>26</v>
      </c>
      <c r="F74" s="182">
        <v>150000</v>
      </c>
      <c r="G74" s="182">
        <f>ROUNDDOWN(D74*F74,-3)</f>
        <v>1500000</v>
      </c>
      <c r="H74" s="182" t="b">
        <f>G74='[5]Pvt SP2D Pusdik'!B75</f>
        <v>1</v>
      </c>
      <c r="I74" s="182">
        <f>'[5]Pvt SP2D Pusdik'!C75</f>
        <v>600000</v>
      </c>
      <c r="J74" s="182">
        <f>G74-I74</f>
        <v>900000</v>
      </c>
      <c r="K74" s="182"/>
      <c r="L74" s="182">
        <f t="shared" ref="L74" si="43">SUM(L75,L80,L82)</f>
        <v>0</v>
      </c>
      <c r="M74" s="182" t="e">
        <f t="shared" ref="M74:N74" si="44">SUM(M75,M80,M82)</f>
        <v>#REF!</v>
      </c>
      <c r="N74" s="182" t="e">
        <f t="shared" si="44"/>
        <v>#REF!</v>
      </c>
      <c r="O74" s="252"/>
      <c r="P74" s="252"/>
      <c r="Q74" s="144"/>
    </row>
    <row r="75" spans="1:17" ht="13.2" x14ac:dyDescent="0.25">
      <c r="A75" s="163" t="s">
        <v>82</v>
      </c>
      <c r="B75" s="185" t="s">
        <v>38</v>
      </c>
      <c r="C75" s="186" t="s">
        <v>92</v>
      </c>
      <c r="D75" s="187"/>
      <c r="E75" s="187"/>
      <c r="F75" s="188"/>
      <c r="G75" s="188">
        <f>SUM(G76,G81,G83)</f>
        <v>70516000</v>
      </c>
      <c r="H75" s="188" t="b">
        <f>G75='[5]Pvt SP2D Pusdik'!B76</f>
        <v>1</v>
      </c>
      <c r="I75" s="188">
        <f>'[5]Pvt SP2D Pusdik'!C76</f>
        <v>3973200</v>
      </c>
      <c r="J75" s="188">
        <f>SUM(J76,J81,J83)</f>
        <v>66542800</v>
      </c>
      <c r="K75" s="188">
        <f>SUM(K76,K81,K83)</f>
        <v>44521000</v>
      </c>
      <c r="L75" s="188">
        <f t="shared" ref="L75" si="45">SUM(L76:L79)</f>
        <v>0</v>
      </c>
      <c r="M75" s="188" t="e" cm="1">
        <f t="array" ref="M75">SUM(_xlfn._xlws.FILTER([6]!Draft_SPBY[Jumlah],[6]!Draft_SPBY[MAK4]=A75,0))</f>
        <v>#REF!</v>
      </c>
      <c r="N75" s="188" t="e">
        <f>L75-M75</f>
        <v>#REF!</v>
      </c>
      <c r="O75" s="252" t="s">
        <v>500</v>
      </c>
      <c r="P75" s="252" t="s">
        <v>501</v>
      </c>
      <c r="Q75" s="144"/>
    </row>
    <row r="76" spans="1:17" ht="13.2" x14ac:dyDescent="0.25">
      <c r="A76" s="163" t="s">
        <v>83</v>
      </c>
      <c r="B76" s="184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/>
      <c r="M76" s="76"/>
      <c r="N76" s="76"/>
      <c r="O76" s="252"/>
      <c r="P76" s="252"/>
      <c r="Q76" s="144"/>
    </row>
    <row r="77" spans="1:17" ht="13.2" x14ac:dyDescent="0.25">
      <c r="A77" s="163" t="s">
        <v>84</v>
      </c>
      <c r="B77" s="178"/>
      <c r="C77" s="179" t="s">
        <v>563</v>
      </c>
      <c r="D77" s="180">
        <v>75</v>
      </c>
      <c r="E77" s="180" t="s">
        <v>26</v>
      </c>
      <c r="F77" s="182">
        <v>75000</v>
      </c>
      <c r="G77" s="182">
        <f>ROUNDDOWN(D77*F77,-3)</f>
        <v>5625000</v>
      </c>
      <c r="H77" s="182" t="b">
        <f>G77='[5]Pvt SP2D Pusdik'!B78</f>
        <v>1</v>
      </c>
      <c r="I77" s="182">
        <f>'[5]Pvt SP2D Pusdik'!C78</f>
        <v>0</v>
      </c>
      <c r="J77" s="182">
        <f t="shared" ref="J77:J80" si="46">G77-I77</f>
        <v>5625000</v>
      </c>
      <c r="K77" s="182">
        <v>5600000</v>
      </c>
      <c r="L77" s="182"/>
      <c r="M77" s="182"/>
      <c r="N77" s="182"/>
      <c r="O77" s="252"/>
      <c r="P77" s="252"/>
      <c r="Q77" s="144"/>
    </row>
    <row r="78" spans="1:17" ht="13.2" x14ac:dyDescent="0.25">
      <c r="A78" s="163" t="s">
        <v>85</v>
      </c>
      <c r="B78" s="178"/>
      <c r="C78" s="179" t="s">
        <v>564</v>
      </c>
      <c r="D78" s="180">
        <v>4</v>
      </c>
      <c r="E78" s="180" t="s">
        <v>120</v>
      </c>
      <c r="F78" s="182">
        <v>1500000</v>
      </c>
      <c r="G78" s="182">
        <f>ROUNDDOWN(D78*F78,-3)</f>
        <v>6000000</v>
      </c>
      <c r="H78" s="182" t="b">
        <f>G78='[5]Pvt SP2D Pusdik'!B79</f>
        <v>1</v>
      </c>
      <c r="I78" s="182">
        <f>'[5]Pvt SP2D Pusdik'!C79</f>
        <v>1488200</v>
      </c>
      <c r="J78" s="182">
        <f t="shared" si="46"/>
        <v>4511800</v>
      </c>
      <c r="K78" s="182">
        <v>3000000</v>
      </c>
      <c r="L78" s="182"/>
      <c r="M78" s="182"/>
      <c r="N78" s="182"/>
      <c r="O78" s="252"/>
      <c r="P78" s="252"/>
      <c r="Q78" s="144"/>
    </row>
    <row r="79" spans="1:17" ht="13.2" x14ac:dyDescent="0.25">
      <c r="A79" s="163" t="s">
        <v>590</v>
      </c>
      <c r="B79" s="178"/>
      <c r="C79" s="179" t="s">
        <v>565</v>
      </c>
      <c r="D79" s="180">
        <v>4</v>
      </c>
      <c r="E79" s="180" t="s">
        <v>120</v>
      </c>
      <c r="F79" s="182">
        <v>1500000</v>
      </c>
      <c r="G79" s="182">
        <f>ROUNDDOWN(D79*F79,-3)</f>
        <v>6000000</v>
      </c>
      <c r="H79" s="182" t="b">
        <f>G79='[5]Pvt SP2D Pusdik'!B80</f>
        <v>1</v>
      </c>
      <c r="I79" s="182">
        <f>'[5]Pvt SP2D Pusdik'!C80</f>
        <v>1500000</v>
      </c>
      <c r="J79" s="182">
        <f t="shared" si="46"/>
        <v>4500000</v>
      </c>
      <c r="K79" s="182">
        <v>3000000</v>
      </c>
      <c r="L79" s="182"/>
      <c r="M79" s="182"/>
      <c r="N79" s="182"/>
      <c r="O79" s="252"/>
      <c r="P79" s="252"/>
      <c r="Q79" s="144"/>
    </row>
    <row r="80" spans="1:17" ht="13.2" x14ac:dyDescent="0.25">
      <c r="A80" s="163" t="s">
        <v>591</v>
      </c>
      <c r="B80" s="178"/>
      <c r="C80" s="179" t="s">
        <v>566</v>
      </c>
      <c r="D80" s="180">
        <v>5</v>
      </c>
      <c r="E80" s="180" t="s">
        <v>120</v>
      </c>
      <c r="F80" s="182">
        <v>1000000</v>
      </c>
      <c r="G80" s="182">
        <f>ROUNDDOWN(D80*F80,-3)</f>
        <v>5000000</v>
      </c>
      <c r="H80" s="182" t="b">
        <f>G80='[5]Pvt SP2D Pusdik'!B81</f>
        <v>1</v>
      </c>
      <c r="I80" s="182">
        <f>'[5]Pvt SP2D Pusdik'!C81</f>
        <v>985000</v>
      </c>
      <c r="J80" s="182">
        <f t="shared" si="46"/>
        <v>4015000</v>
      </c>
      <c r="K80" s="182">
        <v>2000000</v>
      </c>
      <c r="L80" s="182">
        <f t="shared" ref="L80" si="47">L81</f>
        <v>0</v>
      </c>
      <c r="M80" s="182" t="e" cm="1">
        <f t="array" ref="M80">SUM(_xlfn._xlws.FILTER([6]!Draft_SPBY[Jumlah],[6]!Draft_SPBY[MAK4]=A80,0))</f>
        <v>#REF!</v>
      </c>
      <c r="N80" s="182" t="e">
        <f>L80-M80</f>
        <v>#REF!</v>
      </c>
      <c r="O80" s="252"/>
      <c r="P80" s="252"/>
      <c r="Q80" s="144"/>
    </row>
    <row r="81" spans="1:17" ht="13.2" hidden="1" x14ac:dyDescent="0.25">
      <c r="A81" s="163" t="s">
        <v>86</v>
      </c>
      <c r="B81" s="177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/>
      <c r="M81" s="71"/>
      <c r="N81" s="71"/>
      <c r="O81" s="252"/>
      <c r="P81" s="252"/>
      <c r="Q81" s="144"/>
    </row>
    <row r="82" spans="1:17" ht="13.2" hidden="1" x14ac:dyDescent="0.25">
      <c r="A82" s="163" t="s">
        <v>87</v>
      </c>
      <c r="B82" s="178"/>
      <c r="C82" s="179" t="s">
        <v>567</v>
      </c>
      <c r="D82" s="180">
        <v>8</v>
      </c>
      <c r="E82" s="180" t="s">
        <v>33</v>
      </c>
      <c r="F82" s="182">
        <v>900000</v>
      </c>
      <c r="G82" s="182">
        <f>ROUNDDOWN(D82*F82,-3)</f>
        <v>7200000</v>
      </c>
      <c r="H82" s="182" t="b">
        <f>G82='[5]Pvt SP2D Pusdik'!B83</f>
        <v>1</v>
      </c>
      <c r="I82" s="182">
        <f>'[5]Pvt SP2D Pusdik'!C83</f>
        <v>0</v>
      </c>
      <c r="J82" s="182">
        <f>G82-I82</f>
        <v>7200000</v>
      </c>
      <c r="K82" s="182"/>
      <c r="L82" s="182">
        <f t="shared" ref="L82" si="48">L83</f>
        <v>0</v>
      </c>
      <c r="M82" s="182" t="e" cm="1">
        <f t="array" ref="M82">SUM(_xlfn._xlws.FILTER([6]!Draft_SPBY[Jumlah],[6]!Draft_SPBY[MAK4]=A82,0))</f>
        <v>#REF!</v>
      </c>
      <c r="N82" s="182" t="e">
        <f>L82-M82</f>
        <v>#REF!</v>
      </c>
      <c r="O82" s="252"/>
      <c r="P82" s="252"/>
      <c r="Q82" s="144"/>
    </row>
    <row r="83" spans="1:17" ht="13.2" x14ac:dyDescent="0.25">
      <c r="A83" s="163" t="s">
        <v>89</v>
      </c>
      <c r="B83" s="184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/>
      <c r="M83" s="76"/>
      <c r="N83" s="76"/>
      <c r="O83" s="252"/>
      <c r="P83" s="252"/>
      <c r="Q83" s="144"/>
    </row>
    <row r="84" spans="1:17" ht="13.2" x14ac:dyDescent="0.25">
      <c r="A84" s="163" t="s">
        <v>90</v>
      </c>
      <c r="B84" s="178"/>
      <c r="C84" s="179" t="s">
        <v>592</v>
      </c>
      <c r="D84" s="180">
        <v>20</v>
      </c>
      <c r="E84" s="180" t="s">
        <v>26</v>
      </c>
      <c r="F84" s="182">
        <v>2034550</v>
      </c>
      <c r="G84" s="182">
        <f>ROUNDDOWN(D84*F84,-3)</f>
        <v>40691000</v>
      </c>
      <c r="H84" s="182" t="b">
        <f>G84='[5]Pvt SP2D Pusdik'!B85</f>
        <v>1</v>
      </c>
      <c r="I84" s="182">
        <f>'[5]Pvt SP2D Pusdik'!C85</f>
        <v>0</v>
      </c>
      <c r="J84" s="182">
        <f>G84-I84</f>
        <v>40691000</v>
      </c>
      <c r="K84" s="182">
        <v>30921000</v>
      </c>
      <c r="L84" s="182">
        <f t="shared" ref="L84" si="49">SUM(L85,L93)</f>
        <v>0</v>
      </c>
      <c r="M84" s="182" t="e">
        <f t="shared" ref="M84:N84" si="50">SUM(M85,M93)</f>
        <v>#REF!</v>
      </c>
      <c r="N84" s="182" t="e">
        <f t="shared" si="50"/>
        <v>#REF!</v>
      </c>
      <c r="O84" s="252"/>
      <c r="P84" s="252"/>
      <c r="Q84" s="144"/>
    </row>
    <row r="85" spans="1:17" ht="13.2" hidden="1" x14ac:dyDescent="0.25">
      <c r="A85" s="163" t="s">
        <v>93</v>
      </c>
      <c r="B85" s="191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 t="shared" ref="L85" si="51">SUM(L86,L91)</f>
        <v>0</v>
      </c>
      <c r="M85" s="82" t="e">
        <f t="shared" ref="M85:N85" si="52">SUM(M86,M91)</f>
        <v>#REF!</v>
      </c>
      <c r="N85" s="82" t="e">
        <f t="shared" si="52"/>
        <v>#REF!</v>
      </c>
      <c r="O85" s="252"/>
      <c r="P85" s="252"/>
      <c r="Q85" s="144"/>
    </row>
    <row r="86" spans="1:17" ht="13.2" hidden="1" x14ac:dyDescent="0.25">
      <c r="A86" s="163" t="s">
        <v>96</v>
      </c>
      <c r="B86" s="185" t="s">
        <v>21</v>
      </c>
      <c r="C86" s="186" t="s">
        <v>593</v>
      </c>
      <c r="D86" s="187"/>
      <c r="E86" s="187"/>
      <c r="F86" s="188"/>
      <c r="G86" s="188">
        <f>SUM(G87,G92)</f>
        <v>116750000</v>
      </c>
      <c r="H86" s="188" t="b">
        <f>G86='[5]Pvt SP2D Pusdik'!B87</f>
        <v>1</v>
      </c>
      <c r="I86" s="188">
        <f>'[5]Pvt SP2D Pusdik'!C87</f>
        <v>68572983</v>
      </c>
      <c r="J86" s="188">
        <f>SUM(J87,J92)</f>
        <v>48177017</v>
      </c>
      <c r="K86" s="188">
        <f>SUM(K87,K92)</f>
        <v>0</v>
      </c>
      <c r="L86" s="188">
        <f t="shared" ref="L86" si="53">SUM(L87:L90)</f>
        <v>0</v>
      </c>
      <c r="M86" s="188" t="e" cm="1">
        <f t="array" ref="M86">SUM(_xlfn._xlws.FILTER([6]!Draft_SPBY[Jumlah],[6]!Draft_SPBY[MAK4]=A86,0))</f>
        <v>#REF!</v>
      </c>
      <c r="N86" s="188" t="e">
        <f>L86-M86</f>
        <v>#REF!</v>
      </c>
      <c r="O86" s="252" t="s">
        <v>500</v>
      </c>
      <c r="P86" s="252" t="s">
        <v>502</v>
      </c>
      <c r="Q86" s="144"/>
    </row>
    <row r="87" spans="1:17" ht="13.2" hidden="1" x14ac:dyDescent="0.25">
      <c r="A87" s="163" t="s">
        <v>98</v>
      </c>
      <c r="B87" s="184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/>
      <c r="M87" s="76"/>
      <c r="N87" s="76"/>
      <c r="O87" s="252"/>
      <c r="P87" s="252"/>
      <c r="Q87" s="144"/>
    </row>
    <row r="88" spans="1:17" ht="13.2" hidden="1" x14ac:dyDescent="0.25">
      <c r="A88" s="163" t="s">
        <v>99</v>
      </c>
      <c r="B88" s="178"/>
      <c r="C88" s="179" t="s">
        <v>563</v>
      </c>
      <c r="D88" s="180">
        <v>250</v>
      </c>
      <c r="E88" s="180" t="s">
        <v>26</v>
      </c>
      <c r="F88" s="182">
        <v>75000</v>
      </c>
      <c r="G88" s="182">
        <f>ROUNDDOWN(D88*F88,-3)</f>
        <v>18750000</v>
      </c>
      <c r="H88" s="182" t="b">
        <f>G88='[5]Pvt SP2D Pusdik'!B89</f>
        <v>1</v>
      </c>
      <c r="I88" s="182">
        <f>'[5]Pvt SP2D Pusdik'!C89</f>
        <v>770000</v>
      </c>
      <c r="J88" s="182">
        <f t="shared" ref="J88:J91" si="54">G88-I88</f>
        <v>17980000</v>
      </c>
      <c r="K88" s="182"/>
      <c r="L88" s="182"/>
      <c r="M88" s="182"/>
      <c r="N88" s="182"/>
      <c r="O88" s="252"/>
      <c r="P88" s="252"/>
      <c r="Q88" s="144"/>
    </row>
    <row r="89" spans="1:17" ht="13.2" hidden="1" x14ac:dyDescent="0.25">
      <c r="A89" s="163" t="s">
        <v>100</v>
      </c>
      <c r="B89" s="178"/>
      <c r="C89" s="179" t="s">
        <v>564</v>
      </c>
      <c r="D89" s="180">
        <v>8</v>
      </c>
      <c r="E89" s="180" t="s">
        <v>120</v>
      </c>
      <c r="F89" s="182">
        <v>1500000</v>
      </c>
      <c r="G89" s="182">
        <f>ROUNDDOWN(D89*F89,-3)</f>
        <v>12000000</v>
      </c>
      <c r="H89" s="182" t="b">
        <f>G89='[5]Pvt SP2D Pusdik'!B90</f>
        <v>1</v>
      </c>
      <c r="I89" s="182">
        <f>'[5]Pvt SP2D Pusdik'!C90</f>
        <v>4497900</v>
      </c>
      <c r="J89" s="182">
        <f t="shared" si="54"/>
        <v>7502100</v>
      </c>
      <c r="K89" s="182"/>
      <c r="L89" s="182"/>
      <c r="M89" s="182"/>
      <c r="N89" s="182"/>
      <c r="O89" s="252"/>
      <c r="P89" s="252"/>
      <c r="Q89" s="144"/>
    </row>
    <row r="90" spans="1:17" ht="13.2" hidden="1" x14ac:dyDescent="0.25">
      <c r="A90" s="163" t="s">
        <v>101</v>
      </c>
      <c r="B90" s="178"/>
      <c r="C90" s="179" t="s">
        <v>565</v>
      </c>
      <c r="D90" s="180">
        <v>8</v>
      </c>
      <c r="E90" s="180" t="s">
        <v>120</v>
      </c>
      <c r="F90" s="182">
        <v>1500000</v>
      </c>
      <c r="G90" s="182">
        <f>ROUNDDOWN(D90*F90,-3)</f>
        <v>12000000</v>
      </c>
      <c r="H90" s="182" t="b">
        <f>G90='[5]Pvt SP2D Pusdik'!B91</f>
        <v>1</v>
      </c>
      <c r="I90" s="182">
        <f>'[5]Pvt SP2D Pusdik'!C91</f>
        <v>4500000</v>
      </c>
      <c r="J90" s="182">
        <f t="shared" si="54"/>
        <v>7500000</v>
      </c>
      <c r="K90" s="182"/>
      <c r="L90" s="182"/>
      <c r="M90" s="182"/>
      <c r="N90" s="182"/>
      <c r="O90" s="252"/>
      <c r="P90" s="252"/>
      <c r="Q90" s="144"/>
    </row>
    <row r="91" spans="1:17" ht="13.2" hidden="1" x14ac:dyDescent="0.25">
      <c r="A91" s="163" t="s">
        <v>102</v>
      </c>
      <c r="B91" s="178"/>
      <c r="C91" s="179" t="s">
        <v>566</v>
      </c>
      <c r="D91" s="180">
        <v>8</v>
      </c>
      <c r="E91" s="180" t="s">
        <v>120</v>
      </c>
      <c r="F91" s="182">
        <v>1000000</v>
      </c>
      <c r="G91" s="182">
        <f>ROUNDDOWN(D91*F91,-3)</f>
        <v>8000000</v>
      </c>
      <c r="H91" s="182" t="b">
        <f>G91='[5]Pvt SP2D Pusdik'!B92</f>
        <v>1</v>
      </c>
      <c r="I91" s="182">
        <f>'[5]Pvt SP2D Pusdik'!C92</f>
        <v>3000000</v>
      </c>
      <c r="J91" s="182">
        <f t="shared" si="54"/>
        <v>5000000</v>
      </c>
      <c r="K91" s="182"/>
      <c r="L91" s="182">
        <f t="shared" ref="L91" si="55">L92</f>
        <v>0</v>
      </c>
      <c r="M91" s="182" t="e" cm="1">
        <f t="array" ref="M91">SUM(_xlfn._xlws.FILTER([6]!Draft_SPBY[Jumlah],[6]!Draft_SPBY[MAK4]=A91,0))</f>
        <v>#REF!</v>
      </c>
      <c r="N91" s="182" t="e">
        <f>L91-M91</f>
        <v>#REF!</v>
      </c>
      <c r="O91" s="252"/>
      <c r="P91" s="252"/>
      <c r="Q91" s="144"/>
    </row>
    <row r="92" spans="1:17" ht="13.2" hidden="1" x14ac:dyDescent="0.25">
      <c r="A92" s="163" t="s">
        <v>103</v>
      </c>
      <c r="B92" s="184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/>
      <c r="M92" s="76"/>
      <c r="N92" s="76"/>
      <c r="O92" s="252"/>
      <c r="P92" s="252"/>
      <c r="Q92" s="144"/>
    </row>
    <row r="93" spans="1:17" ht="13.2" hidden="1" x14ac:dyDescent="0.25">
      <c r="A93" s="163" t="s">
        <v>104</v>
      </c>
      <c r="B93" s="178"/>
      <c r="C93" s="179" t="s">
        <v>594</v>
      </c>
      <c r="D93" s="180">
        <v>12</v>
      </c>
      <c r="E93" s="180" t="s">
        <v>26</v>
      </c>
      <c r="F93" s="182">
        <v>5500000</v>
      </c>
      <c r="G93" s="182">
        <f>ROUNDDOWN(D93*F93,-3)</f>
        <v>66000000</v>
      </c>
      <c r="H93" s="182" t="b">
        <f>G93='[5]Pvt SP2D Pusdik'!B94</f>
        <v>1</v>
      </c>
      <c r="I93" s="182">
        <f>'[5]Pvt SP2D Pusdik'!C94</f>
        <v>55805083</v>
      </c>
      <c r="J93" s="182">
        <f>G93-I93</f>
        <v>10194917</v>
      </c>
      <c r="K93" s="182"/>
      <c r="L93" s="182">
        <f t="shared" ref="L93" si="56">SUM(L94,L100,L102)</f>
        <v>0</v>
      </c>
      <c r="M93" s="182" t="e">
        <f t="shared" ref="M93:N93" si="57">SUM(M94,M100,M102)</f>
        <v>#REF!</v>
      </c>
      <c r="N93" s="182" t="e">
        <f t="shared" si="57"/>
        <v>#REF!</v>
      </c>
      <c r="O93" s="252"/>
      <c r="P93" s="252"/>
      <c r="Q93" s="144"/>
    </row>
    <row r="94" spans="1:17" ht="13.2" hidden="1" x14ac:dyDescent="0.25">
      <c r="A94" s="163" t="s">
        <v>595</v>
      </c>
      <c r="B94" s="192" t="s">
        <v>38</v>
      </c>
      <c r="C94" s="193" t="s">
        <v>97</v>
      </c>
      <c r="D94" s="194"/>
      <c r="E94" s="194"/>
      <c r="F94" s="195"/>
      <c r="G94" s="195">
        <f>SUM(G95,G101,G103)</f>
        <v>102920000</v>
      </c>
      <c r="H94" s="195" t="b">
        <f>G94='[5]Pvt SP2D Pusdik'!B95</f>
        <v>1</v>
      </c>
      <c r="I94" s="195">
        <f>'[5]Pvt SP2D Pusdik'!C95</f>
        <v>86150961</v>
      </c>
      <c r="J94" s="195">
        <f>SUM(J95,J101,J103)</f>
        <v>16769039</v>
      </c>
      <c r="K94" s="195">
        <f>SUM(K95,K101,K103)</f>
        <v>0</v>
      </c>
      <c r="L94" s="195">
        <f t="shared" ref="L94" si="58">SUM(L95:L99)</f>
        <v>0</v>
      </c>
      <c r="M94" s="195" t="e" cm="1">
        <f t="array" ref="M94">SUM(_xlfn._xlws.FILTER([6]!Draft_SPBY[Jumlah],[6]!Draft_SPBY[MAK4]=A94,0))</f>
        <v>#REF!</v>
      </c>
      <c r="N94" s="195" t="e">
        <f>L94-M94</f>
        <v>#REF!</v>
      </c>
      <c r="O94" s="252" t="s">
        <v>500</v>
      </c>
      <c r="P94" s="252" t="s">
        <v>502</v>
      </c>
      <c r="Q94" s="144"/>
    </row>
    <row r="95" spans="1:17" ht="13.2" hidden="1" x14ac:dyDescent="0.25">
      <c r="A95" s="163" t="s">
        <v>596</v>
      </c>
      <c r="B95" s="184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/>
      <c r="M95" s="76"/>
      <c r="N95" s="76"/>
      <c r="O95" s="252"/>
      <c r="P95" s="252"/>
      <c r="Q95" s="144"/>
    </row>
    <row r="96" spans="1:17" ht="13.2" hidden="1" x14ac:dyDescent="0.25">
      <c r="A96" s="163" t="s">
        <v>597</v>
      </c>
      <c r="B96" s="178"/>
      <c r="C96" s="179" t="s">
        <v>563</v>
      </c>
      <c r="D96" s="180">
        <v>90</v>
      </c>
      <c r="E96" s="180" t="s">
        <v>26</v>
      </c>
      <c r="F96" s="182">
        <v>75000</v>
      </c>
      <c r="G96" s="182">
        <f>ROUNDDOWN(D96*F96,-3)</f>
        <v>6750000</v>
      </c>
      <c r="H96" s="182" t="b">
        <f>G96='[5]Pvt SP2D Pusdik'!B97</f>
        <v>1</v>
      </c>
      <c r="I96" s="182">
        <f>'[5]Pvt SP2D Pusdik'!C97</f>
        <v>2640000</v>
      </c>
      <c r="J96" s="182">
        <f t="shared" ref="J96:J100" si="59">G96-I96</f>
        <v>4110000</v>
      </c>
      <c r="K96" s="182"/>
      <c r="L96" s="182"/>
      <c r="M96" s="182"/>
      <c r="N96" s="182"/>
      <c r="O96" s="252"/>
      <c r="P96" s="252"/>
      <c r="Q96" s="144"/>
    </row>
    <row r="97" spans="1:17" ht="13.2" hidden="1" x14ac:dyDescent="0.25">
      <c r="A97" s="163" t="s">
        <v>598</v>
      </c>
      <c r="B97" s="178"/>
      <c r="C97" s="179" t="s">
        <v>564</v>
      </c>
      <c r="D97" s="180">
        <v>2</v>
      </c>
      <c r="E97" s="180" t="s">
        <v>120</v>
      </c>
      <c r="F97" s="182">
        <v>1500000</v>
      </c>
      <c r="G97" s="182">
        <f>ROUNDDOWN(D97*F97,-3)</f>
        <v>3000000</v>
      </c>
      <c r="H97" s="182" t="b">
        <f>G97='[5]Pvt SP2D Pusdik'!B98</f>
        <v>1</v>
      </c>
      <c r="I97" s="182">
        <f>'[5]Pvt SP2D Pusdik'!C98</f>
        <v>2999250</v>
      </c>
      <c r="J97" s="182">
        <f t="shared" si="59"/>
        <v>750</v>
      </c>
      <c r="K97" s="182"/>
      <c r="L97" s="182"/>
      <c r="M97" s="182"/>
      <c r="N97" s="182"/>
      <c r="O97" s="252"/>
      <c r="P97" s="252"/>
      <c r="Q97" s="144"/>
    </row>
    <row r="98" spans="1:17" ht="13.2" hidden="1" x14ac:dyDescent="0.25">
      <c r="A98" s="163" t="s">
        <v>599</v>
      </c>
      <c r="B98" s="178"/>
      <c r="C98" s="179" t="s">
        <v>565</v>
      </c>
      <c r="D98" s="180">
        <v>2</v>
      </c>
      <c r="E98" s="180" t="s">
        <v>120</v>
      </c>
      <c r="F98" s="182">
        <v>1500000</v>
      </c>
      <c r="G98" s="182">
        <f>ROUNDDOWN(D98*F98,-3)</f>
        <v>3000000</v>
      </c>
      <c r="H98" s="182" t="b">
        <f>G98='[5]Pvt SP2D Pusdik'!B99</f>
        <v>1</v>
      </c>
      <c r="I98" s="182">
        <f>'[5]Pvt SP2D Pusdik'!C99</f>
        <v>3000000</v>
      </c>
      <c r="J98" s="182">
        <f t="shared" si="59"/>
        <v>0</v>
      </c>
      <c r="K98" s="182"/>
      <c r="L98" s="182"/>
      <c r="M98" s="182"/>
      <c r="N98" s="182"/>
      <c r="O98" s="252"/>
      <c r="P98" s="252"/>
      <c r="Q98" s="144"/>
    </row>
    <row r="99" spans="1:17" ht="13.2" hidden="1" x14ac:dyDescent="0.25">
      <c r="A99" s="163" t="s">
        <v>600</v>
      </c>
      <c r="B99" s="178"/>
      <c r="C99" s="179" t="s">
        <v>566</v>
      </c>
      <c r="D99" s="180">
        <v>2</v>
      </c>
      <c r="E99" s="180" t="s">
        <v>120</v>
      </c>
      <c r="F99" s="182">
        <v>1000000</v>
      </c>
      <c r="G99" s="182">
        <f>ROUNDDOWN(D99*F99,-3)</f>
        <v>2000000</v>
      </c>
      <c r="H99" s="182" t="b">
        <f>G99='[5]Pvt SP2D Pusdik'!B100</f>
        <v>1</v>
      </c>
      <c r="I99" s="182">
        <f>'[5]Pvt SP2D Pusdik'!C100</f>
        <v>1997000</v>
      </c>
      <c r="J99" s="182">
        <f t="shared" si="59"/>
        <v>3000</v>
      </c>
      <c r="K99" s="182"/>
      <c r="L99" s="182"/>
      <c r="M99" s="182"/>
      <c r="N99" s="182"/>
      <c r="O99" s="252"/>
      <c r="P99" s="252"/>
      <c r="Q99" s="144"/>
    </row>
    <row r="100" spans="1:17" ht="13.2" hidden="1" x14ac:dyDescent="0.25">
      <c r="A100" s="189" t="s">
        <v>601</v>
      </c>
      <c r="B100" s="178"/>
      <c r="C100" s="179" t="s">
        <v>602</v>
      </c>
      <c r="D100" s="180">
        <v>36</v>
      </c>
      <c r="E100" s="180" t="s">
        <v>26</v>
      </c>
      <c r="F100" s="182">
        <v>250000</v>
      </c>
      <c r="G100" s="182">
        <f>ROUNDDOWN(D100*F100,-3)</f>
        <v>9000000</v>
      </c>
      <c r="H100" s="182" t="b">
        <f>G100='[5]Pvt SP2D Pusdik'!B101</f>
        <v>1</v>
      </c>
      <c r="I100" s="182">
        <f>'[5]Pvt SP2D Pusdik'!C101</f>
        <v>6885000</v>
      </c>
      <c r="J100" s="182">
        <f t="shared" si="59"/>
        <v>2115000</v>
      </c>
      <c r="K100" s="182"/>
      <c r="L100" s="182">
        <f t="shared" ref="L100" si="60">L101</f>
        <v>0</v>
      </c>
      <c r="M100" s="182" t="e" cm="1">
        <f t="array" ref="M100">SUM(_xlfn._xlws.FILTER([6]!Draft_SPBY[Jumlah],[6]!Draft_SPBY[MAK4]=A100,0))</f>
        <v>#REF!</v>
      </c>
      <c r="N100" s="182" t="e">
        <f>L100-M100</f>
        <v>#REF!</v>
      </c>
      <c r="O100" s="252"/>
      <c r="P100" s="252"/>
      <c r="Q100" s="144"/>
    </row>
    <row r="101" spans="1:17" ht="13.2" hidden="1" x14ac:dyDescent="0.25">
      <c r="A101" s="163" t="s">
        <v>603</v>
      </c>
      <c r="B101" s="190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/>
      <c r="M101" s="79"/>
      <c r="N101" s="79"/>
      <c r="O101" s="252"/>
      <c r="P101" s="252"/>
      <c r="Q101" s="144"/>
    </row>
    <row r="102" spans="1:17" ht="13.2" hidden="1" x14ac:dyDescent="0.25">
      <c r="A102" s="163" t="s">
        <v>604</v>
      </c>
      <c r="B102" s="178"/>
      <c r="C102" s="179" t="s">
        <v>567</v>
      </c>
      <c r="D102" s="180">
        <v>10</v>
      </c>
      <c r="E102" s="180" t="s">
        <v>33</v>
      </c>
      <c r="F102" s="182">
        <v>1000000</v>
      </c>
      <c r="G102" s="182">
        <f>ROUNDDOWN(D102*F102,-3)</f>
        <v>10000000</v>
      </c>
      <c r="H102" s="182" t="b">
        <f>G102='[5]Pvt SP2D Pusdik'!B103</f>
        <v>1</v>
      </c>
      <c r="I102" s="182">
        <f>'[5]Pvt SP2D Pusdik'!C103</f>
        <v>0</v>
      </c>
      <c r="J102" s="182">
        <f>G102-I102</f>
        <v>10000000</v>
      </c>
      <c r="K102" s="182"/>
      <c r="L102" s="182">
        <f t="shared" ref="L102" si="61">L103</f>
        <v>0</v>
      </c>
      <c r="M102" s="182" t="e" cm="1">
        <f t="array" ref="M102">SUM(_xlfn._xlws.FILTER([6]!Draft_SPBY[Jumlah],[6]!Draft_SPBY[MAK4]=A102,0))</f>
        <v>#REF!</v>
      </c>
      <c r="N102" s="182" t="e">
        <f>L102-M102</f>
        <v>#REF!</v>
      </c>
      <c r="O102" s="252"/>
      <c r="P102" s="252"/>
      <c r="Q102" s="144"/>
    </row>
    <row r="103" spans="1:17" ht="13.2" hidden="1" x14ac:dyDescent="0.25">
      <c r="A103" s="163" t="s">
        <v>605</v>
      </c>
      <c r="B103" s="184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/>
      <c r="M103" s="76"/>
      <c r="N103" s="76"/>
      <c r="O103" s="252"/>
      <c r="P103" s="252"/>
      <c r="Q103" s="144"/>
    </row>
    <row r="104" spans="1:17" ht="13.2" hidden="1" x14ac:dyDescent="0.25">
      <c r="A104" s="163" t="s">
        <v>606</v>
      </c>
      <c r="B104" s="178"/>
      <c r="C104" s="179" t="s">
        <v>607</v>
      </c>
      <c r="D104" s="180">
        <v>26</v>
      </c>
      <c r="E104" s="180" t="s">
        <v>26</v>
      </c>
      <c r="F104" s="182">
        <v>2660417</v>
      </c>
      <c r="G104" s="182">
        <f>ROUNDDOWN(D104*F104,-3)</f>
        <v>69170000</v>
      </c>
      <c r="H104" s="182" t="b">
        <f>G104='[5]Pvt SP2D Pusdik'!B105</f>
        <v>1</v>
      </c>
      <c r="I104" s="182">
        <f>'[5]Pvt SP2D Pusdik'!C105</f>
        <v>68629711</v>
      </c>
      <c r="J104" s="182">
        <f>G104-I104</f>
        <v>540289</v>
      </c>
      <c r="K104" s="182"/>
      <c r="L104" s="182">
        <f>SUM(L105,L505)</f>
        <v>0</v>
      </c>
      <c r="M104" s="182" t="e">
        <f>SUM(M105,M505)</f>
        <v>#REF!</v>
      </c>
      <c r="N104" s="182" t="e">
        <f>SUM(N105,N505)</f>
        <v>#REF!</v>
      </c>
      <c r="O104" s="252"/>
      <c r="P104" s="252"/>
      <c r="Q104" s="144"/>
    </row>
    <row r="105" spans="1:17" ht="13.2" x14ac:dyDescent="0.25">
      <c r="A105" s="163" t="s">
        <v>105</v>
      </c>
      <c r="B105" s="196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8499324882</v>
      </c>
      <c r="J105" s="85">
        <f>SUM(J106,J535)</f>
        <v>13788855118</v>
      </c>
      <c r="K105" s="85">
        <f>SUM(K106,K535)</f>
        <v>229758000</v>
      </c>
      <c r="L105" s="85">
        <f>SUM(L106,L112,L306,L312)</f>
        <v>0</v>
      </c>
      <c r="M105" s="85" t="e">
        <f>SUM(M106,M112,M306,M312)</f>
        <v>#REF!</v>
      </c>
      <c r="N105" s="85" t="e">
        <f>SUM(N106,N112,N306,N312)</f>
        <v>#REF!</v>
      </c>
      <c r="O105" s="252"/>
      <c r="P105" s="252"/>
      <c r="Q105" s="144"/>
    </row>
    <row r="106" spans="1:17" ht="26.4" x14ac:dyDescent="0.25">
      <c r="A106" s="163" t="s">
        <v>107</v>
      </c>
      <c r="B106" s="197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5410586274</v>
      </c>
      <c r="J106" s="88">
        <f>SUM(J107,J113,J329,J335)</f>
        <v>8377593726</v>
      </c>
      <c r="K106" s="88">
        <f>SUM(K107,K113,K329,K335)</f>
        <v>209758000</v>
      </c>
      <c r="L106" s="88">
        <f t="shared" ref="L106:N110" si="62">L107</f>
        <v>0</v>
      </c>
      <c r="M106" s="88" t="e">
        <f t="shared" si="62"/>
        <v>#REF!</v>
      </c>
      <c r="N106" s="88" t="e">
        <f t="shared" si="62"/>
        <v>#REF!</v>
      </c>
      <c r="O106" s="252"/>
      <c r="P106" s="252"/>
      <c r="Q106" s="144"/>
    </row>
    <row r="107" spans="1:17" ht="13.2" hidden="1" x14ac:dyDescent="0.25">
      <c r="A107" s="163" t="s">
        <v>109</v>
      </c>
      <c r="B107" s="198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63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K111" si="64">J108</f>
        <v>260000000</v>
      </c>
      <c r="K107" s="91">
        <f t="shared" si="64"/>
        <v>0</v>
      </c>
      <c r="L107" s="91">
        <f t="shared" si="62"/>
        <v>0</v>
      </c>
      <c r="M107" s="91" t="e">
        <f t="shared" si="62"/>
        <v>#REF!</v>
      </c>
      <c r="N107" s="91" t="e">
        <f t="shared" si="62"/>
        <v>#REF!</v>
      </c>
      <c r="O107" s="252"/>
      <c r="P107" s="252"/>
      <c r="Q107" s="144"/>
    </row>
    <row r="108" spans="1:17" ht="13.2" hidden="1" x14ac:dyDescent="0.25">
      <c r="A108" s="163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63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64"/>
        <v>260000000</v>
      </c>
      <c r="K108" s="94">
        <f t="shared" si="64"/>
        <v>0</v>
      </c>
      <c r="L108" s="94">
        <f t="shared" si="62"/>
        <v>0</v>
      </c>
      <c r="M108" s="94" t="e">
        <f t="shared" si="62"/>
        <v>#REF!</v>
      </c>
      <c r="N108" s="94" t="e">
        <f t="shared" si="62"/>
        <v>#REF!</v>
      </c>
      <c r="O108" s="252"/>
      <c r="P108" s="252"/>
      <c r="Q108" s="144"/>
    </row>
    <row r="109" spans="1:17" ht="26.4" hidden="1" x14ac:dyDescent="0.25">
      <c r="A109" s="163" t="s">
        <v>114</v>
      </c>
      <c r="B109" s="199" t="s">
        <v>611</v>
      </c>
      <c r="C109" s="200" t="s">
        <v>115</v>
      </c>
      <c r="D109" s="201"/>
      <c r="E109" s="201" t="s">
        <v>562</v>
      </c>
      <c r="F109" s="202"/>
      <c r="G109" s="202">
        <f t="shared" si="63"/>
        <v>260000000</v>
      </c>
      <c r="H109" s="202" t="b">
        <f>G109='[5]Pvt SP2D Pusdik'!B110</f>
        <v>1</v>
      </c>
      <c r="I109" s="202">
        <f>'[5]Pvt SP2D Pusdik'!C110</f>
        <v>0</v>
      </c>
      <c r="J109" s="202">
        <f t="shared" si="64"/>
        <v>260000000</v>
      </c>
      <c r="K109" s="202">
        <f t="shared" si="64"/>
        <v>0</v>
      </c>
      <c r="L109" s="202">
        <f t="shared" si="62"/>
        <v>0</v>
      </c>
      <c r="M109" s="202" t="e">
        <f t="shared" si="62"/>
        <v>#REF!</v>
      </c>
      <c r="N109" s="202" t="e">
        <f t="shared" si="62"/>
        <v>#REF!</v>
      </c>
      <c r="O109" s="252"/>
      <c r="P109" s="252"/>
      <c r="Q109" s="144"/>
    </row>
    <row r="110" spans="1:17" ht="13.2" hidden="1" x14ac:dyDescent="0.25">
      <c r="A110" s="163" t="s">
        <v>116</v>
      </c>
      <c r="B110" s="192" t="s">
        <v>21</v>
      </c>
      <c r="C110" s="193" t="s">
        <v>612</v>
      </c>
      <c r="D110" s="194"/>
      <c r="E110" s="194"/>
      <c r="F110" s="195"/>
      <c r="G110" s="195">
        <f t="shared" si="63"/>
        <v>260000000</v>
      </c>
      <c r="H110" s="195" t="b">
        <f>G110='[5]Pvt SP2D Pusdik'!B111</f>
        <v>1</v>
      </c>
      <c r="I110" s="195">
        <f>'[5]Pvt SP2D Pusdik'!C111</f>
        <v>0</v>
      </c>
      <c r="J110" s="195">
        <f t="shared" si="64"/>
        <v>260000000</v>
      </c>
      <c r="K110" s="195">
        <f t="shared" si="64"/>
        <v>0</v>
      </c>
      <c r="L110" s="195">
        <f t="shared" si="62"/>
        <v>0</v>
      </c>
      <c r="M110" s="195" t="e" cm="1">
        <f t="array" ref="M110">SUM(_xlfn._xlws.FILTER([6]!Draft_SPBY[Jumlah],[6]!Draft_SPBY[MAK4]=A110,0))</f>
        <v>#REF!</v>
      </c>
      <c r="N110" s="195" t="e">
        <f>L110-M110</f>
        <v>#REF!</v>
      </c>
      <c r="O110" s="252" t="s">
        <v>503</v>
      </c>
      <c r="P110" s="252" t="s">
        <v>504</v>
      </c>
      <c r="Q110" s="144"/>
    </row>
    <row r="111" spans="1:17" ht="13.2" hidden="1" x14ac:dyDescent="0.25">
      <c r="A111" s="163" t="s">
        <v>117</v>
      </c>
      <c r="B111" s="177" t="s">
        <v>613</v>
      </c>
      <c r="C111" s="70" t="s">
        <v>118</v>
      </c>
      <c r="D111" s="69"/>
      <c r="E111" s="69"/>
      <c r="F111" s="71"/>
      <c r="G111" s="71">
        <f t="shared" si="63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64"/>
        <v>260000000</v>
      </c>
      <c r="K111" s="71">
        <f t="shared" si="64"/>
        <v>0</v>
      </c>
      <c r="L111" s="71"/>
      <c r="M111" s="71"/>
      <c r="N111" s="71"/>
      <c r="O111" s="252"/>
      <c r="P111" s="252"/>
      <c r="Q111" s="144"/>
    </row>
    <row r="112" spans="1:17" ht="13.2" hidden="1" customHeight="1" x14ac:dyDescent="0.25">
      <c r="A112" s="163" t="s">
        <v>119</v>
      </c>
      <c r="B112" s="178"/>
      <c r="C112" s="179" t="s">
        <v>614</v>
      </c>
      <c r="D112" s="180">
        <v>1</v>
      </c>
      <c r="E112" s="180" t="s">
        <v>120</v>
      </c>
      <c r="F112" s="182">
        <v>260000000</v>
      </c>
      <c r="G112" s="182">
        <f>ROUNDDOWN(D112*F112,-3)</f>
        <v>260000000</v>
      </c>
      <c r="H112" s="182" t="b">
        <f>G112='[5]Pvt SP2D Pusdik'!B113</f>
        <v>1</v>
      </c>
      <c r="I112" s="182">
        <f>'[5]Pvt SP2D Pusdik'!C113</f>
        <v>0</v>
      </c>
      <c r="J112" s="182">
        <f>G112-I112</f>
        <v>260000000</v>
      </c>
      <c r="K112" s="182"/>
      <c r="L112" s="182">
        <f t="shared" ref="L112" si="65">SUM(L113,L128,L221)</f>
        <v>0</v>
      </c>
      <c r="M112" s="182" t="e">
        <f t="shared" ref="M112:N112" si="66">SUM(M113,M128,M221)</f>
        <v>#REF!</v>
      </c>
      <c r="N112" s="182" t="e">
        <f t="shared" si="66"/>
        <v>#REF!</v>
      </c>
      <c r="O112" s="252"/>
      <c r="P112" s="252"/>
      <c r="Q112" s="144"/>
    </row>
    <row r="113" spans="1:17" ht="13.2" x14ac:dyDescent="0.25">
      <c r="A113" s="163" t="s">
        <v>121</v>
      </c>
      <c r="B113" s="203" t="s">
        <v>122</v>
      </c>
      <c r="C113" s="96" t="s">
        <v>615</v>
      </c>
      <c r="D113" s="95">
        <v>8</v>
      </c>
      <c r="E113" s="204" t="s">
        <v>616</v>
      </c>
      <c r="F113" s="204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4454436133</v>
      </c>
      <c r="J113" s="97">
        <f>SUM(J114,J136,J245)</f>
        <v>6240136867</v>
      </c>
      <c r="K113" s="97">
        <f>SUM(K114,K136,K245)</f>
        <v>106850000</v>
      </c>
      <c r="L113" s="97">
        <f t="shared" ref="L113:N114" si="67">L114</f>
        <v>0</v>
      </c>
      <c r="M113" s="97" t="e">
        <f t="shared" si="67"/>
        <v>#REF!</v>
      </c>
      <c r="N113" s="97" t="e">
        <f t="shared" si="67"/>
        <v>#REF!</v>
      </c>
      <c r="O113" s="252"/>
      <c r="P113" s="252"/>
      <c r="Q113" s="144"/>
    </row>
    <row r="114" spans="1:17" ht="13.2" x14ac:dyDescent="0.25">
      <c r="A114" s="163" t="s">
        <v>124</v>
      </c>
      <c r="B114" s="205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68">G115</f>
        <v>210809000</v>
      </c>
      <c r="H114" s="100" t="b">
        <f>G114='[5]Pvt SP2D Pusdik'!B115</f>
        <v>1</v>
      </c>
      <c r="I114" s="100">
        <f>'[5]Pvt SP2D Pusdik'!C115</f>
        <v>20470542</v>
      </c>
      <c r="J114" s="100">
        <f t="shared" ref="J114:K114" si="69">J115</f>
        <v>190338458</v>
      </c>
      <c r="K114" s="100">
        <f t="shared" si="69"/>
        <v>4000000</v>
      </c>
      <c r="L114" s="100">
        <f t="shared" si="67"/>
        <v>0</v>
      </c>
      <c r="M114" s="100" t="e">
        <f t="shared" si="67"/>
        <v>#REF!</v>
      </c>
      <c r="N114" s="100" t="e">
        <f t="shared" si="67"/>
        <v>#REF!</v>
      </c>
      <c r="O114" s="252"/>
      <c r="P114" s="252"/>
      <c r="Q114" s="144"/>
    </row>
    <row r="115" spans="1:17" ht="13.2" x14ac:dyDescent="0.25">
      <c r="A115" s="163" t="s">
        <v>617</v>
      </c>
      <c r="B115" s="206" t="s">
        <v>618</v>
      </c>
      <c r="C115" s="207" t="s">
        <v>127</v>
      </c>
      <c r="D115" s="208"/>
      <c r="E115" s="208" t="s">
        <v>562</v>
      </c>
      <c r="F115" s="209"/>
      <c r="G115" s="209">
        <f>SUM(G116,G127)</f>
        <v>210809000</v>
      </c>
      <c r="H115" s="209" t="b">
        <f>G115='[5]Pvt SP2D Pusdik'!B116</f>
        <v>1</v>
      </c>
      <c r="I115" s="209">
        <f>'[5]Pvt SP2D Pusdik'!C116</f>
        <v>20470542</v>
      </c>
      <c r="J115" s="209">
        <f>SUM(J116,J127)</f>
        <v>190338458</v>
      </c>
      <c r="K115" s="209">
        <f>SUM(K116,K127)</f>
        <v>4000000</v>
      </c>
      <c r="L115" s="209">
        <f t="shared" ref="L115" si="70">SUM(L116,L121,L124,L126)</f>
        <v>0</v>
      </c>
      <c r="M115" s="209" t="e">
        <f t="shared" ref="M115:N115" si="71">SUM(M116,M121,M124,M126)</f>
        <v>#REF!</v>
      </c>
      <c r="N115" s="209" t="e">
        <f t="shared" si="71"/>
        <v>#REF!</v>
      </c>
      <c r="O115" s="252"/>
      <c r="P115" s="252"/>
      <c r="Q115" s="144"/>
    </row>
    <row r="116" spans="1:17" ht="13.2" x14ac:dyDescent="0.25">
      <c r="A116" s="163" t="s">
        <v>619</v>
      </c>
      <c r="B116" s="210" t="s">
        <v>21</v>
      </c>
      <c r="C116" s="211" t="s">
        <v>128</v>
      </c>
      <c r="D116" s="212"/>
      <c r="E116" s="212"/>
      <c r="F116" s="213"/>
      <c r="G116" s="213">
        <f>SUM(G117,G122,G125)</f>
        <v>147749000</v>
      </c>
      <c r="H116" s="213" t="b">
        <f>G116='[5]Pvt SP2D Pusdik'!B117</f>
        <v>1</v>
      </c>
      <c r="I116" s="213">
        <f>'[5]Pvt SP2D Pusdik'!C117</f>
        <v>20470542</v>
      </c>
      <c r="J116" s="213">
        <f>SUM(J117,J122,J125)</f>
        <v>127278458</v>
      </c>
      <c r="K116" s="213">
        <f>SUM(K117,K122,K125)</f>
        <v>4000000</v>
      </c>
      <c r="L116" s="213">
        <f t="shared" ref="L116" si="72">SUM(L117:L120)</f>
        <v>0</v>
      </c>
      <c r="M116" s="213" t="e" cm="1">
        <f t="array" ref="M116">SUM(_xlfn._xlws.FILTER([6]!Draft_SPBY[Jumlah],[6]!Draft_SPBY[MAK4]=A116,0))</f>
        <v>#REF!</v>
      </c>
      <c r="N116" s="213" t="e">
        <f>L116-M116</f>
        <v>#REF!</v>
      </c>
      <c r="O116" s="252" t="s">
        <v>505</v>
      </c>
      <c r="P116" s="252" t="s">
        <v>506</v>
      </c>
      <c r="Q116" s="144"/>
    </row>
    <row r="117" spans="1:17" ht="13.2" x14ac:dyDescent="0.25">
      <c r="A117" s="163" t="s">
        <v>620</v>
      </c>
      <c r="B117" s="214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9534950</v>
      </c>
      <c r="J117" s="103">
        <f>SUM(J118:J121)</f>
        <v>9965050</v>
      </c>
      <c r="K117" s="103">
        <f>SUM(K118:K121)</f>
        <v>4000000</v>
      </c>
      <c r="L117" s="103"/>
      <c r="M117" s="103"/>
      <c r="N117" s="103"/>
      <c r="O117" s="252"/>
      <c r="P117" s="252"/>
      <c r="Q117" s="144"/>
    </row>
    <row r="118" spans="1:17" ht="13.2" hidden="1" x14ac:dyDescent="0.25">
      <c r="A118" s="163" t="s">
        <v>621</v>
      </c>
      <c r="B118" s="178"/>
      <c r="C118" s="179" t="s">
        <v>563</v>
      </c>
      <c r="D118" s="180">
        <v>100</v>
      </c>
      <c r="E118" s="180" t="s">
        <v>26</v>
      </c>
      <c r="F118" s="182">
        <v>75000</v>
      </c>
      <c r="G118" s="182">
        <f>ROUNDDOWN(D118*F118,-3)</f>
        <v>7500000</v>
      </c>
      <c r="H118" s="182" t="b">
        <f>G118='[5]Pvt SP2D Pusdik'!B119</f>
        <v>1</v>
      </c>
      <c r="I118" s="182">
        <f>'[5]Pvt SP2D Pusdik'!C119</f>
        <v>1740000</v>
      </c>
      <c r="J118" s="182">
        <f t="shared" ref="J118:J121" si="73">G118-I118</f>
        <v>5760000</v>
      </c>
      <c r="K118" s="182"/>
      <c r="L118" s="182"/>
      <c r="M118" s="182"/>
      <c r="N118" s="182"/>
      <c r="O118" s="252"/>
      <c r="P118" s="252"/>
      <c r="Q118" s="144"/>
    </row>
    <row r="119" spans="1:17" ht="13.2" x14ac:dyDescent="0.25">
      <c r="A119" s="163" t="s">
        <v>622</v>
      </c>
      <c r="B119" s="178"/>
      <c r="C119" s="179" t="s">
        <v>564</v>
      </c>
      <c r="D119" s="180">
        <v>3</v>
      </c>
      <c r="E119" s="180" t="s">
        <v>120</v>
      </c>
      <c r="F119" s="182">
        <v>1500000</v>
      </c>
      <c r="G119" s="182">
        <f>ROUNDDOWN(D119*F119,-3)</f>
        <v>4500000</v>
      </c>
      <c r="H119" s="182" t="b">
        <f>G119='[5]Pvt SP2D Pusdik'!B120</f>
        <v>1</v>
      </c>
      <c r="I119" s="182">
        <f>'[5]Pvt SP2D Pusdik'!C120</f>
        <v>2956950</v>
      </c>
      <c r="J119" s="182">
        <f t="shared" si="73"/>
        <v>1543050</v>
      </c>
      <c r="K119" s="182">
        <v>1500000</v>
      </c>
      <c r="L119" s="182"/>
      <c r="M119" s="182"/>
      <c r="N119" s="182"/>
      <c r="O119" s="252"/>
      <c r="P119" s="252"/>
      <c r="Q119" s="144"/>
    </row>
    <row r="120" spans="1:17" ht="13.2" x14ac:dyDescent="0.25">
      <c r="A120" s="163" t="s">
        <v>623</v>
      </c>
      <c r="B120" s="178"/>
      <c r="C120" s="179" t="s">
        <v>565</v>
      </c>
      <c r="D120" s="180">
        <v>3</v>
      </c>
      <c r="E120" s="180" t="s">
        <v>120</v>
      </c>
      <c r="F120" s="182">
        <v>1500000</v>
      </c>
      <c r="G120" s="182">
        <f>ROUNDDOWN(D120*F120,-3)</f>
        <v>4500000</v>
      </c>
      <c r="H120" s="182" t="b">
        <f>G120='[5]Pvt SP2D Pusdik'!B121</f>
        <v>1</v>
      </c>
      <c r="I120" s="182">
        <f>'[5]Pvt SP2D Pusdik'!C121</f>
        <v>2880000</v>
      </c>
      <c r="J120" s="182">
        <f t="shared" si="73"/>
        <v>1620000</v>
      </c>
      <c r="K120" s="182">
        <v>1500000</v>
      </c>
      <c r="L120" s="182"/>
      <c r="M120" s="182"/>
      <c r="N120" s="182"/>
      <c r="O120" s="252"/>
      <c r="P120" s="252"/>
      <c r="Q120" s="144"/>
    </row>
    <row r="121" spans="1:17" ht="13.2" x14ac:dyDescent="0.25">
      <c r="A121" s="163" t="s">
        <v>624</v>
      </c>
      <c r="B121" s="178"/>
      <c r="C121" s="179" t="s">
        <v>566</v>
      </c>
      <c r="D121" s="180">
        <v>3</v>
      </c>
      <c r="E121" s="180" t="s">
        <v>120</v>
      </c>
      <c r="F121" s="182">
        <v>1000000</v>
      </c>
      <c r="G121" s="182">
        <f>ROUNDDOWN(D121*F121,-3)</f>
        <v>3000000</v>
      </c>
      <c r="H121" s="182" t="b">
        <f>G121='[5]Pvt SP2D Pusdik'!B122</f>
        <v>1</v>
      </c>
      <c r="I121" s="182">
        <f>'[5]Pvt SP2D Pusdik'!C122</f>
        <v>1958000</v>
      </c>
      <c r="J121" s="182">
        <f t="shared" si="73"/>
        <v>1042000</v>
      </c>
      <c r="K121" s="182">
        <v>1000000</v>
      </c>
      <c r="L121" s="182">
        <f t="shared" ref="L121" si="74">SUM(L122:L123)</f>
        <v>0</v>
      </c>
      <c r="M121" s="182" t="e" cm="1">
        <f t="array" ref="M121">SUM(_xlfn._xlws.FILTER([6]!Draft_SPBY[Jumlah],[6]!Draft_SPBY[MAK4]=A121,0))</f>
        <v>#REF!</v>
      </c>
      <c r="N121" s="182" t="e">
        <f>L121-M121</f>
        <v>#REF!</v>
      </c>
      <c r="O121" s="252"/>
      <c r="P121" s="252"/>
      <c r="Q121" s="144"/>
    </row>
    <row r="122" spans="1:17" ht="13.2" hidden="1" x14ac:dyDescent="0.25">
      <c r="A122" s="163" t="s">
        <v>625</v>
      </c>
      <c r="B122" s="177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/>
      <c r="M122" s="71"/>
      <c r="N122" s="71"/>
      <c r="O122" s="252"/>
      <c r="P122" s="252"/>
      <c r="Q122" s="144"/>
    </row>
    <row r="123" spans="1:17" ht="13.2" hidden="1" x14ac:dyDescent="0.25">
      <c r="A123" s="163" t="s">
        <v>626</v>
      </c>
      <c r="B123" s="178"/>
      <c r="C123" s="179" t="s">
        <v>627</v>
      </c>
      <c r="D123" s="180">
        <v>2</v>
      </c>
      <c r="E123" s="180" t="s">
        <v>120</v>
      </c>
      <c r="F123" s="182">
        <v>250000</v>
      </c>
      <c r="G123" s="182">
        <f>ROUNDDOWN(D123*F123,-3)</f>
        <v>500000</v>
      </c>
      <c r="H123" s="182" t="b">
        <f>G123='[5]Pvt SP2D Pusdik'!B124</f>
        <v>1</v>
      </c>
      <c r="I123" s="182">
        <f>'[5]Pvt SP2D Pusdik'!C124</f>
        <v>183262</v>
      </c>
      <c r="J123" s="182">
        <f t="shared" ref="J123:J124" si="75">G123-I123</f>
        <v>316738</v>
      </c>
      <c r="K123" s="182"/>
      <c r="L123" s="182"/>
      <c r="M123" s="182"/>
      <c r="N123" s="182"/>
      <c r="O123" s="252"/>
      <c r="P123" s="252"/>
      <c r="Q123" s="144"/>
    </row>
    <row r="124" spans="1:17" ht="13.2" hidden="1" x14ac:dyDescent="0.25">
      <c r="A124" s="189" t="s">
        <v>628</v>
      </c>
      <c r="B124" s="178"/>
      <c r="C124" s="179" t="s">
        <v>629</v>
      </c>
      <c r="D124" s="180">
        <v>1</v>
      </c>
      <c r="E124" s="180" t="s">
        <v>120</v>
      </c>
      <c r="F124" s="182">
        <v>8000000</v>
      </c>
      <c r="G124" s="182">
        <f>ROUNDDOWN(D124*F124,-3)</f>
        <v>8000000</v>
      </c>
      <c r="H124" s="182" t="b">
        <f>G124='[5]Pvt SP2D Pusdik'!B125</f>
        <v>1</v>
      </c>
      <c r="I124" s="182">
        <f>'[5]Pvt SP2D Pusdik'!C125</f>
        <v>0</v>
      </c>
      <c r="J124" s="182">
        <f t="shared" si="75"/>
        <v>8000000</v>
      </c>
      <c r="K124" s="182"/>
      <c r="L124" s="182">
        <f t="shared" ref="L124" si="76">L125</f>
        <v>0</v>
      </c>
      <c r="M124" s="182" t="e" cm="1">
        <f t="array" ref="M124">SUM(_xlfn._xlws.FILTER([6]!Draft_SPBY[Jumlah],[6]!Draft_SPBY[MAK4]=A124,0))</f>
        <v>#REF!</v>
      </c>
      <c r="N124" s="182" t="e">
        <f>L124-M124</f>
        <v>#REF!</v>
      </c>
      <c r="O124" s="252"/>
      <c r="P124" s="252"/>
      <c r="Q124" s="144"/>
    </row>
    <row r="125" spans="1:17" ht="13.2" hidden="1" x14ac:dyDescent="0.25">
      <c r="A125" s="163" t="s">
        <v>630</v>
      </c>
      <c r="B125" s="190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/>
      <c r="M125" s="79"/>
      <c r="N125" s="79"/>
      <c r="O125" s="252"/>
      <c r="P125" s="252"/>
      <c r="Q125" s="144"/>
    </row>
    <row r="126" spans="1:17" ht="13.2" hidden="1" x14ac:dyDescent="0.25">
      <c r="A126" s="215" t="s">
        <v>631</v>
      </c>
      <c r="B126" s="178"/>
      <c r="C126" s="179" t="s">
        <v>632</v>
      </c>
      <c r="D126" s="180">
        <v>20</v>
      </c>
      <c r="E126" s="180" t="s">
        <v>26</v>
      </c>
      <c r="F126" s="182">
        <v>5987450</v>
      </c>
      <c r="G126" s="182">
        <f>ROUNDDOWN(D126*F126,-3)</f>
        <v>119749000</v>
      </c>
      <c r="H126" s="182" t="b">
        <f>G126='[5]Pvt SP2D Pusdik'!B127</f>
        <v>1</v>
      </c>
      <c r="I126" s="182">
        <f>'[5]Pvt SP2D Pusdik'!C127</f>
        <v>10752330</v>
      </c>
      <c r="J126" s="182">
        <f>G126-I126</f>
        <v>108996670</v>
      </c>
      <c r="K126" s="182"/>
      <c r="L126" s="182">
        <f t="shared" ref="L126" si="77">L127</f>
        <v>0</v>
      </c>
      <c r="M126" s="182" t="e" cm="1">
        <f t="array" ref="M126">SUM(_xlfn._xlws.FILTER([6]!Draft_SPBY[Jumlah],[6]!Draft_SPBY[MAK4]=A126,0))</f>
        <v>#REF!</v>
      </c>
      <c r="N126" s="182" t="e">
        <f>L126-M126</f>
        <v>#REF!</v>
      </c>
      <c r="O126" s="252"/>
      <c r="P126" s="252"/>
      <c r="Q126" s="144"/>
    </row>
    <row r="127" spans="1:17" ht="13.2" hidden="1" x14ac:dyDescent="0.25">
      <c r="A127" s="163" t="s">
        <v>948</v>
      </c>
      <c r="B127" s="210" t="s">
        <v>38</v>
      </c>
      <c r="C127" s="211" t="s">
        <v>949</v>
      </c>
      <c r="D127" s="212"/>
      <c r="E127" s="212"/>
      <c r="F127" s="213"/>
      <c r="G127" s="213">
        <f>SUM(G128,G134)</f>
        <v>63060000</v>
      </c>
      <c r="H127" s="213" t="b">
        <f>G127='[5]Pvt SP2D Pusdik'!B128</f>
        <v>1</v>
      </c>
      <c r="I127" s="213">
        <f>'[5]Pvt SP2D Pusdik'!C128</f>
        <v>0</v>
      </c>
      <c r="J127" s="213">
        <f>SUM(J128,J134)</f>
        <v>63060000</v>
      </c>
      <c r="K127" s="213">
        <f>SUM(K128,K134)</f>
        <v>0</v>
      </c>
      <c r="L127" s="213"/>
      <c r="M127" s="213"/>
      <c r="N127" s="213"/>
      <c r="O127" s="252" t="s">
        <v>505</v>
      </c>
      <c r="P127" s="252" t="s">
        <v>506</v>
      </c>
      <c r="Q127" s="144"/>
    </row>
    <row r="128" spans="1:17" ht="13.2" hidden="1" x14ac:dyDescent="0.25">
      <c r="A128" s="163" t="s">
        <v>950</v>
      </c>
      <c r="B128" s="214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 t="shared" ref="L128:N128" si="78">L129</f>
        <v>0</v>
      </c>
      <c r="M128" s="103" t="e">
        <f t="shared" si="78"/>
        <v>#REF!</v>
      </c>
      <c r="N128" s="103" t="e">
        <f t="shared" si="78"/>
        <v>#REF!</v>
      </c>
      <c r="O128" s="252"/>
      <c r="P128" s="252"/>
      <c r="Q128" s="144"/>
    </row>
    <row r="129" spans="1:17" ht="13.2" hidden="1" x14ac:dyDescent="0.25">
      <c r="A129" s="163" t="s">
        <v>951</v>
      </c>
      <c r="B129" s="178"/>
      <c r="C129" s="179" t="s">
        <v>563</v>
      </c>
      <c r="D129" s="216">
        <v>36</v>
      </c>
      <c r="E129" s="180" t="s">
        <v>26</v>
      </c>
      <c r="F129" s="182">
        <v>75000</v>
      </c>
      <c r="G129" s="182">
        <f>ROUNDDOWN(D129*F129,-3)</f>
        <v>2700000</v>
      </c>
      <c r="H129" s="182" t="b">
        <f>G129='[5]Pvt SP2D Pusdik'!B130</f>
        <v>1</v>
      </c>
      <c r="I129" s="182">
        <f>'[5]Pvt SP2D Pusdik'!C130</f>
        <v>0</v>
      </c>
      <c r="J129" s="182">
        <f t="shared" ref="J129:J133" si="79">G129-I129</f>
        <v>2700000</v>
      </c>
      <c r="K129" s="182"/>
      <c r="L129" s="182">
        <f t="shared" ref="L129" si="80">SUM(L130,L140,L149,L161,L171,L183,L195,L205,L213)</f>
        <v>0</v>
      </c>
      <c r="M129" s="182" t="e">
        <f t="shared" ref="M129:N129" si="81">SUM(M130,M140,M149,M161,M171,M183,M195,M205,M213)</f>
        <v>#REF!</v>
      </c>
      <c r="N129" s="182" t="e">
        <f t="shared" si="81"/>
        <v>#REF!</v>
      </c>
      <c r="O129" s="252"/>
      <c r="P129" s="252"/>
      <c r="Q129" s="144"/>
    </row>
    <row r="130" spans="1:17" ht="13.2" hidden="1" x14ac:dyDescent="0.25">
      <c r="A130" s="163" t="s">
        <v>952</v>
      </c>
      <c r="B130" s="178"/>
      <c r="C130" s="179" t="s">
        <v>564</v>
      </c>
      <c r="D130" s="216">
        <v>2</v>
      </c>
      <c r="E130" s="180" t="s">
        <v>120</v>
      </c>
      <c r="F130" s="182">
        <v>1500000</v>
      </c>
      <c r="G130" s="182">
        <f>ROUNDDOWN(D130*F130,-3)</f>
        <v>3000000</v>
      </c>
      <c r="H130" s="182" t="b">
        <f>G130='[5]Pvt SP2D Pusdik'!B131</f>
        <v>1</v>
      </c>
      <c r="I130" s="182">
        <f>'[5]Pvt SP2D Pusdik'!C131</f>
        <v>0</v>
      </c>
      <c r="J130" s="182">
        <f t="shared" si="79"/>
        <v>3000000</v>
      </c>
      <c r="K130" s="182"/>
      <c r="L130" s="182">
        <f t="shared" ref="L130" si="82">SUM(L131,L136,L138)</f>
        <v>0</v>
      </c>
      <c r="M130" s="182" t="e">
        <f t="shared" ref="M130:N130" si="83">SUM(M131,M136,M138)</f>
        <v>#REF!</v>
      </c>
      <c r="N130" s="182" t="e">
        <f t="shared" si="83"/>
        <v>#REF!</v>
      </c>
      <c r="O130" s="252"/>
      <c r="P130" s="252"/>
      <c r="Q130" s="144"/>
    </row>
    <row r="131" spans="1:17" ht="13.2" hidden="1" x14ac:dyDescent="0.25">
      <c r="A131" s="163" t="s">
        <v>953</v>
      </c>
      <c r="B131" s="178"/>
      <c r="C131" s="179" t="s">
        <v>565</v>
      </c>
      <c r="D131" s="216">
        <v>2</v>
      </c>
      <c r="E131" s="180" t="s">
        <v>120</v>
      </c>
      <c r="F131" s="182">
        <v>1500000</v>
      </c>
      <c r="G131" s="182">
        <f>ROUNDDOWN(D131*F131,-3)</f>
        <v>3000000</v>
      </c>
      <c r="H131" s="182" t="b">
        <f>G131='[5]Pvt SP2D Pusdik'!B132</f>
        <v>1</v>
      </c>
      <c r="I131" s="182">
        <f>'[5]Pvt SP2D Pusdik'!C132</f>
        <v>0</v>
      </c>
      <c r="J131" s="182">
        <f t="shared" si="79"/>
        <v>3000000</v>
      </c>
      <c r="K131" s="182"/>
      <c r="L131" s="182">
        <f t="shared" ref="L131" si="84">SUM(L132:L135)</f>
        <v>0</v>
      </c>
      <c r="M131" s="182" t="e" cm="1">
        <f t="array" ref="M131">SUM(_xlfn._xlws.FILTER([6]!Draft_SPBY[Jumlah],[6]!Draft_SPBY[MAK4]=A131,0))</f>
        <v>#REF!</v>
      </c>
      <c r="N131" s="182" t="e">
        <f>L131-M131</f>
        <v>#REF!</v>
      </c>
      <c r="O131" s="252"/>
      <c r="P131" s="252"/>
      <c r="Q131" s="144"/>
    </row>
    <row r="132" spans="1:17" ht="13.2" hidden="1" x14ac:dyDescent="0.25">
      <c r="A132" s="163" t="s">
        <v>954</v>
      </c>
      <c r="B132" s="178"/>
      <c r="C132" s="179" t="s">
        <v>566</v>
      </c>
      <c r="D132" s="216">
        <v>2</v>
      </c>
      <c r="E132" s="180" t="s">
        <v>120</v>
      </c>
      <c r="F132" s="182">
        <v>1000000</v>
      </c>
      <c r="G132" s="182">
        <f>ROUNDDOWN(D132*F132,-3)</f>
        <v>2000000</v>
      </c>
      <c r="H132" s="182" t="b">
        <f>G132='[5]Pvt SP2D Pusdik'!B133</f>
        <v>1</v>
      </c>
      <c r="I132" s="182">
        <f>'[5]Pvt SP2D Pusdik'!C133</f>
        <v>0</v>
      </c>
      <c r="J132" s="182">
        <f t="shared" si="79"/>
        <v>2000000</v>
      </c>
      <c r="K132" s="182"/>
      <c r="L132" s="182"/>
      <c r="M132" s="182"/>
      <c r="N132" s="182"/>
      <c r="O132" s="252"/>
      <c r="P132" s="252"/>
      <c r="Q132" s="144"/>
    </row>
    <row r="133" spans="1:17" ht="13.2" hidden="1" x14ac:dyDescent="0.25">
      <c r="A133" s="163" t="s">
        <v>955</v>
      </c>
      <c r="B133" s="178"/>
      <c r="C133" s="179" t="s">
        <v>822</v>
      </c>
      <c r="D133" s="216">
        <v>20</v>
      </c>
      <c r="E133" s="180" t="s">
        <v>59</v>
      </c>
      <c r="F133" s="182">
        <v>200000</v>
      </c>
      <c r="G133" s="182">
        <f>ROUNDDOWN(D133*F133,-3)</f>
        <v>4000000</v>
      </c>
      <c r="H133" s="182" t="b">
        <f>G133='[5]Pvt SP2D Pusdik'!B134</f>
        <v>1</v>
      </c>
      <c r="I133" s="182">
        <f>'[5]Pvt SP2D Pusdik'!C134</f>
        <v>0</v>
      </c>
      <c r="J133" s="182">
        <f t="shared" si="79"/>
        <v>4000000</v>
      </c>
      <c r="K133" s="182"/>
      <c r="L133" s="182"/>
      <c r="M133" s="182"/>
      <c r="N133" s="182"/>
      <c r="O133" s="252"/>
      <c r="P133" s="252"/>
      <c r="Q133" s="144"/>
    </row>
    <row r="134" spans="1:17" ht="13.2" hidden="1" x14ac:dyDescent="0.25">
      <c r="A134" s="217" t="s">
        <v>956</v>
      </c>
      <c r="B134" s="190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/>
      <c r="M134" s="79"/>
      <c r="N134" s="79"/>
      <c r="O134" s="252"/>
      <c r="P134" s="252"/>
      <c r="Q134" s="144"/>
    </row>
    <row r="135" spans="1:17" ht="13.2" hidden="1" x14ac:dyDescent="0.25">
      <c r="A135" s="215" t="s">
        <v>957</v>
      </c>
      <c r="B135" s="178"/>
      <c r="C135" s="179" t="s">
        <v>958</v>
      </c>
      <c r="D135" s="216">
        <v>24</v>
      </c>
      <c r="E135" s="180" t="s">
        <v>26</v>
      </c>
      <c r="F135" s="182">
        <v>2015000</v>
      </c>
      <c r="G135" s="182">
        <f>ROUNDDOWN(D135*F135,-3)</f>
        <v>48360000</v>
      </c>
      <c r="H135" s="182" t="b">
        <f>G135='[5]Pvt SP2D Pusdik'!B136</f>
        <v>1</v>
      </c>
      <c r="I135" s="182">
        <f>'[5]Pvt SP2D Pusdik'!C136</f>
        <v>0</v>
      </c>
      <c r="J135" s="182">
        <f>G135-I135</f>
        <v>48360000</v>
      </c>
      <c r="K135" s="182"/>
      <c r="L135" s="182"/>
      <c r="M135" s="182"/>
      <c r="N135" s="182"/>
      <c r="O135" s="252"/>
      <c r="P135" s="252"/>
      <c r="Q135" s="144"/>
    </row>
    <row r="136" spans="1:17" ht="13.2" x14ac:dyDescent="0.25">
      <c r="A136" s="163" t="s">
        <v>129</v>
      </c>
      <c r="B136" s="205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422228742</v>
      </c>
      <c r="J136" s="100">
        <f>J137</f>
        <v>829857258</v>
      </c>
      <c r="K136" s="100">
        <f>K137</f>
        <v>102850000</v>
      </c>
      <c r="L136" s="100">
        <f t="shared" ref="L136" si="85">L137</f>
        <v>0</v>
      </c>
      <c r="M136" s="100" t="e" cm="1">
        <f t="array" ref="M136">SUM(_xlfn._xlws.FILTER([6]!Draft_SPBY[Jumlah],[6]!Draft_SPBY[MAK4]=A136,0))</f>
        <v>#REF!</v>
      </c>
      <c r="N136" s="100" t="e">
        <f>L136-M136</f>
        <v>#REF!</v>
      </c>
      <c r="O136" s="252"/>
      <c r="P136" s="252"/>
      <c r="Q136" s="144"/>
    </row>
    <row r="137" spans="1:17" ht="26.4" x14ac:dyDescent="0.25">
      <c r="A137" s="163" t="s">
        <v>132</v>
      </c>
      <c r="B137" s="218" t="s">
        <v>611</v>
      </c>
      <c r="C137" s="219" t="s">
        <v>133</v>
      </c>
      <c r="D137" s="220"/>
      <c r="E137" s="220" t="s">
        <v>562</v>
      </c>
      <c r="F137" s="221"/>
      <c r="G137" s="221">
        <f>SUM(G138,G148,G157,G169,G180,G194,G206,G217,G225,G233)</f>
        <v>1252086000</v>
      </c>
      <c r="H137" s="221" t="b">
        <f>G137='[5]Pvt SP2D Pusdik'!B138</f>
        <v>1</v>
      </c>
      <c r="I137" s="221">
        <f>'[5]Pvt SP2D Pusdik'!C138</f>
        <v>422228742</v>
      </c>
      <c r="J137" s="221">
        <f>SUM(J138,J148,J157,J169,J180,J194,J206,J217,J225,J233)</f>
        <v>829857258</v>
      </c>
      <c r="K137" s="221">
        <f>SUM(K138,K148,K157,K169,K180,K194,K206,K217,K225,K233)</f>
        <v>102850000</v>
      </c>
      <c r="L137" s="221"/>
      <c r="M137" s="221"/>
      <c r="N137" s="221"/>
      <c r="O137" s="252"/>
      <c r="P137" s="252"/>
      <c r="Q137" s="144"/>
    </row>
    <row r="138" spans="1:17" ht="13.2" x14ac:dyDescent="0.25">
      <c r="A138" s="163" t="s">
        <v>134</v>
      </c>
      <c r="B138" s="192" t="s">
        <v>21</v>
      </c>
      <c r="C138" s="193" t="s">
        <v>633</v>
      </c>
      <c r="D138" s="194"/>
      <c r="E138" s="194"/>
      <c r="F138" s="195"/>
      <c r="G138" s="195">
        <f>SUM(G139,G144,G146)</f>
        <v>61900000</v>
      </c>
      <c r="H138" s="195" t="b">
        <f>G138='[5]Pvt SP2D Pusdik'!B139</f>
        <v>1</v>
      </c>
      <c r="I138" s="195">
        <f>'[5]Pvt SP2D Pusdik'!C139</f>
        <v>28785195</v>
      </c>
      <c r="J138" s="195">
        <f>SUM(J139,J144,J146)</f>
        <v>33114805</v>
      </c>
      <c r="K138" s="195">
        <f>SUM(K139,K144,K146)</f>
        <v>9200000</v>
      </c>
      <c r="L138" s="195">
        <f t="shared" ref="L138" si="86">L139</f>
        <v>0</v>
      </c>
      <c r="M138" s="195" t="e" cm="1">
        <f t="array" ref="M138">SUM(_xlfn._xlws.FILTER([6]!Draft_SPBY[Jumlah],[6]!Draft_SPBY[MAK4]=A138,0))</f>
        <v>#REF!</v>
      </c>
      <c r="N138" s="195" t="e">
        <f>L138-M138</f>
        <v>#REF!</v>
      </c>
      <c r="O138" s="252" t="s">
        <v>503</v>
      </c>
      <c r="P138" s="252" t="s">
        <v>504</v>
      </c>
      <c r="Q138" s="144"/>
    </row>
    <row r="139" spans="1:17" ht="13.2" x14ac:dyDescent="0.25">
      <c r="A139" s="163" t="s">
        <v>135</v>
      </c>
      <c r="B139" s="177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/>
      <c r="M139" s="71"/>
      <c r="N139" s="71"/>
      <c r="O139" s="252"/>
      <c r="P139" s="252"/>
      <c r="Q139" s="144"/>
    </row>
    <row r="140" spans="1:17" ht="13.2" x14ac:dyDescent="0.25">
      <c r="A140" s="163" t="s">
        <v>136</v>
      </c>
      <c r="B140" s="178"/>
      <c r="C140" s="179" t="s">
        <v>634</v>
      </c>
      <c r="D140" s="180">
        <v>3</v>
      </c>
      <c r="E140" s="180" t="s">
        <v>120</v>
      </c>
      <c r="F140" s="182">
        <v>1500000</v>
      </c>
      <c r="G140" s="182">
        <f>ROUNDDOWN(D140*F140,-3)</f>
        <v>4500000</v>
      </c>
      <c r="H140" s="182" t="b">
        <f>G140='[5]Pvt SP2D Pusdik'!B141</f>
        <v>1</v>
      </c>
      <c r="I140" s="182">
        <f>'[5]Pvt SP2D Pusdik'!C141</f>
        <v>1495000</v>
      </c>
      <c r="J140" s="182">
        <f t="shared" ref="J140:J143" si="87">G140-I140</f>
        <v>3005000</v>
      </c>
      <c r="K140" s="182">
        <v>1500000</v>
      </c>
      <c r="L140" s="182">
        <f t="shared" ref="L140" si="88">SUM(L141,L144,L146)</f>
        <v>0</v>
      </c>
      <c r="M140" s="182" t="e">
        <f t="shared" ref="M140:N140" si="89">SUM(M141,M144,M146)</f>
        <v>#REF!</v>
      </c>
      <c r="N140" s="182" t="e">
        <f t="shared" si="89"/>
        <v>#REF!</v>
      </c>
      <c r="O140" s="252"/>
      <c r="P140" s="252"/>
      <c r="Q140" s="144"/>
    </row>
    <row r="141" spans="1:17" ht="13.2" x14ac:dyDescent="0.25">
      <c r="A141" s="163" t="s">
        <v>137</v>
      </c>
      <c r="B141" s="178"/>
      <c r="C141" s="179" t="s">
        <v>571</v>
      </c>
      <c r="D141" s="180">
        <v>3</v>
      </c>
      <c r="E141" s="180" t="s">
        <v>120</v>
      </c>
      <c r="F141" s="182">
        <v>1500000</v>
      </c>
      <c r="G141" s="182">
        <f>ROUNDDOWN(D141*F141,-3)</f>
        <v>4500000</v>
      </c>
      <c r="H141" s="182" t="b">
        <f>G141='[5]Pvt SP2D Pusdik'!B142</f>
        <v>1</v>
      </c>
      <c r="I141" s="182">
        <f>'[5]Pvt SP2D Pusdik'!C142</f>
        <v>1500000</v>
      </c>
      <c r="J141" s="182">
        <f t="shared" si="87"/>
        <v>3000000</v>
      </c>
      <c r="K141" s="182">
        <v>1500000</v>
      </c>
      <c r="L141" s="182">
        <f t="shared" ref="L141" si="90">SUM(L142:L143)</f>
        <v>0</v>
      </c>
      <c r="M141" s="182" t="e" cm="1">
        <f t="array" ref="M141">SUM(_xlfn._xlws.FILTER([6]!Draft_SPBY[Jumlah],[6]!Draft_SPBY[MAK4]=A141,0))</f>
        <v>#REF!</v>
      </c>
      <c r="N141" s="182" t="e">
        <f>L141-M141</f>
        <v>#REF!</v>
      </c>
      <c r="O141" s="252"/>
      <c r="P141" s="252"/>
      <c r="Q141" s="144"/>
    </row>
    <row r="142" spans="1:17" ht="13.2" x14ac:dyDescent="0.25">
      <c r="A142" s="163" t="s">
        <v>138</v>
      </c>
      <c r="B142" s="178"/>
      <c r="C142" s="179" t="s">
        <v>572</v>
      </c>
      <c r="D142" s="180">
        <v>3</v>
      </c>
      <c r="E142" s="180" t="s">
        <v>120</v>
      </c>
      <c r="F142" s="182">
        <v>1000000</v>
      </c>
      <c r="G142" s="182">
        <f>ROUNDDOWN(D142*F142,-3)</f>
        <v>3000000</v>
      </c>
      <c r="H142" s="182" t="b">
        <f>G142='[5]Pvt SP2D Pusdik'!B143</f>
        <v>1</v>
      </c>
      <c r="I142" s="182">
        <f>'[5]Pvt SP2D Pusdik'!C143</f>
        <v>998000</v>
      </c>
      <c r="J142" s="182">
        <f t="shared" si="87"/>
        <v>2002000</v>
      </c>
      <c r="K142" s="182">
        <v>1000000</v>
      </c>
      <c r="L142" s="182"/>
      <c r="M142" s="182"/>
      <c r="N142" s="182"/>
      <c r="O142" s="252"/>
      <c r="P142" s="252"/>
      <c r="Q142" s="144"/>
    </row>
    <row r="143" spans="1:17" ht="13.2" x14ac:dyDescent="0.25">
      <c r="A143" s="163" t="s">
        <v>635</v>
      </c>
      <c r="B143" s="178"/>
      <c r="C143" s="179" t="s">
        <v>636</v>
      </c>
      <c r="D143" s="180">
        <v>6</v>
      </c>
      <c r="E143" s="180" t="s">
        <v>637</v>
      </c>
      <c r="F143" s="182">
        <v>500000</v>
      </c>
      <c r="G143" s="182">
        <f>ROUNDDOWN(D143*F143,-3)</f>
        <v>3000000</v>
      </c>
      <c r="H143" s="182" t="b">
        <f>G143='[5]Pvt SP2D Pusdik'!B144</f>
        <v>1</v>
      </c>
      <c r="I143" s="182">
        <f>'[5]Pvt SP2D Pusdik'!C144</f>
        <v>999850</v>
      </c>
      <c r="J143" s="182">
        <f t="shared" si="87"/>
        <v>2000150</v>
      </c>
      <c r="K143" s="182">
        <v>1500000</v>
      </c>
      <c r="L143" s="182"/>
      <c r="M143" s="182"/>
      <c r="N143" s="182"/>
      <c r="O143" s="252"/>
      <c r="P143" s="252"/>
      <c r="Q143" s="144"/>
    </row>
    <row r="144" spans="1:17" ht="13.2" x14ac:dyDescent="0.25">
      <c r="A144" s="163" t="s">
        <v>139</v>
      </c>
      <c r="B144" s="190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22892345</v>
      </c>
      <c r="J144" s="79">
        <f>J145</f>
        <v>21907655</v>
      </c>
      <c r="K144" s="79">
        <f>K145</f>
        <v>3400000</v>
      </c>
      <c r="L144" s="79">
        <f t="shared" ref="L144" si="91">L145</f>
        <v>0</v>
      </c>
      <c r="M144" s="79" t="e" cm="1">
        <f t="array" ref="M144">SUM(_xlfn._xlws.FILTER([6]!Draft_SPBY[Jumlah],[6]!Draft_SPBY[MAK4]=A144,0))</f>
        <v>#REF!</v>
      </c>
      <c r="N144" s="79" t="e">
        <f>L144-M144</f>
        <v>#REF!</v>
      </c>
      <c r="O144" s="252"/>
      <c r="P144" s="252"/>
      <c r="Q144" s="144"/>
    </row>
    <row r="145" spans="1:17" ht="13.2" x14ac:dyDescent="0.25">
      <c r="A145" s="163" t="s">
        <v>140</v>
      </c>
      <c r="B145" s="178"/>
      <c r="C145" s="179" t="s">
        <v>638</v>
      </c>
      <c r="D145" s="180">
        <v>8</v>
      </c>
      <c r="E145" s="180" t="s">
        <v>26</v>
      </c>
      <c r="F145" s="182">
        <v>5600000</v>
      </c>
      <c r="G145" s="182">
        <f>ROUNDDOWN(D145*F145,-3)</f>
        <v>44800000</v>
      </c>
      <c r="H145" s="182" t="b">
        <f>G145='[5]Pvt SP2D Pusdik'!B146</f>
        <v>1</v>
      </c>
      <c r="I145" s="182">
        <f>'[5]Pvt SP2D Pusdik'!C146</f>
        <v>22892345</v>
      </c>
      <c r="J145" s="182">
        <f>G145-I145</f>
        <v>21907655</v>
      </c>
      <c r="K145" s="182">
        <v>3400000</v>
      </c>
      <c r="L145" s="182"/>
      <c r="M145" s="182"/>
      <c r="N145" s="182"/>
      <c r="O145" s="252"/>
      <c r="P145" s="252"/>
      <c r="Q145" s="144"/>
    </row>
    <row r="146" spans="1:17" ht="13.2" x14ac:dyDescent="0.25">
      <c r="A146" s="163" t="s">
        <v>141</v>
      </c>
      <c r="B146" s="184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900000</v>
      </c>
      <c r="J146" s="76">
        <f>J147</f>
        <v>1200000</v>
      </c>
      <c r="K146" s="76">
        <f>K147</f>
        <v>300000</v>
      </c>
      <c r="L146" s="76">
        <f t="shared" ref="L146" si="92">SUM(L147:L148)</f>
        <v>0</v>
      </c>
      <c r="M146" s="76" t="e" cm="1">
        <f t="array" ref="M146">SUM(_xlfn._xlws.FILTER([6]!Draft_SPBY[Jumlah],[6]!Draft_SPBY[MAK4]=A146,0))</f>
        <v>#REF!</v>
      </c>
      <c r="N146" s="76" t="e">
        <f>L146-M146</f>
        <v>#REF!</v>
      </c>
      <c r="O146" s="252"/>
      <c r="P146" s="252"/>
      <c r="Q146" s="144"/>
    </row>
    <row r="147" spans="1:17" ht="13.2" x14ac:dyDescent="0.25">
      <c r="A147" s="163" t="s">
        <v>142</v>
      </c>
      <c r="B147" s="178"/>
      <c r="C147" s="179" t="s">
        <v>639</v>
      </c>
      <c r="D147" s="180">
        <v>14</v>
      </c>
      <c r="E147" s="180" t="s">
        <v>26</v>
      </c>
      <c r="F147" s="182">
        <v>150000</v>
      </c>
      <c r="G147" s="182">
        <f>ROUNDDOWN(D147*F147,-3)</f>
        <v>2100000</v>
      </c>
      <c r="H147" s="182" t="b">
        <f>G147='[5]Pvt SP2D Pusdik'!B148</f>
        <v>1</v>
      </c>
      <c r="I147" s="182">
        <f>'[5]Pvt SP2D Pusdik'!C148</f>
        <v>900000</v>
      </c>
      <c r="J147" s="182">
        <f>G147-I147</f>
        <v>1200000</v>
      </c>
      <c r="K147" s="182">
        <v>300000</v>
      </c>
      <c r="L147" s="182"/>
      <c r="M147" s="182"/>
      <c r="N147" s="182"/>
      <c r="O147" s="252"/>
      <c r="P147" s="252"/>
      <c r="Q147" s="144"/>
    </row>
    <row r="148" spans="1:17" ht="13.2" x14ac:dyDescent="0.25">
      <c r="A148" s="163" t="s">
        <v>143</v>
      </c>
      <c r="B148" s="222" t="s">
        <v>38</v>
      </c>
      <c r="C148" s="223" t="s">
        <v>959</v>
      </c>
      <c r="D148" s="224"/>
      <c r="E148" s="224"/>
      <c r="F148" s="225"/>
      <c r="G148" s="225">
        <f>SUM(G149,G152,G154)</f>
        <v>498618000</v>
      </c>
      <c r="H148" s="225" t="b">
        <f>G148='[5]Pvt SP2D Pusdik'!B149</f>
        <v>1</v>
      </c>
      <c r="I148" s="225">
        <f>'[5]Pvt SP2D Pusdik'!C149</f>
        <v>172390817</v>
      </c>
      <c r="J148" s="225">
        <f>SUM(J149,J152,J154)</f>
        <v>326227183</v>
      </c>
      <c r="K148" s="225">
        <f>SUM(K149,K152,K154)</f>
        <v>42600000</v>
      </c>
      <c r="L148" s="225"/>
      <c r="M148" s="225"/>
      <c r="N148" s="225"/>
      <c r="O148" s="252" t="s">
        <v>503</v>
      </c>
      <c r="P148" s="252" t="s">
        <v>504</v>
      </c>
      <c r="Q148" s="144"/>
    </row>
    <row r="149" spans="1:17" ht="13.2" hidden="1" x14ac:dyDescent="0.25">
      <c r="A149" s="163" t="s">
        <v>144</v>
      </c>
      <c r="B149" s="190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 t="shared" ref="L149" si="93">SUM(L150,L155,L157,L159)</f>
        <v>0</v>
      </c>
      <c r="M149" s="79" t="e">
        <f t="shared" ref="M149:N149" si="94">SUM(M150,M155,M157,M159)</f>
        <v>#REF!</v>
      </c>
      <c r="N149" s="79" t="e">
        <f t="shared" si="94"/>
        <v>#REF!</v>
      </c>
      <c r="O149" s="252"/>
      <c r="P149" s="252"/>
      <c r="Q149" s="144"/>
    </row>
    <row r="150" spans="1:17" ht="13.2" hidden="1" x14ac:dyDescent="0.25">
      <c r="A150" s="163" t="s">
        <v>145</v>
      </c>
      <c r="B150" s="178"/>
      <c r="C150" s="179" t="s">
        <v>640</v>
      </c>
      <c r="D150" s="180">
        <v>2</v>
      </c>
      <c r="E150" s="180" t="s">
        <v>120</v>
      </c>
      <c r="F150" s="182">
        <v>1500000</v>
      </c>
      <c r="G150" s="182">
        <f>ROUNDDOWN(D150*F150,-3)</f>
        <v>3000000</v>
      </c>
      <c r="H150" s="182" t="b">
        <f>G150='[5]Pvt SP2D Pusdik'!B151</f>
        <v>1</v>
      </c>
      <c r="I150" s="182">
        <f>'[5]Pvt SP2D Pusdik'!C151</f>
        <v>2930000</v>
      </c>
      <c r="J150" s="182">
        <f t="shared" ref="J150:J151" si="95">G150-I150</f>
        <v>70000</v>
      </c>
      <c r="K150" s="182"/>
      <c r="L150" s="182">
        <f t="shared" ref="L150" si="96">SUM(L151:L154)</f>
        <v>0</v>
      </c>
      <c r="M150" s="182" t="e" cm="1">
        <f t="array" ref="M150">SUM(_xlfn._xlws.FILTER([6]!Draft_SPBY[Jumlah],[6]!Draft_SPBY[MAK4]=A150,0))</f>
        <v>#REF!</v>
      </c>
      <c r="N150" s="182" t="e">
        <f>L150-M150</f>
        <v>#REF!</v>
      </c>
      <c r="O150" s="252"/>
      <c r="P150" s="252"/>
      <c r="Q150" s="144"/>
    </row>
    <row r="151" spans="1:17" ht="13.2" hidden="1" x14ac:dyDescent="0.25">
      <c r="A151" s="163" t="s">
        <v>146</v>
      </c>
      <c r="B151" s="178"/>
      <c r="C151" s="179" t="s">
        <v>641</v>
      </c>
      <c r="D151" s="180">
        <v>2</v>
      </c>
      <c r="E151" s="180" t="s">
        <v>120</v>
      </c>
      <c r="F151" s="182">
        <v>1000000</v>
      </c>
      <c r="G151" s="182">
        <f>ROUNDDOWN(D151*F151,-3)</f>
        <v>2000000</v>
      </c>
      <c r="H151" s="182" t="b">
        <f>G151='[5]Pvt SP2D Pusdik'!B152</f>
        <v>1</v>
      </c>
      <c r="I151" s="182">
        <f>'[5]Pvt SP2D Pusdik'!C152</f>
        <v>1993000</v>
      </c>
      <c r="J151" s="182">
        <f t="shared" si="95"/>
        <v>7000</v>
      </c>
      <c r="K151" s="182"/>
      <c r="L151" s="182"/>
      <c r="M151" s="182"/>
      <c r="N151" s="182"/>
      <c r="O151" s="252"/>
      <c r="P151" s="252"/>
      <c r="Q151" s="144"/>
    </row>
    <row r="152" spans="1:17" ht="13.2" hidden="1" x14ac:dyDescent="0.25">
      <c r="A152" s="163" t="s">
        <v>642</v>
      </c>
      <c r="B152" s="184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/>
      <c r="M152" s="76"/>
      <c r="N152" s="76"/>
      <c r="O152" s="252"/>
      <c r="P152" s="252"/>
      <c r="Q152" s="144"/>
    </row>
    <row r="153" spans="1:17" ht="13.2" hidden="1" x14ac:dyDescent="0.25">
      <c r="A153" s="163" t="s">
        <v>643</v>
      </c>
      <c r="B153" s="178"/>
      <c r="C153" s="179" t="s">
        <v>960</v>
      </c>
      <c r="D153" s="180">
        <v>2</v>
      </c>
      <c r="E153" s="180" t="s">
        <v>120</v>
      </c>
      <c r="F153" s="182">
        <v>3900000</v>
      </c>
      <c r="G153" s="182">
        <f>ROUNDDOWN(D153*F153,-3)</f>
        <v>7800000</v>
      </c>
      <c r="H153" s="182" t="b">
        <f>G153='[5]Pvt SP2D Pusdik'!B154</f>
        <v>1</v>
      </c>
      <c r="I153" s="182">
        <f>'[5]Pvt SP2D Pusdik'!C154</f>
        <v>0</v>
      </c>
      <c r="J153" s="182">
        <f>G153-I153</f>
        <v>7800000</v>
      </c>
      <c r="K153" s="182"/>
      <c r="L153" s="182"/>
      <c r="M153" s="182"/>
      <c r="N153" s="182"/>
      <c r="O153" s="252"/>
      <c r="P153" s="252"/>
      <c r="Q153" s="144"/>
    </row>
    <row r="154" spans="1:17" ht="13.2" x14ac:dyDescent="0.25">
      <c r="A154" s="163" t="s">
        <v>148</v>
      </c>
      <c r="B154" s="177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167467817</v>
      </c>
      <c r="J154" s="71">
        <f>SUM(J155:J156)</f>
        <v>318350183</v>
      </c>
      <c r="K154" s="71">
        <f>SUM(K155:K156)</f>
        <v>42600000</v>
      </c>
      <c r="L154" s="71"/>
      <c r="M154" s="71"/>
      <c r="N154" s="71"/>
      <c r="O154" s="252"/>
      <c r="P154" s="252"/>
      <c r="Q154" s="144"/>
    </row>
    <row r="155" spans="1:17" ht="13.2" x14ac:dyDescent="0.25">
      <c r="A155" s="163" t="s">
        <v>149</v>
      </c>
      <c r="B155" s="178"/>
      <c r="C155" s="179" t="s">
        <v>961</v>
      </c>
      <c r="D155" s="180">
        <v>64</v>
      </c>
      <c r="E155" s="180" t="s">
        <v>26</v>
      </c>
      <c r="F155" s="182">
        <v>6578000</v>
      </c>
      <c r="G155" s="182">
        <f>ROUNDDOWN(D155*F155,-3)</f>
        <v>420992000</v>
      </c>
      <c r="H155" s="182" t="b">
        <f>G155='[5]Pvt SP2D Pusdik'!B156</f>
        <v>1</v>
      </c>
      <c r="I155" s="182">
        <f>'[5]Pvt SP2D Pusdik'!C156</f>
        <v>102643742</v>
      </c>
      <c r="J155" s="182">
        <f t="shared" ref="J155:J156" si="97">G155-I155</f>
        <v>318348258</v>
      </c>
      <c r="K155" s="182">
        <v>42600000</v>
      </c>
      <c r="L155" s="182">
        <f t="shared" ref="L155" si="98">L156</f>
        <v>0</v>
      </c>
      <c r="M155" s="182" t="e" cm="1">
        <f t="array" ref="M155">SUM(_xlfn._xlws.FILTER([6]!Draft_SPBY[Jumlah],[6]!Draft_SPBY[MAK4]=A155,0))</f>
        <v>#REF!</v>
      </c>
      <c r="N155" s="182" t="e">
        <f>L155-M155</f>
        <v>#REF!</v>
      </c>
      <c r="O155" s="252"/>
      <c r="P155" s="252"/>
      <c r="Q155" s="144"/>
    </row>
    <row r="156" spans="1:17" ht="26.4" hidden="1" x14ac:dyDescent="0.25">
      <c r="A156" s="163" t="s">
        <v>150</v>
      </c>
      <c r="B156" s="178"/>
      <c r="C156" s="179" t="s">
        <v>644</v>
      </c>
      <c r="D156" s="180">
        <v>11</v>
      </c>
      <c r="E156" s="180" t="s">
        <v>26</v>
      </c>
      <c r="F156" s="182">
        <v>5893273</v>
      </c>
      <c r="G156" s="182">
        <f>ROUNDDOWN(D156*F156,-3)</f>
        <v>64826000</v>
      </c>
      <c r="H156" s="182" t="b">
        <f>G156='[5]Pvt SP2D Pusdik'!B157</f>
        <v>1</v>
      </c>
      <c r="I156" s="182">
        <f>'[5]Pvt SP2D Pusdik'!C157</f>
        <v>64824075</v>
      </c>
      <c r="J156" s="182">
        <f t="shared" si="97"/>
        <v>1925</v>
      </c>
      <c r="K156" s="182"/>
      <c r="L156" s="182"/>
      <c r="M156" s="182"/>
      <c r="N156" s="182"/>
      <c r="O156" s="252"/>
      <c r="P156" s="252"/>
      <c r="Q156" s="144"/>
    </row>
    <row r="157" spans="1:17" ht="26.4" x14ac:dyDescent="0.25">
      <c r="A157" s="163" t="s">
        <v>151</v>
      </c>
      <c r="B157" s="192" t="s">
        <v>91</v>
      </c>
      <c r="C157" s="193" t="s">
        <v>152</v>
      </c>
      <c r="D157" s="194"/>
      <c r="E157" s="194"/>
      <c r="F157" s="195"/>
      <c r="G157" s="195">
        <f>SUM(G158,G163,G165,G167)</f>
        <v>63200000</v>
      </c>
      <c r="H157" s="195" t="b">
        <f>G157='[5]Pvt SP2D Pusdik'!B158</f>
        <v>1</v>
      </c>
      <c r="I157" s="195">
        <f>'[5]Pvt SP2D Pusdik'!C158</f>
        <v>23028470</v>
      </c>
      <c r="J157" s="195">
        <f>SUM(J158,J163,J165,J167)</f>
        <v>40171530</v>
      </c>
      <c r="K157" s="195">
        <f>SUM(K158,K163,K165,K167)</f>
        <v>5050000</v>
      </c>
      <c r="L157" s="195">
        <f t="shared" ref="L157" si="99">L158</f>
        <v>0</v>
      </c>
      <c r="M157" s="195" t="e" cm="1">
        <f t="array" ref="M157">SUM(_xlfn._xlws.FILTER([6]!Draft_SPBY[Jumlah],[6]!Draft_SPBY[MAK4]=A157,0))</f>
        <v>#REF!</v>
      </c>
      <c r="N157" s="195" t="e">
        <f>L157-M157</f>
        <v>#REF!</v>
      </c>
      <c r="O157" s="252" t="s">
        <v>503</v>
      </c>
      <c r="P157" s="252" t="s">
        <v>504</v>
      </c>
      <c r="Q157" s="144"/>
    </row>
    <row r="158" spans="1:17" ht="13.2" hidden="1" x14ac:dyDescent="0.25">
      <c r="A158" s="163" t="s">
        <v>153</v>
      </c>
      <c r="B158" s="190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/>
      <c r="M158" s="79"/>
      <c r="N158" s="79"/>
      <c r="O158" s="252"/>
      <c r="P158" s="252"/>
      <c r="Q158" s="144"/>
    </row>
    <row r="159" spans="1:17" ht="13.2" hidden="1" x14ac:dyDescent="0.25">
      <c r="A159" s="163" t="s">
        <v>154</v>
      </c>
      <c r="B159" s="178"/>
      <c r="C159" s="179" t="s">
        <v>634</v>
      </c>
      <c r="D159" s="180">
        <v>4</v>
      </c>
      <c r="E159" s="180" t="s">
        <v>120</v>
      </c>
      <c r="F159" s="182">
        <v>1000000</v>
      </c>
      <c r="G159" s="182">
        <f>ROUNDDOWN(D159*F159,-3)</f>
        <v>4000000</v>
      </c>
      <c r="H159" s="182" t="b">
        <f>G159='[5]Pvt SP2D Pusdik'!B160</f>
        <v>1</v>
      </c>
      <c r="I159" s="182">
        <f>'[5]Pvt SP2D Pusdik'!C160</f>
        <v>2998000</v>
      </c>
      <c r="J159" s="182">
        <f t="shared" ref="J159:J162" si="100">G159-I159</f>
        <v>1002000</v>
      </c>
      <c r="K159" s="182"/>
      <c r="L159" s="182">
        <f t="shared" ref="L159" si="101">L160</f>
        <v>0</v>
      </c>
      <c r="M159" s="182" t="e" cm="1">
        <f t="array" ref="M159">SUM(_xlfn._xlws.FILTER([6]!Draft_SPBY[Jumlah],[6]!Draft_SPBY[MAK4]=A159,0))</f>
        <v>#REF!</v>
      </c>
      <c r="N159" s="182" t="e">
        <f>L159-M159</f>
        <v>#REF!</v>
      </c>
      <c r="O159" s="252"/>
      <c r="P159" s="252"/>
      <c r="Q159" s="144"/>
    </row>
    <row r="160" spans="1:17" ht="13.2" hidden="1" x14ac:dyDescent="0.25">
      <c r="A160" s="163" t="s">
        <v>155</v>
      </c>
      <c r="B160" s="178"/>
      <c r="C160" s="179" t="s">
        <v>571</v>
      </c>
      <c r="D160" s="180">
        <v>4</v>
      </c>
      <c r="E160" s="180" t="s">
        <v>120</v>
      </c>
      <c r="F160" s="182">
        <v>1500000</v>
      </c>
      <c r="G160" s="182">
        <f>ROUNDDOWN(D160*F160,-3)</f>
        <v>6000000</v>
      </c>
      <c r="H160" s="182" t="b">
        <f>G160='[5]Pvt SP2D Pusdik'!B161</f>
        <v>1</v>
      </c>
      <c r="I160" s="182">
        <f>'[5]Pvt SP2D Pusdik'!C161</f>
        <v>2990000</v>
      </c>
      <c r="J160" s="182">
        <f t="shared" si="100"/>
        <v>3010000</v>
      </c>
      <c r="K160" s="182"/>
      <c r="L160" s="182"/>
      <c r="M160" s="182"/>
      <c r="N160" s="182"/>
      <c r="O160" s="252"/>
      <c r="P160" s="252"/>
      <c r="Q160" s="144"/>
    </row>
    <row r="161" spans="1:17" ht="13.2" hidden="1" x14ac:dyDescent="0.25">
      <c r="A161" s="163" t="s">
        <v>156</v>
      </c>
      <c r="B161" s="178"/>
      <c r="C161" s="179" t="s">
        <v>572</v>
      </c>
      <c r="D161" s="180">
        <v>4</v>
      </c>
      <c r="E161" s="180" t="s">
        <v>120</v>
      </c>
      <c r="F161" s="182">
        <v>1000000</v>
      </c>
      <c r="G161" s="182">
        <f>ROUNDDOWN(D161*F161,-3)</f>
        <v>4000000</v>
      </c>
      <c r="H161" s="182" t="b">
        <f>G161='[5]Pvt SP2D Pusdik'!B162</f>
        <v>1</v>
      </c>
      <c r="I161" s="182">
        <f>'[5]Pvt SP2D Pusdik'!C162</f>
        <v>1997500</v>
      </c>
      <c r="J161" s="182">
        <f t="shared" si="100"/>
        <v>2002500</v>
      </c>
      <c r="K161" s="182"/>
      <c r="L161" s="182">
        <f t="shared" ref="L161" si="102">SUM(L162,L167,L169)</f>
        <v>0</v>
      </c>
      <c r="M161" s="182" t="e">
        <f t="shared" ref="M161:N161" si="103">SUM(M162,M167,M169)</f>
        <v>#REF!</v>
      </c>
      <c r="N161" s="182" t="e">
        <f t="shared" si="103"/>
        <v>#REF!</v>
      </c>
      <c r="O161" s="252"/>
      <c r="P161" s="252"/>
      <c r="Q161" s="144"/>
    </row>
    <row r="162" spans="1:17" ht="13.2" hidden="1" x14ac:dyDescent="0.25">
      <c r="A162" s="163" t="s">
        <v>157</v>
      </c>
      <c r="B162" s="178"/>
      <c r="C162" s="179" t="s">
        <v>645</v>
      </c>
      <c r="D162" s="180">
        <v>8</v>
      </c>
      <c r="E162" s="180" t="s">
        <v>637</v>
      </c>
      <c r="F162" s="182">
        <v>500000</v>
      </c>
      <c r="G162" s="182">
        <f>ROUNDDOWN(D162*F162,-3)</f>
        <v>4000000</v>
      </c>
      <c r="H162" s="182" t="b">
        <f>G162='[5]Pvt SP2D Pusdik'!B163</f>
        <v>1</v>
      </c>
      <c r="I162" s="182">
        <f>'[5]Pvt SP2D Pusdik'!C163</f>
        <v>1998300</v>
      </c>
      <c r="J162" s="182">
        <f t="shared" si="100"/>
        <v>2001700</v>
      </c>
      <c r="K162" s="182"/>
      <c r="L162" s="182">
        <f t="shared" ref="L162" si="104">SUM(L163:L166)</f>
        <v>0</v>
      </c>
      <c r="M162" s="182" t="e" cm="1">
        <f t="array" ref="M162">SUM(_xlfn._xlws.FILTER([6]!Draft_SPBY[Jumlah],[6]!Draft_SPBY[MAK4]=A162,0))</f>
        <v>#REF!</v>
      </c>
      <c r="N162" s="182" t="e">
        <f>L162-M162</f>
        <v>#REF!</v>
      </c>
      <c r="O162" s="252"/>
      <c r="P162" s="252"/>
      <c r="Q162" s="144"/>
    </row>
    <row r="163" spans="1:17" ht="13.2" hidden="1" x14ac:dyDescent="0.25">
      <c r="A163" s="163" t="s">
        <v>158</v>
      </c>
      <c r="B163" s="184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0</v>
      </c>
      <c r="J163" s="76">
        <f>J164</f>
        <v>3000000</v>
      </c>
      <c r="K163" s="76">
        <f>K164</f>
        <v>0</v>
      </c>
      <c r="L163" s="76"/>
      <c r="M163" s="76"/>
      <c r="N163" s="76"/>
      <c r="O163" s="252"/>
      <c r="P163" s="252"/>
      <c r="Q163" s="144"/>
    </row>
    <row r="164" spans="1:17" ht="13.2" hidden="1" x14ac:dyDescent="0.25">
      <c r="A164" s="163" t="s">
        <v>160</v>
      </c>
      <c r="B164" s="178"/>
      <c r="C164" s="179" t="s">
        <v>646</v>
      </c>
      <c r="D164" s="180">
        <v>2</v>
      </c>
      <c r="E164" s="180" t="s">
        <v>161</v>
      </c>
      <c r="F164" s="182">
        <v>1500000</v>
      </c>
      <c r="G164" s="182">
        <f>ROUNDDOWN(D164*F164,-3)</f>
        <v>3000000</v>
      </c>
      <c r="H164" s="182" t="b">
        <f>G164='[5]Pvt SP2D Pusdik'!B165</f>
        <v>1</v>
      </c>
      <c r="I164" s="182">
        <f>'[5]Pvt SP2D Pusdik'!C165</f>
        <v>0</v>
      </c>
      <c r="J164" s="182">
        <f>G164-I164</f>
        <v>3000000</v>
      </c>
      <c r="K164" s="182"/>
      <c r="L164" s="182"/>
      <c r="M164" s="182"/>
      <c r="N164" s="182"/>
      <c r="O164" s="252"/>
      <c r="P164" s="252"/>
      <c r="Q164" s="144"/>
    </row>
    <row r="165" spans="1:17" ht="13.2" x14ac:dyDescent="0.25">
      <c r="A165" s="163" t="s">
        <v>162</v>
      </c>
      <c r="B165" s="184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11694670</v>
      </c>
      <c r="J165" s="76">
        <f>J166</f>
        <v>26305330</v>
      </c>
      <c r="K165" s="76">
        <f>K166</f>
        <v>4750000</v>
      </c>
      <c r="L165" s="76"/>
      <c r="M165" s="76"/>
      <c r="N165" s="76"/>
      <c r="O165" s="252"/>
      <c r="P165" s="252"/>
      <c r="Q165" s="144"/>
    </row>
    <row r="166" spans="1:17" ht="13.2" x14ac:dyDescent="0.25">
      <c r="A166" s="163" t="s">
        <v>163</v>
      </c>
      <c r="B166" s="178"/>
      <c r="C166" s="179" t="s">
        <v>962</v>
      </c>
      <c r="D166" s="180">
        <v>8</v>
      </c>
      <c r="E166" s="180" t="s">
        <v>26</v>
      </c>
      <c r="F166" s="182">
        <v>4750000</v>
      </c>
      <c r="G166" s="182">
        <f>ROUNDDOWN(D166*F166,-3)</f>
        <v>38000000</v>
      </c>
      <c r="H166" s="182" t="b">
        <f>G166='[5]Pvt SP2D Pusdik'!B167</f>
        <v>1</v>
      </c>
      <c r="I166" s="182">
        <f>'[5]Pvt SP2D Pusdik'!C167</f>
        <v>11694670</v>
      </c>
      <c r="J166" s="182">
        <f>G166-I166</f>
        <v>26305330</v>
      </c>
      <c r="K166" s="182">
        <v>4750000</v>
      </c>
      <c r="L166" s="182"/>
      <c r="M166" s="182"/>
      <c r="N166" s="182"/>
      <c r="O166" s="252"/>
      <c r="P166" s="252"/>
      <c r="Q166" s="144"/>
    </row>
    <row r="167" spans="1:17" ht="13.2" x14ac:dyDescent="0.25">
      <c r="A167" s="163" t="s">
        <v>164</v>
      </c>
      <c r="B167" s="190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 t="shared" ref="L167" si="105">L168</f>
        <v>0</v>
      </c>
      <c r="M167" s="79" t="e" cm="1">
        <f t="array" ref="M167">SUM(_xlfn._xlws.FILTER([6]!Draft_SPBY[Jumlah],[6]!Draft_SPBY[MAK4]=A167,0))</f>
        <v>#REF!</v>
      </c>
      <c r="N167" s="79" t="e">
        <f>L167-M167</f>
        <v>#REF!</v>
      </c>
      <c r="O167" s="252"/>
      <c r="P167" s="252"/>
      <c r="Q167" s="144"/>
    </row>
    <row r="168" spans="1:17" ht="13.2" x14ac:dyDescent="0.25">
      <c r="A168" s="163" t="s">
        <v>165</v>
      </c>
      <c r="B168" s="178"/>
      <c r="C168" s="179" t="s">
        <v>647</v>
      </c>
      <c r="D168" s="180">
        <v>28</v>
      </c>
      <c r="E168" s="180" t="s">
        <v>26</v>
      </c>
      <c r="F168" s="182">
        <v>150000</v>
      </c>
      <c r="G168" s="182">
        <f>ROUNDDOWN(D168*F168,-3)</f>
        <v>4200000</v>
      </c>
      <c r="H168" s="182" t="b">
        <f>G168='[5]Pvt SP2D Pusdik'!B169</f>
        <v>1</v>
      </c>
      <c r="I168" s="182">
        <f>'[5]Pvt SP2D Pusdik'!C169</f>
        <v>1350000</v>
      </c>
      <c r="J168" s="182">
        <f>G168-I168</f>
        <v>2850000</v>
      </c>
      <c r="K168" s="182">
        <v>300000</v>
      </c>
      <c r="L168" s="182"/>
      <c r="M168" s="182"/>
      <c r="N168" s="182"/>
      <c r="O168" s="252"/>
      <c r="P168" s="252"/>
      <c r="Q168" s="144"/>
    </row>
    <row r="169" spans="1:17" ht="13.2" x14ac:dyDescent="0.25">
      <c r="A169" s="163" t="s">
        <v>166</v>
      </c>
      <c r="B169" s="192" t="s">
        <v>167</v>
      </c>
      <c r="C169" s="193" t="s">
        <v>168</v>
      </c>
      <c r="D169" s="194"/>
      <c r="E169" s="194"/>
      <c r="F169" s="195"/>
      <c r="G169" s="195">
        <f>SUM(G170,G176,G178)</f>
        <v>64800000</v>
      </c>
      <c r="H169" s="195" t="b">
        <f>G169='[5]Pvt SP2D Pusdik'!B170</f>
        <v>1</v>
      </c>
      <c r="I169" s="195">
        <f>'[5]Pvt SP2D Pusdik'!C170</f>
        <v>19375585</v>
      </c>
      <c r="J169" s="195">
        <f>SUM(J170,J176,J178)</f>
        <v>45424415</v>
      </c>
      <c r="K169" s="195">
        <f>SUM(K170,K176,K178)</f>
        <v>11750000</v>
      </c>
      <c r="L169" s="195">
        <f t="shared" ref="L169" si="106">L170</f>
        <v>0</v>
      </c>
      <c r="M169" s="195" t="e" cm="1">
        <f t="array" ref="M169">SUM(_xlfn._xlws.FILTER([6]!Draft_SPBY[Jumlah],[6]!Draft_SPBY[MAK4]=A169,0))</f>
        <v>#REF!</v>
      </c>
      <c r="N169" s="195" t="e">
        <f>L169-M169</f>
        <v>#REF!</v>
      </c>
      <c r="O169" s="252" t="s">
        <v>503</v>
      </c>
      <c r="P169" s="252" t="s">
        <v>504</v>
      </c>
      <c r="Q169" s="144"/>
    </row>
    <row r="170" spans="1:17" ht="13.2" hidden="1" x14ac:dyDescent="0.25">
      <c r="A170" s="163" t="s">
        <v>169</v>
      </c>
      <c r="B170" s="184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/>
      <c r="M170" s="76"/>
      <c r="N170" s="76"/>
      <c r="O170" s="252"/>
      <c r="P170" s="252"/>
      <c r="Q170" s="144"/>
    </row>
    <row r="171" spans="1:17" ht="13.2" hidden="1" x14ac:dyDescent="0.25">
      <c r="A171" s="163" t="s">
        <v>170</v>
      </c>
      <c r="B171" s="178"/>
      <c r="C171" s="179" t="s">
        <v>634</v>
      </c>
      <c r="D171" s="180">
        <v>4</v>
      </c>
      <c r="E171" s="180" t="s">
        <v>120</v>
      </c>
      <c r="F171" s="182">
        <v>1500000</v>
      </c>
      <c r="G171" s="182">
        <f>ROUNDDOWN(D171*F171,-3)</f>
        <v>6000000</v>
      </c>
      <c r="H171" s="182" t="b">
        <f>G171='[5]Pvt SP2D Pusdik'!B172</f>
        <v>1</v>
      </c>
      <c r="I171" s="182">
        <f>'[5]Pvt SP2D Pusdik'!C172</f>
        <v>2990000</v>
      </c>
      <c r="J171" s="182">
        <f t="shared" ref="J171:J175" si="107">G171-I171</f>
        <v>3010000</v>
      </c>
      <c r="K171" s="182"/>
      <c r="L171" s="182">
        <f t="shared" ref="L171" si="108">SUM(L172,L177,L179,L181)</f>
        <v>0</v>
      </c>
      <c r="M171" s="182" t="e">
        <f t="shared" ref="M171:N171" si="109">SUM(M172,M177,M179,M181)</f>
        <v>#REF!</v>
      </c>
      <c r="N171" s="182" t="e">
        <f t="shared" si="109"/>
        <v>#REF!</v>
      </c>
      <c r="O171" s="252"/>
      <c r="P171" s="252"/>
      <c r="Q171" s="144"/>
    </row>
    <row r="172" spans="1:17" ht="13.2" hidden="1" x14ac:dyDescent="0.25">
      <c r="A172" s="163" t="s">
        <v>171</v>
      </c>
      <c r="B172" s="178"/>
      <c r="C172" s="179" t="s">
        <v>571</v>
      </c>
      <c r="D172" s="180">
        <v>4</v>
      </c>
      <c r="E172" s="180" t="s">
        <v>120</v>
      </c>
      <c r="F172" s="182">
        <v>1500000</v>
      </c>
      <c r="G172" s="182">
        <f>ROUNDDOWN(D172*F172,-3)</f>
        <v>6000000</v>
      </c>
      <c r="H172" s="182" t="b">
        <f>G172='[5]Pvt SP2D Pusdik'!B173</f>
        <v>1</v>
      </c>
      <c r="I172" s="182">
        <f>'[5]Pvt SP2D Pusdik'!C173</f>
        <v>2980000</v>
      </c>
      <c r="J172" s="182">
        <f t="shared" si="107"/>
        <v>3020000</v>
      </c>
      <c r="K172" s="182"/>
      <c r="L172" s="182">
        <f t="shared" ref="L172" si="110">SUM(L173:L176)</f>
        <v>0</v>
      </c>
      <c r="M172" s="182" t="e" cm="1">
        <f t="array" ref="M172">SUM(_xlfn._xlws.FILTER([6]!Draft_SPBY[Jumlah],[6]!Draft_SPBY[MAK4]=A172,0))</f>
        <v>#REF!</v>
      </c>
      <c r="N172" s="182" t="e">
        <f>L172-M172</f>
        <v>#REF!</v>
      </c>
      <c r="O172" s="252"/>
      <c r="P172" s="252"/>
      <c r="Q172" s="144"/>
    </row>
    <row r="173" spans="1:17" ht="13.2" hidden="1" x14ac:dyDescent="0.25">
      <c r="A173" s="163" t="s">
        <v>172</v>
      </c>
      <c r="B173" s="178"/>
      <c r="C173" s="179" t="s">
        <v>572</v>
      </c>
      <c r="D173" s="180">
        <v>4</v>
      </c>
      <c r="E173" s="180" t="s">
        <v>120</v>
      </c>
      <c r="F173" s="182">
        <v>1000000</v>
      </c>
      <c r="G173" s="182">
        <f>ROUNDDOWN(D173*F173,-3)</f>
        <v>4000000</v>
      </c>
      <c r="H173" s="182" t="b">
        <f>G173='[5]Pvt SP2D Pusdik'!B174</f>
        <v>1</v>
      </c>
      <c r="I173" s="182">
        <f>'[5]Pvt SP2D Pusdik'!C174</f>
        <v>2000000</v>
      </c>
      <c r="J173" s="182">
        <f t="shared" si="107"/>
        <v>2000000</v>
      </c>
      <c r="K173" s="182"/>
      <c r="L173" s="182"/>
      <c r="M173" s="182"/>
      <c r="N173" s="182"/>
      <c r="O173" s="252"/>
      <c r="P173" s="252"/>
      <c r="Q173" s="144"/>
    </row>
    <row r="174" spans="1:17" ht="13.2" hidden="1" x14ac:dyDescent="0.25">
      <c r="A174" s="163" t="s">
        <v>173</v>
      </c>
      <c r="B174" s="178"/>
      <c r="C174" s="179" t="s">
        <v>645</v>
      </c>
      <c r="D174" s="180">
        <v>8</v>
      </c>
      <c r="E174" s="180" t="s">
        <v>637</v>
      </c>
      <c r="F174" s="182">
        <v>500000</v>
      </c>
      <c r="G174" s="182">
        <f>ROUNDDOWN(D174*F174,-3)</f>
        <v>4000000</v>
      </c>
      <c r="H174" s="182" t="b">
        <f>G174='[5]Pvt SP2D Pusdik'!B175</f>
        <v>1</v>
      </c>
      <c r="I174" s="182">
        <f>'[5]Pvt SP2D Pusdik'!C175</f>
        <v>1944400</v>
      </c>
      <c r="J174" s="182">
        <f t="shared" si="107"/>
        <v>2055600</v>
      </c>
      <c r="K174" s="182"/>
      <c r="L174" s="182"/>
      <c r="M174" s="182"/>
      <c r="N174" s="182"/>
      <c r="O174" s="252"/>
      <c r="P174" s="252"/>
      <c r="Q174" s="144"/>
    </row>
    <row r="175" spans="1:17" ht="13.2" hidden="1" x14ac:dyDescent="0.25">
      <c r="A175" s="163" t="s">
        <v>963</v>
      </c>
      <c r="B175" s="178"/>
      <c r="C175" s="179" t="s">
        <v>964</v>
      </c>
      <c r="D175" s="180">
        <v>40</v>
      </c>
      <c r="E175" s="180" t="s">
        <v>26</v>
      </c>
      <c r="F175" s="182">
        <v>75000</v>
      </c>
      <c r="G175" s="182">
        <f>ROUNDDOWN(D175*F175,-3)</f>
        <v>3000000</v>
      </c>
      <c r="H175" s="182" t="b">
        <f>G175='[5]Pvt SP2D Pusdik'!B176</f>
        <v>1</v>
      </c>
      <c r="I175" s="182">
        <f>'[5]Pvt SP2D Pusdik'!C176</f>
        <v>0</v>
      </c>
      <c r="J175" s="182">
        <f t="shared" si="107"/>
        <v>3000000</v>
      </c>
      <c r="K175" s="182"/>
      <c r="L175" s="182"/>
      <c r="M175" s="182"/>
      <c r="N175" s="182"/>
      <c r="O175" s="252"/>
      <c r="P175" s="252"/>
      <c r="Q175" s="144"/>
    </row>
    <row r="176" spans="1:17" ht="13.2" x14ac:dyDescent="0.25">
      <c r="A176" s="163" t="s">
        <v>174</v>
      </c>
      <c r="B176" s="184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8711185</v>
      </c>
      <c r="J176" s="76">
        <f>J177</f>
        <v>31288815</v>
      </c>
      <c r="K176" s="76">
        <f>K177</f>
        <v>11150000</v>
      </c>
      <c r="L176" s="76"/>
      <c r="M176" s="76"/>
      <c r="N176" s="76"/>
      <c r="O176" s="252"/>
      <c r="P176" s="252"/>
      <c r="Q176" s="144"/>
    </row>
    <row r="177" spans="1:17" ht="13.2" x14ac:dyDescent="0.25">
      <c r="A177" s="163" t="s">
        <v>175</v>
      </c>
      <c r="B177" s="178"/>
      <c r="C177" s="179" t="s">
        <v>648</v>
      </c>
      <c r="D177" s="180">
        <v>10</v>
      </c>
      <c r="E177" s="180" t="s">
        <v>26</v>
      </c>
      <c r="F177" s="182">
        <v>4000000</v>
      </c>
      <c r="G177" s="182">
        <f>ROUNDDOWN(D177*F177,-3)</f>
        <v>40000000</v>
      </c>
      <c r="H177" s="182" t="b">
        <f>G177='[5]Pvt SP2D Pusdik'!B178</f>
        <v>1</v>
      </c>
      <c r="I177" s="182">
        <f>'[5]Pvt SP2D Pusdik'!C178</f>
        <v>8711185</v>
      </c>
      <c r="J177" s="182">
        <f>G177-I177</f>
        <v>31288815</v>
      </c>
      <c r="K177" s="182">
        <f>4000000+7150000</f>
        <v>11150000</v>
      </c>
      <c r="L177" s="182">
        <f t="shared" ref="L177" si="111">L178</f>
        <v>0</v>
      </c>
      <c r="M177" s="182" t="e" cm="1">
        <f t="array" ref="M177">SUM(_xlfn._xlws.FILTER([6]!Draft_SPBY[Jumlah],[6]!Draft_SPBY[MAK4]=A177,0))</f>
        <v>#REF!</v>
      </c>
      <c r="N177" s="182" t="e">
        <f>L177-M177</f>
        <v>#REF!</v>
      </c>
      <c r="O177" s="252"/>
      <c r="P177" s="252"/>
      <c r="Q177" s="144"/>
    </row>
    <row r="178" spans="1:17" ht="13.2" x14ac:dyDescent="0.25">
      <c r="A178" s="163" t="s">
        <v>649</v>
      </c>
      <c r="B178" s="184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/>
      <c r="M178" s="76"/>
      <c r="N178" s="76"/>
      <c r="O178" s="252"/>
      <c r="P178" s="252"/>
      <c r="Q178" s="144"/>
    </row>
    <row r="179" spans="1:17" ht="13.2" x14ac:dyDescent="0.25">
      <c r="A179" s="163" t="s">
        <v>650</v>
      </c>
      <c r="B179" s="178"/>
      <c r="C179" s="179" t="s">
        <v>647</v>
      </c>
      <c r="D179" s="180">
        <v>12</v>
      </c>
      <c r="E179" s="180" t="s">
        <v>26</v>
      </c>
      <c r="F179" s="182">
        <v>150000</v>
      </c>
      <c r="G179" s="182">
        <f>ROUNDDOWN(D179*F179,-3)</f>
        <v>1800000</v>
      </c>
      <c r="H179" s="182" t="b">
        <f>G179='[5]Pvt SP2D Pusdik'!B180</f>
        <v>1</v>
      </c>
      <c r="I179" s="182">
        <f>'[5]Pvt SP2D Pusdik'!C180</f>
        <v>750000</v>
      </c>
      <c r="J179" s="182">
        <f>G179-I179</f>
        <v>1050000</v>
      </c>
      <c r="K179" s="182">
        <v>600000</v>
      </c>
      <c r="L179" s="182">
        <f t="shared" ref="L179" si="112">L180</f>
        <v>0</v>
      </c>
      <c r="M179" s="182" t="e" cm="1">
        <f t="array" ref="M179">SUM(_xlfn._xlws.FILTER([6]!Draft_SPBY[Jumlah],[6]!Draft_SPBY[MAK4]=A179,0))</f>
        <v>#REF!</v>
      </c>
      <c r="N179" s="182" t="e">
        <f>L179-M179</f>
        <v>#REF!</v>
      </c>
      <c r="O179" s="252"/>
      <c r="P179" s="252"/>
      <c r="Q179" s="144"/>
    </row>
    <row r="180" spans="1:17" ht="13.2" x14ac:dyDescent="0.25">
      <c r="A180" s="163" t="s">
        <v>176</v>
      </c>
      <c r="B180" s="192" t="s">
        <v>177</v>
      </c>
      <c r="C180" s="193" t="s">
        <v>178</v>
      </c>
      <c r="D180" s="194"/>
      <c r="E180" s="194"/>
      <c r="F180" s="195"/>
      <c r="G180" s="195">
        <f>SUM(G181,G187,G189,G192)</f>
        <v>151850000</v>
      </c>
      <c r="H180" s="195" t="b">
        <f>G180='[5]Pvt SP2D Pusdik'!B181</f>
        <v>1</v>
      </c>
      <c r="I180" s="195">
        <f>'[5]Pvt SP2D Pusdik'!C181</f>
        <v>28830205</v>
      </c>
      <c r="J180" s="195">
        <f>SUM(J181,J187,J189,J192)</f>
        <v>123019795</v>
      </c>
      <c r="K180" s="195">
        <f>SUM(K181,K187,K189,K192)</f>
        <v>15550000</v>
      </c>
      <c r="L180" s="195"/>
      <c r="M180" s="195"/>
      <c r="N180" s="195"/>
      <c r="O180" s="252" t="s">
        <v>503</v>
      </c>
      <c r="P180" s="252" t="s">
        <v>504</v>
      </c>
      <c r="Q180" s="144"/>
    </row>
    <row r="181" spans="1:17" ht="13.2" hidden="1" x14ac:dyDescent="0.25">
      <c r="A181" s="163" t="s">
        <v>179</v>
      </c>
      <c r="B181" s="190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 t="shared" ref="L181" si="113">L182</f>
        <v>0</v>
      </c>
      <c r="M181" s="79" t="e" cm="1">
        <f t="array" ref="M181">SUM(_xlfn._xlws.FILTER([6]!Draft_SPBY[Jumlah],[6]!Draft_SPBY[MAK4]=A181,0))</f>
        <v>#REF!</v>
      </c>
      <c r="N181" s="79" t="e">
        <f>L181-M181</f>
        <v>#REF!</v>
      </c>
      <c r="O181" s="252"/>
      <c r="P181" s="252"/>
      <c r="Q181" s="144"/>
    </row>
    <row r="182" spans="1:17" ht="13.2" hidden="1" x14ac:dyDescent="0.25">
      <c r="A182" s="163" t="s">
        <v>180</v>
      </c>
      <c r="B182" s="178"/>
      <c r="C182" s="179" t="s">
        <v>634</v>
      </c>
      <c r="D182" s="180">
        <v>4</v>
      </c>
      <c r="E182" s="180" t="s">
        <v>120</v>
      </c>
      <c r="F182" s="182">
        <v>1500000</v>
      </c>
      <c r="G182" s="182">
        <f>ROUNDDOWN(D182*F182,-3)</f>
        <v>6000000</v>
      </c>
      <c r="H182" s="182" t="b">
        <f>G182='[5]Pvt SP2D Pusdik'!B183</f>
        <v>1</v>
      </c>
      <c r="I182" s="182">
        <f>'[5]Pvt SP2D Pusdik'!C183</f>
        <v>2998000</v>
      </c>
      <c r="J182" s="182">
        <f t="shared" ref="J182:J186" si="114">G182-I182</f>
        <v>3002000</v>
      </c>
      <c r="K182" s="182"/>
      <c r="L182" s="182"/>
      <c r="M182" s="182"/>
      <c r="N182" s="182"/>
      <c r="O182" s="252"/>
      <c r="P182" s="252"/>
      <c r="Q182" s="144"/>
    </row>
    <row r="183" spans="1:17" ht="13.2" hidden="1" x14ac:dyDescent="0.25">
      <c r="A183" s="163" t="s">
        <v>181</v>
      </c>
      <c r="B183" s="178"/>
      <c r="C183" s="179" t="s">
        <v>571</v>
      </c>
      <c r="D183" s="180">
        <v>4</v>
      </c>
      <c r="E183" s="180" t="s">
        <v>120</v>
      </c>
      <c r="F183" s="182">
        <v>1500000</v>
      </c>
      <c r="G183" s="182">
        <f>ROUNDDOWN(D183*F183,-3)</f>
        <v>6000000</v>
      </c>
      <c r="H183" s="182" t="b">
        <f>G183='[5]Pvt SP2D Pusdik'!B184</f>
        <v>1</v>
      </c>
      <c r="I183" s="182">
        <f>'[5]Pvt SP2D Pusdik'!C184</f>
        <v>2970000</v>
      </c>
      <c r="J183" s="182">
        <f t="shared" si="114"/>
        <v>3030000</v>
      </c>
      <c r="K183" s="182"/>
      <c r="L183" s="182">
        <f t="shared" ref="L183" si="115">SUM(L184,L189,L191,L193)</f>
        <v>0</v>
      </c>
      <c r="M183" s="182" t="e">
        <f t="shared" ref="M183:N183" si="116">SUM(M184,M189,M191,M193)</f>
        <v>#REF!</v>
      </c>
      <c r="N183" s="182" t="e">
        <f t="shared" si="116"/>
        <v>#REF!</v>
      </c>
      <c r="O183" s="252"/>
      <c r="P183" s="252"/>
      <c r="Q183" s="144"/>
    </row>
    <row r="184" spans="1:17" ht="13.2" hidden="1" x14ac:dyDescent="0.25">
      <c r="A184" s="163" t="s">
        <v>182</v>
      </c>
      <c r="B184" s="178"/>
      <c r="C184" s="179" t="s">
        <v>572</v>
      </c>
      <c r="D184" s="180">
        <v>4</v>
      </c>
      <c r="E184" s="180" t="s">
        <v>120</v>
      </c>
      <c r="F184" s="182">
        <v>1000000</v>
      </c>
      <c r="G184" s="182">
        <f>ROUNDDOWN(D184*F184,-3)</f>
        <v>4000000</v>
      </c>
      <c r="H184" s="182" t="b">
        <f>G184='[5]Pvt SP2D Pusdik'!B185</f>
        <v>1</v>
      </c>
      <c r="I184" s="182">
        <f>'[5]Pvt SP2D Pusdik'!C185</f>
        <v>2000000</v>
      </c>
      <c r="J184" s="182">
        <f t="shared" si="114"/>
        <v>2000000</v>
      </c>
      <c r="K184" s="182"/>
      <c r="L184" s="182">
        <f t="shared" ref="L184" si="117">SUM(L185:L188)</f>
        <v>0</v>
      </c>
      <c r="M184" s="182" t="e" cm="1">
        <f t="array" ref="M184">SUM(_xlfn._xlws.FILTER([6]!Draft_SPBY[Jumlah],[6]!Draft_SPBY[MAK4]=A184,0))</f>
        <v>#REF!</v>
      </c>
      <c r="N184" s="182" t="e">
        <f>L184-M184</f>
        <v>#REF!</v>
      </c>
      <c r="O184" s="252"/>
      <c r="P184" s="252"/>
      <c r="Q184" s="144"/>
    </row>
    <row r="185" spans="1:17" ht="13.2" hidden="1" x14ac:dyDescent="0.25">
      <c r="A185" s="163" t="s">
        <v>183</v>
      </c>
      <c r="B185" s="178"/>
      <c r="C185" s="179" t="s">
        <v>645</v>
      </c>
      <c r="D185" s="180">
        <v>12</v>
      </c>
      <c r="E185" s="180" t="s">
        <v>637</v>
      </c>
      <c r="F185" s="182">
        <v>250000</v>
      </c>
      <c r="G185" s="182">
        <f>ROUNDDOWN(D185*F185,-3)</f>
        <v>3000000</v>
      </c>
      <c r="H185" s="182" t="b">
        <f>G185='[5]Pvt SP2D Pusdik'!B186</f>
        <v>1</v>
      </c>
      <c r="I185" s="182">
        <f>'[5]Pvt SP2D Pusdik'!C186</f>
        <v>1999700</v>
      </c>
      <c r="J185" s="182">
        <f t="shared" si="114"/>
        <v>1000300</v>
      </c>
      <c r="K185" s="182"/>
      <c r="L185" s="182"/>
      <c r="M185" s="182"/>
      <c r="N185" s="182"/>
      <c r="O185" s="252"/>
      <c r="P185" s="252"/>
      <c r="Q185" s="144"/>
    </row>
    <row r="186" spans="1:17" ht="13.2" hidden="1" x14ac:dyDescent="0.25">
      <c r="A186" s="163" t="s">
        <v>965</v>
      </c>
      <c r="B186" s="178"/>
      <c r="C186" s="179" t="s">
        <v>964</v>
      </c>
      <c r="D186" s="180">
        <v>40</v>
      </c>
      <c r="E186" s="180" t="s">
        <v>26</v>
      </c>
      <c r="F186" s="182">
        <v>75000</v>
      </c>
      <c r="G186" s="182">
        <f>ROUNDDOWN(D186*F186,-3)</f>
        <v>3000000</v>
      </c>
      <c r="H186" s="182" t="b">
        <f>G186='[5]Pvt SP2D Pusdik'!B187</f>
        <v>1</v>
      </c>
      <c r="I186" s="182">
        <f>'[5]Pvt SP2D Pusdik'!C187</f>
        <v>0</v>
      </c>
      <c r="J186" s="182">
        <f t="shared" si="114"/>
        <v>3000000</v>
      </c>
      <c r="K186" s="182"/>
      <c r="L186" s="182"/>
      <c r="M186" s="182"/>
      <c r="N186" s="182"/>
      <c r="O186" s="252"/>
      <c r="P186" s="252"/>
      <c r="Q186" s="144"/>
    </row>
    <row r="187" spans="1:17" ht="13.2" hidden="1" x14ac:dyDescent="0.25">
      <c r="A187" s="163" t="s">
        <v>651</v>
      </c>
      <c r="B187" s="184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/>
      <c r="M187" s="76"/>
      <c r="N187" s="76"/>
      <c r="O187" s="252"/>
      <c r="P187" s="252"/>
      <c r="Q187" s="144"/>
    </row>
    <row r="188" spans="1:17" ht="13.2" hidden="1" x14ac:dyDescent="0.25">
      <c r="A188" s="163" t="s">
        <v>652</v>
      </c>
      <c r="B188" s="178"/>
      <c r="C188" s="179" t="s">
        <v>653</v>
      </c>
      <c r="D188" s="180">
        <v>15</v>
      </c>
      <c r="E188" s="180" t="s">
        <v>26</v>
      </c>
      <c r="F188" s="182">
        <v>1750000</v>
      </c>
      <c r="G188" s="182">
        <f>ROUNDDOWN(D188*F188,-3)</f>
        <v>26250000</v>
      </c>
      <c r="H188" s="182" t="b">
        <f>G188='[5]Pvt SP2D Pusdik'!B189</f>
        <v>1</v>
      </c>
      <c r="I188" s="182">
        <f>'[5]Pvt SP2D Pusdik'!C189</f>
        <v>0</v>
      </c>
      <c r="J188" s="182">
        <f>G188-I188</f>
        <v>26250000</v>
      </c>
      <c r="K188" s="182"/>
      <c r="L188" s="182"/>
      <c r="M188" s="182"/>
      <c r="N188" s="182"/>
      <c r="O188" s="252"/>
      <c r="P188" s="252"/>
      <c r="Q188" s="144"/>
    </row>
    <row r="189" spans="1:17" ht="13.2" x14ac:dyDescent="0.25">
      <c r="A189" s="163" t="s">
        <v>186</v>
      </c>
      <c r="B189" s="184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16912505</v>
      </c>
      <c r="J189" s="76">
        <f>SUM(J190:J191)</f>
        <v>84587495</v>
      </c>
      <c r="K189" s="76">
        <f>SUM(K190:K191)</f>
        <v>15250000</v>
      </c>
      <c r="L189" s="76">
        <f t="shared" ref="L189" si="118">L190</f>
        <v>0</v>
      </c>
      <c r="M189" s="76" t="e" cm="1">
        <f t="array" ref="M189">SUM(_xlfn._xlws.FILTER([6]!Draft_SPBY[Jumlah],[6]!Draft_SPBY[MAK4]=A189,0))</f>
        <v>#REF!</v>
      </c>
      <c r="N189" s="76" t="e">
        <f>L189-M189</f>
        <v>#REF!</v>
      </c>
      <c r="O189" s="252"/>
      <c r="P189" s="252"/>
      <c r="Q189" s="144"/>
    </row>
    <row r="190" spans="1:17" ht="13.2" x14ac:dyDescent="0.25">
      <c r="A190" s="163" t="s">
        <v>187</v>
      </c>
      <c r="B190" s="178"/>
      <c r="C190" s="179" t="s">
        <v>654</v>
      </c>
      <c r="D190" s="180">
        <v>8</v>
      </c>
      <c r="E190" s="180" t="s">
        <v>26</v>
      </c>
      <c r="F190" s="182">
        <v>4250000</v>
      </c>
      <c r="G190" s="182">
        <f>ROUNDDOWN(D190*F190,-3)</f>
        <v>34000000</v>
      </c>
      <c r="H190" s="182" t="b">
        <f>G190='[5]Pvt SP2D Pusdik'!B191</f>
        <v>1</v>
      </c>
      <c r="I190" s="182">
        <f>'[5]Pvt SP2D Pusdik'!C191</f>
        <v>16912505</v>
      </c>
      <c r="J190" s="182">
        <f t="shared" ref="J190:J191" si="119">G190-I190</f>
        <v>17087495</v>
      </c>
      <c r="K190" s="182">
        <v>4000000</v>
      </c>
      <c r="L190" s="182"/>
      <c r="M190" s="182"/>
      <c r="N190" s="182"/>
      <c r="O190" s="252"/>
      <c r="P190" s="252"/>
      <c r="Q190" s="144"/>
    </row>
    <row r="191" spans="1:17" ht="13.2" x14ac:dyDescent="0.25">
      <c r="A191" s="163" t="s">
        <v>966</v>
      </c>
      <c r="B191" s="178"/>
      <c r="C191" s="226" t="s">
        <v>967</v>
      </c>
      <c r="D191" s="180">
        <v>15</v>
      </c>
      <c r="E191" s="180" t="s">
        <v>26</v>
      </c>
      <c r="F191" s="182">
        <v>4500000</v>
      </c>
      <c r="G191" s="182">
        <f>ROUNDDOWN(D191*F191,-3)</f>
        <v>67500000</v>
      </c>
      <c r="H191" s="182" t="b">
        <f>G191='[5]Pvt SP2D Pusdik'!B192</f>
        <v>1</v>
      </c>
      <c r="I191" s="182">
        <f>'[5]Pvt SP2D Pusdik'!C192</f>
        <v>0</v>
      </c>
      <c r="J191" s="182">
        <f t="shared" si="119"/>
        <v>67500000</v>
      </c>
      <c r="K191" s="182">
        <f>4250000+7000000</f>
        <v>11250000</v>
      </c>
      <c r="L191" s="182">
        <f t="shared" ref="L191" si="120">L192</f>
        <v>0</v>
      </c>
      <c r="M191" s="182" t="e" cm="1">
        <f t="array" ref="M191">SUM(_xlfn._xlws.FILTER([6]!Draft_SPBY[Jumlah],[6]!Draft_SPBY[MAK4]=A191,0))</f>
        <v>#REF!</v>
      </c>
      <c r="N191" s="182" t="e">
        <f>L191-M191</f>
        <v>#REF!</v>
      </c>
      <c r="O191" s="252"/>
      <c r="P191" s="252"/>
      <c r="Q191" s="144"/>
    </row>
    <row r="192" spans="1:17" ht="13.2" x14ac:dyDescent="0.25">
      <c r="A192" s="163" t="s">
        <v>188</v>
      </c>
      <c r="B192" s="177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/>
      <c r="M192" s="71"/>
      <c r="N192" s="71"/>
      <c r="O192" s="252"/>
      <c r="P192" s="252"/>
      <c r="Q192" s="144"/>
    </row>
    <row r="193" spans="1:17" ht="13.2" x14ac:dyDescent="0.25">
      <c r="A193" s="163" t="s">
        <v>189</v>
      </c>
      <c r="B193" s="178"/>
      <c r="C193" s="179" t="s">
        <v>647</v>
      </c>
      <c r="D193" s="180">
        <v>14</v>
      </c>
      <c r="E193" s="180" t="s">
        <v>26</v>
      </c>
      <c r="F193" s="182">
        <v>150000</v>
      </c>
      <c r="G193" s="182">
        <f>ROUNDDOWN(D193*F193,-3)</f>
        <v>2100000</v>
      </c>
      <c r="H193" s="182" t="b">
        <f>G193='[5]Pvt SP2D Pusdik'!B194</f>
        <v>1</v>
      </c>
      <c r="I193" s="182">
        <f>'[5]Pvt SP2D Pusdik'!C194</f>
        <v>1950000</v>
      </c>
      <c r="J193" s="182">
        <f>G193-I193</f>
        <v>150000</v>
      </c>
      <c r="K193" s="182">
        <v>300000</v>
      </c>
      <c r="L193" s="182">
        <f t="shared" ref="L193" si="121">L194</f>
        <v>0</v>
      </c>
      <c r="M193" s="182" t="e" cm="1">
        <f t="array" ref="M193">SUM(_xlfn._xlws.FILTER([6]!Draft_SPBY[Jumlah],[6]!Draft_SPBY[MAK4]=A193,0))</f>
        <v>#REF!</v>
      </c>
      <c r="N193" s="182" t="e">
        <f>L193-M193</f>
        <v>#REF!</v>
      </c>
      <c r="O193" s="252"/>
      <c r="P193" s="252"/>
      <c r="Q193" s="144"/>
    </row>
    <row r="194" spans="1:17" ht="13.2" hidden="1" x14ac:dyDescent="0.25">
      <c r="A194" s="163" t="s">
        <v>190</v>
      </c>
      <c r="B194" s="192" t="s">
        <v>191</v>
      </c>
      <c r="C194" s="193" t="s">
        <v>655</v>
      </c>
      <c r="D194" s="194"/>
      <c r="E194" s="194"/>
      <c r="F194" s="195"/>
      <c r="G194" s="195">
        <f>SUM(G195,G200,G202,G204)</f>
        <v>50042000</v>
      </c>
      <c r="H194" s="195" t="b">
        <f>G194='[5]Pvt SP2D Pusdik'!B195</f>
        <v>1</v>
      </c>
      <c r="I194" s="195">
        <f>'[5]Pvt SP2D Pusdik'!C195</f>
        <v>46821957</v>
      </c>
      <c r="J194" s="195">
        <f>SUM(J195,J200,J202,J204)</f>
        <v>3220043</v>
      </c>
      <c r="K194" s="195">
        <f>SUM(K195,K200,K202,K204)</f>
        <v>0</v>
      </c>
      <c r="L194" s="195"/>
      <c r="M194" s="195"/>
      <c r="N194" s="195"/>
      <c r="O194" s="252" t="s">
        <v>500</v>
      </c>
      <c r="P194" s="252" t="s">
        <v>501</v>
      </c>
      <c r="Q194" s="144"/>
    </row>
    <row r="195" spans="1:17" ht="13.2" hidden="1" x14ac:dyDescent="0.25">
      <c r="A195" s="163" t="s">
        <v>192</v>
      </c>
      <c r="B195" s="184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 t="shared" ref="L195" si="122">SUM(L196,L201,L203)</f>
        <v>0</v>
      </c>
      <c r="M195" s="76" t="e">
        <f t="shared" ref="M195:N195" si="123">SUM(M196,M201,M203)</f>
        <v>#REF!</v>
      </c>
      <c r="N195" s="76" t="e">
        <f t="shared" si="123"/>
        <v>#REF!</v>
      </c>
      <c r="O195" s="252"/>
      <c r="P195" s="252"/>
      <c r="Q195" s="144"/>
    </row>
    <row r="196" spans="1:17" ht="13.2" hidden="1" x14ac:dyDescent="0.25">
      <c r="A196" s="163" t="s">
        <v>193</v>
      </c>
      <c r="B196" s="178"/>
      <c r="C196" s="179" t="s">
        <v>563</v>
      </c>
      <c r="D196" s="180">
        <v>160</v>
      </c>
      <c r="E196" s="180" t="s">
        <v>26</v>
      </c>
      <c r="F196" s="182">
        <v>75000</v>
      </c>
      <c r="G196" s="182">
        <f>ROUNDDOWN(D196*F196,-3)</f>
        <v>12000000</v>
      </c>
      <c r="H196" s="182" t="b">
        <f>G196='[5]Pvt SP2D Pusdik'!B197</f>
        <v>1</v>
      </c>
      <c r="I196" s="182">
        <f>'[5]Pvt SP2D Pusdik'!C197</f>
        <v>11984200</v>
      </c>
      <c r="J196" s="182">
        <f t="shared" ref="J196:J199" si="124">G196-I196</f>
        <v>15800</v>
      </c>
      <c r="K196" s="182"/>
      <c r="L196" s="182">
        <f t="shared" ref="L196" si="125">SUM(L197:L200)</f>
        <v>0</v>
      </c>
      <c r="M196" s="182" t="e" cm="1">
        <f t="array" ref="M196">SUM(_xlfn._xlws.FILTER([6]!Draft_SPBY[Jumlah],[6]!Draft_SPBY[MAK4]=A196,0))</f>
        <v>#REF!</v>
      </c>
      <c r="N196" s="182" t="e">
        <f>L196-M196</f>
        <v>#REF!</v>
      </c>
      <c r="O196" s="252"/>
      <c r="P196" s="252"/>
      <c r="Q196" s="144"/>
    </row>
    <row r="197" spans="1:17" ht="13.2" hidden="1" x14ac:dyDescent="0.25">
      <c r="A197" s="163" t="s">
        <v>194</v>
      </c>
      <c r="B197" s="178"/>
      <c r="C197" s="179" t="s">
        <v>564</v>
      </c>
      <c r="D197" s="180">
        <v>2</v>
      </c>
      <c r="E197" s="180" t="s">
        <v>120</v>
      </c>
      <c r="F197" s="182">
        <v>1500000</v>
      </c>
      <c r="G197" s="182">
        <f>ROUNDDOWN(D197*F197,-3)</f>
        <v>3000000</v>
      </c>
      <c r="H197" s="182" t="b">
        <f>G197='[5]Pvt SP2D Pusdik'!B198</f>
        <v>1</v>
      </c>
      <c r="I197" s="182">
        <f>'[5]Pvt SP2D Pusdik'!C198</f>
        <v>2991500</v>
      </c>
      <c r="J197" s="182">
        <f t="shared" si="124"/>
        <v>8500</v>
      </c>
      <c r="K197" s="182"/>
      <c r="L197" s="182"/>
      <c r="M197" s="182"/>
      <c r="N197" s="182"/>
      <c r="O197" s="252"/>
      <c r="P197" s="252"/>
      <c r="Q197" s="144"/>
    </row>
    <row r="198" spans="1:17" ht="13.2" hidden="1" x14ac:dyDescent="0.25">
      <c r="A198" s="163" t="s">
        <v>195</v>
      </c>
      <c r="B198" s="178"/>
      <c r="C198" s="179" t="s">
        <v>565</v>
      </c>
      <c r="D198" s="180">
        <v>2</v>
      </c>
      <c r="E198" s="180" t="s">
        <v>120</v>
      </c>
      <c r="F198" s="182">
        <v>1500000</v>
      </c>
      <c r="G198" s="182">
        <f>ROUNDDOWN(D198*F198,-3)</f>
        <v>3000000</v>
      </c>
      <c r="H198" s="182" t="b">
        <f>G198='[5]Pvt SP2D Pusdik'!B199</f>
        <v>1</v>
      </c>
      <c r="I198" s="182">
        <f>'[5]Pvt SP2D Pusdik'!C199</f>
        <v>2943000</v>
      </c>
      <c r="J198" s="182">
        <f t="shared" si="124"/>
        <v>57000</v>
      </c>
      <c r="K198" s="182"/>
      <c r="L198" s="182"/>
      <c r="M198" s="182"/>
      <c r="N198" s="182"/>
      <c r="O198" s="252"/>
      <c r="P198" s="252"/>
      <c r="Q198" s="144"/>
    </row>
    <row r="199" spans="1:17" ht="13.2" hidden="1" x14ac:dyDescent="0.25">
      <c r="A199" s="163" t="s">
        <v>656</v>
      </c>
      <c r="B199" s="178"/>
      <c r="C199" s="179" t="s">
        <v>566</v>
      </c>
      <c r="D199" s="180">
        <v>2</v>
      </c>
      <c r="E199" s="180" t="s">
        <v>120</v>
      </c>
      <c r="F199" s="182">
        <v>1000000</v>
      </c>
      <c r="G199" s="182">
        <f>ROUNDDOWN(D199*F199,-3)</f>
        <v>2000000</v>
      </c>
      <c r="H199" s="182" t="b">
        <f>G199='[5]Pvt SP2D Pusdik'!B200</f>
        <v>1</v>
      </c>
      <c r="I199" s="182">
        <f>'[5]Pvt SP2D Pusdik'!C200</f>
        <v>1993000</v>
      </c>
      <c r="J199" s="182">
        <f t="shared" si="124"/>
        <v>7000</v>
      </c>
      <c r="K199" s="182"/>
      <c r="L199" s="182"/>
      <c r="M199" s="182"/>
      <c r="N199" s="182"/>
      <c r="O199" s="252"/>
      <c r="P199" s="252"/>
      <c r="Q199" s="144"/>
    </row>
    <row r="200" spans="1:17" ht="13.2" hidden="1" x14ac:dyDescent="0.25">
      <c r="A200" s="163" t="s">
        <v>196</v>
      </c>
      <c r="B200" s="184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2129837</v>
      </c>
      <c r="J200" s="76">
        <f>J201</f>
        <v>870163</v>
      </c>
      <c r="K200" s="76">
        <f>K201</f>
        <v>0</v>
      </c>
      <c r="L200" s="76"/>
      <c r="M200" s="76"/>
      <c r="N200" s="76"/>
      <c r="O200" s="252"/>
      <c r="P200" s="252"/>
      <c r="Q200" s="144"/>
    </row>
    <row r="201" spans="1:17" ht="13.2" hidden="1" x14ac:dyDescent="0.25">
      <c r="A201" s="163" t="s">
        <v>197</v>
      </c>
      <c r="B201" s="178"/>
      <c r="C201" s="179" t="s">
        <v>627</v>
      </c>
      <c r="D201" s="180">
        <v>12</v>
      </c>
      <c r="E201" s="180" t="s">
        <v>120</v>
      </c>
      <c r="F201" s="182">
        <v>250000</v>
      </c>
      <c r="G201" s="182">
        <f>ROUNDDOWN(D201*F201,-3)</f>
        <v>3000000</v>
      </c>
      <c r="H201" s="182" t="b">
        <f>G201='[5]Pvt SP2D Pusdik'!B202</f>
        <v>1</v>
      </c>
      <c r="I201" s="182">
        <f>'[5]Pvt SP2D Pusdik'!C202</f>
        <v>2129837</v>
      </c>
      <c r="J201" s="182">
        <f>G201-I201</f>
        <v>870163</v>
      </c>
      <c r="K201" s="182"/>
      <c r="L201" s="182">
        <f t="shared" ref="L201" si="126">L202</f>
        <v>0</v>
      </c>
      <c r="M201" s="182" t="e" cm="1">
        <f t="array" ref="M201">SUM(_xlfn._xlws.FILTER([6]!Draft_SPBY[Jumlah],[6]!Draft_SPBY[MAK4]=A201,0))</f>
        <v>#REF!</v>
      </c>
      <c r="N201" s="182" t="e">
        <f>L201-M201</f>
        <v>#REF!</v>
      </c>
      <c r="O201" s="252"/>
      <c r="P201" s="252"/>
      <c r="Q201" s="144"/>
    </row>
    <row r="202" spans="1:17" ht="13.2" hidden="1" x14ac:dyDescent="0.25">
      <c r="A202" s="163" t="s">
        <v>198</v>
      </c>
      <c r="B202" s="184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/>
      <c r="M202" s="76"/>
      <c r="N202" s="76"/>
      <c r="O202" s="252"/>
      <c r="P202" s="252"/>
      <c r="Q202" s="144"/>
    </row>
    <row r="203" spans="1:17" ht="13.2" hidden="1" x14ac:dyDescent="0.25">
      <c r="A203" s="163" t="s">
        <v>199</v>
      </c>
      <c r="B203" s="178"/>
      <c r="C203" s="179" t="s">
        <v>567</v>
      </c>
      <c r="D203" s="180">
        <v>10</v>
      </c>
      <c r="E203" s="180" t="s">
        <v>33</v>
      </c>
      <c r="F203" s="182">
        <v>900000</v>
      </c>
      <c r="G203" s="182">
        <f>ROUNDDOWN(D203*F203,-3)</f>
        <v>9000000</v>
      </c>
      <c r="H203" s="182" t="b">
        <f>G203='[5]Pvt SP2D Pusdik'!B204</f>
        <v>1</v>
      </c>
      <c r="I203" s="182">
        <f>'[5]Pvt SP2D Pusdik'!C204</f>
        <v>6300000</v>
      </c>
      <c r="J203" s="182">
        <f>G203-I203</f>
        <v>2700000</v>
      </c>
      <c r="K203" s="182"/>
      <c r="L203" s="182">
        <f t="shared" ref="L203" si="127">L204</f>
        <v>0</v>
      </c>
      <c r="M203" s="182" t="e" cm="1">
        <f t="array" ref="M203">SUM(_xlfn._xlws.FILTER([6]!Draft_SPBY[Jumlah],[6]!Draft_SPBY[MAK4]=A203,0))</f>
        <v>#REF!</v>
      </c>
      <c r="N203" s="182" t="e">
        <f>L203-M203</f>
        <v>#REF!</v>
      </c>
      <c r="O203" s="252"/>
      <c r="P203" s="252"/>
      <c r="Q203" s="144"/>
    </row>
    <row r="204" spans="1:17" ht="13.2" hidden="1" x14ac:dyDescent="0.25">
      <c r="A204" s="163" t="s">
        <v>200</v>
      </c>
      <c r="B204" s="184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1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/>
      <c r="M204" s="76"/>
      <c r="N204" s="76"/>
      <c r="O204" s="252"/>
      <c r="P204" s="252"/>
      <c r="Q204" s="144"/>
    </row>
    <row r="205" spans="1:17" ht="13.2" hidden="1" x14ac:dyDescent="0.25">
      <c r="A205" s="163" t="s">
        <v>201</v>
      </c>
      <c r="B205" s="178"/>
      <c r="C205" s="179" t="s">
        <v>657</v>
      </c>
      <c r="D205" s="180">
        <v>6</v>
      </c>
      <c r="E205" s="180" t="s">
        <v>26</v>
      </c>
      <c r="F205" s="182">
        <v>3007000</v>
      </c>
      <c r="G205" s="182">
        <f>ROUNDDOWN(D205*F205,-3)</f>
        <v>18042000</v>
      </c>
      <c r="H205" s="182" t="b">
        <f>G205='[5]Pvt SP2D Pusdik'!B206</f>
        <v>1</v>
      </c>
      <c r="I205" s="182">
        <f>'[5]Pvt SP2D Pusdik'!C206</f>
        <v>18480420</v>
      </c>
      <c r="J205" s="182">
        <f>G205-I205</f>
        <v>-438420</v>
      </c>
      <c r="K205" s="182"/>
      <c r="L205" s="182">
        <f t="shared" ref="L205" si="128">SUM(L206,L211)</f>
        <v>0</v>
      </c>
      <c r="M205" s="182" t="e">
        <f t="shared" ref="M205:N205" si="129">SUM(M206,M211)</f>
        <v>#REF!</v>
      </c>
      <c r="N205" s="182" t="e">
        <f t="shared" si="129"/>
        <v>#REF!</v>
      </c>
      <c r="O205" s="252"/>
      <c r="P205" s="252"/>
      <c r="Q205" s="144"/>
    </row>
    <row r="206" spans="1:17" ht="13.2" x14ac:dyDescent="0.25">
      <c r="A206" s="163" t="s">
        <v>202</v>
      </c>
      <c r="B206" s="192" t="s">
        <v>203</v>
      </c>
      <c r="C206" s="193" t="s">
        <v>658</v>
      </c>
      <c r="D206" s="194"/>
      <c r="E206" s="194"/>
      <c r="F206" s="195"/>
      <c r="G206" s="195">
        <f>SUM(G207,G212,G215)</f>
        <v>99334000</v>
      </c>
      <c r="H206" s="195" t="b">
        <f>G206='[5]Pvt SP2D Pusdik'!B207</f>
        <v>1</v>
      </c>
      <c r="I206" s="195">
        <f>'[5]Pvt SP2D Pusdik'!C207</f>
        <v>47781358</v>
      </c>
      <c r="J206" s="195">
        <f>SUM(J207,J212,J215)</f>
        <v>51552642</v>
      </c>
      <c r="K206" s="195">
        <f>SUM(K207,K212,K215)</f>
        <v>3750000</v>
      </c>
      <c r="L206" s="195">
        <f t="shared" ref="L206" si="130">SUM(L207:L210)</f>
        <v>0</v>
      </c>
      <c r="M206" s="195" t="e" cm="1">
        <f t="array" ref="M206">SUM(_xlfn._xlws.FILTER([6]!Draft_SPBY[Jumlah],[6]!Draft_SPBY[MAK4]=A206,0))</f>
        <v>#REF!</v>
      </c>
      <c r="N206" s="195" t="e">
        <f>L206-M206</f>
        <v>#REF!</v>
      </c>
      <c r="O206" s="252" t="s">
        <v>497</v>
      </c>
      <c r="P206" s="252" t="s">
        <v>498</v>
      </c>
      <c r="Q206" s="144"/>
    </row>
    <row r="207" spans="1:17" ht="13.2" x14ac:dyDescent="0.25">
      <c r="A207" s="163" t="s">
        <v>205</v>
      </c>
      <c r="B207" s="177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/>
      <c r="M207" s="71"/>
      <c r="N207" s="71"/>
      <c r="O207" s="252"/>
      <c r="P207" s="252"/>
      <c r="Q207" s="144"/>
    </row>
    <row r="208" spans="1:17" ht="13.2" x14ac:dyDescent="0.25">
      <c r="A208" s="163" t="s">
        <v>206</v>
      </c>
      <c r="B208" s="178"/>
      <c r="C208" s="179" t="s">
        <v>563</v>
      </c>
      <c r="D208" s="180">
        <v>100</v>
      </c>
      <c r="E208" s="180" t="s">
        <v>26</v>
      </c>
      <c r="F208" s="182">
        <v>75000</v>
      </c>
      <c r="G208" s="182">
        <f>ROUNDDOWN(D208*F208,-3)</f>
        <v>7500000</v>
      </c>
      <c r="H208" s="182" t="b">
        <f>G208='[5]Pvt SP2D Pusdik'!B209</f>
        <v>1</v>
      </c>
      <c r="I208" s="182">
        <f>'[5]Pvt SP2D Pusdik'!C209</f>
        <v>1320000</v>
      </c>
      <c r="J208" s="182">
        <f t="shared" ref="J208:J211" si="131">G208-I208</f>
        <v>6180000</v>
      </c>
      <c r="K208" s="182">
        <v>750000</v>
      </c>
      <c r="L208" s="182"/>
      <c r="M208" s="182"/>
      <c r="N208" s="182"/>
      <c r="O208" s="252"/>
      <c r="P208" s="252"/>
      <c r="Q208" s="144"/>
    </row>
    <row r="209" spans="1:19" ht="13.2" hidden="1" x14ac:dyDescent="0.25">
      <c r="A209" s="163" t="s">
        <v>207</v>
      </c>
      <c r="B209" s="178"/>
      <c r="C209" s="179" t="s">
        <v>564</v>
      </c>
      <c r="D209" s="180">
        <v>1</v>
      </c>
      <c r="E209" s="180" t="s">
        <v>120</v>
      </c>
      <c r="F209" s="182">
        <v>750000</v>
      </c>
      <c r="G209" s="182">
        <f>ROUNDDOWN(D209*F209,-3)</f>
        <v>750000</v>
      </c>
      <c r="H209" s="182" t="b">
        <f>G209='[5]Pvt SP2D Pusdik'!B210</f>
        <v>1</v>
      </c>
      <c r="I209" s="182">
        <f>'[5]Pvt SP2D Pusdik'!C210</f>
        <v>0</v>
      </c>
      <c r="J209" s="182">
        <f t="shared" si="131"/>
        <v>750000</v>
      </c>
      <c r="K209" s="182"/>
      <c r="L209" s="182"/>
      <c r="M209" s="182"/>
      <c r="N209" s="182"/>
      <c r="O209" s="252"/>
      <c r="P209" s="252"/>
      <c r="Q209" s="144"/>
    </row>
    <row r="210" spans="1:19" ht="13.2" hidden="1" x14ac:dyDescent="0.25">
      <c r="A210" s="163" t="s">
        <v>208</v>
      </c>
      <c r="B210" s="178"/>
      <c r="C210" s="179" t="s">
        <v>565</v>
      </c>
      <c r="D210" s="180">
        <v>2</v>
      </c>
      <c r="E210" s="180" t="s">
        <v>120</v>
      </c>
      <c r="F210" s="182">
        <v>1500000</v>
      </c>
      <c r="G210" s="182">
        <f>ROUNDDOWN(D210*F210,-3)</f>
        <v>3000000</v>
      </c>
      <c r="H210" s="182" t="b">
        <f>G210='[5]Pvt SP2D Pusdik'!B211</f>
        <v>1</v>
      </c>
      <c r="I210" s="182">
        <f>'[5]Pvt SP2D Pusdik'!C211</f>
        <v>1489000</v>
      </c>
      <c r="J210" s="182">
        <f t="shared" si="131"/>
        <v>1511000</v>
      </c>
      <c r="K210" s="182"/>
      <c r="L210" s="182"/>
      <c r="M210" s="182"/>
      <c r="N210" s="182"/>
      <c r="O210" s="252"/>
      <c r="P210" s="252"/>
      <c r="Q210" s="144"/>
    </row>
    <row r="211" spans="1:19" ht="13.2" hidden="1" x14ac:dyDescent="0.25">
      <c r="A211" s="163" t="s">
        <v>659</v>
      </c>
      <c r="B211" s="178"/>
      <c r="C211" s="179" t="s">
        <v>566</v>
      </c>
      <c r="D211" s="180">
        <v>2</v>
      </c>
      <c r="E211" s="180" t="s">
        <v>120</v>
      </c>
      <c r="F211" s="182">
        <v>1000000</v>
      </c>
      <c r="G211" s="182">
        <f>ROUNDDOWN(D211*F211,-3)</f>
        <v>2000000</v>
      </c>
      <c r="H211" s="182" t="b">
        <f>G211='[5]Pvt SP2D Pusdik'!B212</f>
        <v>1</v>
      </c>
      <c r="I211" s="182">
        <f>'[5]Pvt SP2D Pusdik'!C212</f>
        <v>995000</v>
      </c>
      <c r="J211" s="182">
        <f t="shared" si="131"/>
        <v>1005000</v>
      </c>
      <c r="K211" s="182"/>
      <c r="L211" s="182">
        <f t="shared" ref="L211" si="132">L212</f>
        <v>0</v>
      </c>
      <c r="M211" s="182" t="e" cm="1">
        <f t="array" ref="M211">SUM(_xlfn._xlws.FILTER([6]!Draft_SPBY[Jumlah],[6]!Draft_SPBY[MAK4]=A211,0))</f>
        <v>#REF!</v>
      </c>
      <c r="N211" s="182" t="e">
        <f>L211-M211</f>
        <v>#REF!</v>
      </c>
      <c r="O211" s="252"/>
      <c r="P211" s="252"/>
      <c r="Q211" s="144"/>
    </row>
    <row r="212" spans="1:19" ht="13.2" hidden="1" x14ac:dyDescent="0.25">
      <c r="A212" s="163" t="s">
        <v>209</v>
      </c>
      <c r="B212" s="184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910448</v>
      </c>
      <c r="J212" s="76">
        <f>SUM(J213:J214)</f>
        <v>13639552</v>
      </c>
      <c r="K212" s="76">
        <f>SUM(K213:K214)</f>
        <v>0</v>
      </c>
      <c r="L212" s="76"/>
      <c r="M212" s="76"/>
      <c r="N212" s="76"/>
      <c r="O212" s="252"/>
      <c r="P212" s="252"/>
      <c r="Q212" s="144"/>
      <c r="S212" s="144"/>
    </row>
    <row r="213" spans="1:19" ht="13.2" hidden="1" x14ac:dyDescent="0.25">
      <c r="A213" s="163" t="s">
        <v>210</v>
      </c>
      <c r="B213" s="178"/>
      <c r="C213" s="179" t="s">
        <v>627</v>
      </c>
      <c r="D213" s="180">
        <v>12</v>
      </c>
      <c r="E213" s="180" t="s">
        <v>120</v>
      </c>
      <c r="F213" s="182">
        <v>250000</v>
      </c>
      <c r="G213" s="182">
        <f>ROUNDDOWN(D213*F213,-3)</f>
        <v>3000000</v>
      </c>
      <c r="H213" s="182" t="b">
        <f>G213='[5]Pvt SP2D Pusdik'!B214</f>
        <v>1</v>
      </c>
      <c r="I213" s="182">
        <f>'[5]Pvt SP2D Pusdik'!C214</f>
        <v>910448</v>
      </c>
      <c r="J213" s="182">
        <f t="shared" ref="J213:J214" si="133">G213-I213</f>
        <v>2089552</v>
      </c>
      <c r="K213" s="182"/>
      <c r="L213" s="182">
        <f t="shared" ref="L213" si="134">SUM(L214,L219)</f>
        <v>0</v>
      </c>
      <c r="M213" s="182" t="e">
        <f t="shared" ref="M213:N213" si="135">SUM(M214,M219)</f>
        <v>#REF!</v>
      </c>
      <c r="N213" s="182" t="e">
        <f t="shared" si="135"/>
        <v>#REF!</v>
      </c>
      <c r="O213" s="252"/>
      <c r="P213" s="252"/>
      <c r="Q213" s="144"/>
    </row>
    <row r="214" spans="1:19" ht="13.2" hidden="1" x14ac:dyDescent="0.25">
      <c r="A214" s="163" t="s">
        <v>968</v>
      </c>
      <c r="B214" s="178"/>
      <c r="C214" s="179" t="s">
        <v>969</v>
      </c>
      <c r="D214" s="180">
        <v>1</v>
      </c>
      <c r="E214" s="180" t="s">
        <v>120</v>
      </c>
      <c r="F214" s="182">
        <v>11550000</v>
      </c>
      <c r="G214" s="182">
        <f>ROUNDDOWN(D214*F214,-3)</f>
        <v>11550000</v>
      </c>
      <c r="H214" s="182" t="b">
        <f>G214='[5]Pvt SP2D Pusdik'!B215</f>
        <v>1</v>
      </c>
      <c r="I214" s="182">
        <f>'[5]Pvt SP2D Pusdik'!C215</f>
        <v>0</v>
      </c>
      <c r="J214" s="182">
        <f t="shared" si="133"/>
        <v>11550000</v>
      </c>
      <c r="K214" s="182"/>
      <c r="L214" s="182">
        <f t="shared" ref="L214" si="136">SUM(L215:L218)</f>
        <v>0</v>
      </c>
      <c r="M214" s="182" t="e" cm="1">
        <f t="array" ref="M214">SUM(_xlfn._xlws.FILTER([6]!Draft_SPBY[Jumlah],[6]!Draft_SPBY[MAK4]=A214,0))</f>
        <v>#REF!</v>
      </c>
      <c r="N214" s="182" t="e">
        <f>L214-M214</f>
        <v>#REF!</v>
      </c>
      <c r="O214" s="252"/>
      <c r="P214" s="252"/>
      <c r="Q214" s="144"/>
    </row>
    <row r="215" spans="1:19" ht="13.2" x14ac:dyDescent="0.25">
      <c r="A215" s="163" t="s">
        <v>211</v>
      </c>
      <c r="B215" s="177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3000000</v>
      </c>
      <c r="L215" s="71"/>
      <c r="M215" s="71"/>
      <c r="N215" s="71"/>
      <c r="O215" s="252"/>
      <c r="P215" s="252"/>
      <c r="Q215" s="144"/>
    </row>
    <row r="216" spans="1:19" ht="13.2" x14ac:dyDescent="0.25">
      <c r="A216" s="163" t="s">
        <v>212</v>
      </c>
      <c r="B216" s="178"/>
      <c r="C216" s="179" t="s">
        <v>660</v>
      </c>
      <c r="D216" s="180">
        <v>14</v>
      </c>
      <c r="E216" s="180" t="s">
        <v>26</v>
      </c>
      <c r="F216" s="182">
        <v>5109636</v>
      </c>
      <c r="G216" s="182">
        <f>ROUNDDOWN(D216*F216,-3)</f>
        <v>71534000</v>
      </c>
      <c r="H216" s="182" t="b">
        <f>G216='[5]Pvt SP2D Pusdik'!B217</f>
        <v>1</v>
      </c>
      <c r="I216" s="182">
        <f>'[5]Pvt SP2D Pusdik'!C217</f>
        <v>43066910</v>
      </c>
      <c r="J216" s="182">
        <f>G216-I216</f>
        <v>28467090</v>
      </c>
      <c r="K216" s="182">
        <v>3000000</v>
      </c>
      <c r="L216" s="182"/>
      <c r="M216" s="182"/>
      <c r="N216" s="182"/>
      <c r="O216" s="252"/>
      <c r="P216" s="252"/>
      <c r="Q216" s="144"/>
    </row>
    <row r="217" spans="1:19" ht="13.2" x14ac:dyDescent="0.25">
      <c r="A217" s="163" t="s">
        <v>213</v>
      </c>
      <c r="B217" s="192" t="s">
        <v>214</v>
      </c>
      <c r="C217" s="193" t="s">
        <v>661</v>
      </c>
      <c r="D217" s="194"/>
      <c r="E217" s="194"/>
      <c r="F217" s="195"/>
      <c r="G217" s="195">
        <f>SUM(G218,G223)</f>
        <v>139554000</v>
      </c>
      <c r="H217" s="195" t="b">
        <f>G217='[5]Pvt SP2D Pusdik'!B218</f>
        <v>1</v>
      </c>
      <c r="I217" s="195">
        <f>'[5]Pvt SP2D Pusdik'!C218</f>
        <v>55215155</v>
      </c>
      <c r="J217" s="195">
        <f>SUM(J218,J223)</f>
        <v>84338845</v>
      </c>
      <c r="K217" s="195">
        <f>SUM(K218,K223)</f>
        <v>14950000</v>
      </c>
      <c r="L217" s="195"/>
      <c r="M217" s="195"/>
      <c r="N217" s="195"/>
      <c r="O217" s="252" t="s">
        <v>497</v>
      </c>
      <c r="P217" s="252" t="s">
        <v>499</v>
      </c>
      <c r="Q217" s="144"/>
    </row>
    <row r="218" spans="1:19" ht="13.2" x14ac:dyDescent="0.25">
      <c r="A218" s="163" t="s">
        <v>215</v>
      </c>
      <c r="B218" s="177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/>
      <c r="M218" s="71"/>
      <c r="N218" s="71"/>
      <c r="O218" s="252"/>
      <c r="P218" s="252"/>
      <c r="Q218" s="144"/>
    </row>
    <row r="219" spans="1:19" ht="13.2" x14ac:dyDescent="0.25">
      <c r="A219" s="163" t="s">
        <v>216</v>
      </c>
      <c r="B219" s="178"/>
      <c r="C219" s="179" t="s">
        <v>563</v>
      </c>
      <c r="D219" s="180">
        <v>100</v>
      </c>
      <c r="E219" s="180" t="s">
        <v>26</v>
      </c>
      <c r="F219" s="182">
        <v>75000</v>
      </c>
      <c r="G219" s="182">
        <f>ROUNDDOWN(D219*F219,-3)</f>
        <v>7500000</v>
      </c>
      <c r="H219" s="182" t="b">
        <f>G219='[5]Pvt SP2D Pusdik'!B220</f>
        <v>1</v>
      </c>
      <c r="I219" s="182">
        <f>'[5]Pvt SP2D Pusdik'!C220</f>
        <v>1800000</v>
      </c>
      <c r="J219" s="182">
        <f t="shared" ref="J219:J222" si="137">G219-I219</f>
        <v>5700000</v>
      </c>
      <c r="K219" s="182">
        <v>750000</v>
      </c>
      <c r="L219" s="182">
        <f t="shared" ref="L219" si="138">L220</f>
        <v>0</v>
      </c>
      <c r="M219" s="182" t="e" cm="1">
        <f t="array" ref="M219">SUM(_xlfn._xlws.FILTER([6]!Draft_SPBY[Jumlah],[6]!Draft_SPBY[MAK4]=A219,0))</f>
        <v>#REF!</v>
      </c>
      <c r="N219" s="182" t="e">
        <f>L219-M219</f>
        <v>#REF!</v>
      </c>
      <c r="O219" s="252"/>
      <c r="P219" s="252"/>
      <c r="Q219" s="144"/>
    </row>
    <row r="220" spans="1:19" ht="13.2" x14ac:dyDescent="0.25">
      <c r="A220" s="163" t="s">
        <v>217</v>
      </c>
      <c r="B220" s="178"/>
      <c r="C220" s="179" t="s">
        <v>564</v>
      </c>
      <c r="D220" s="180">
        <v>4</v>
      </c>
      <c r="E220" s="180" t="s">
        <v>120</v>
      </c>
      <c r="F220" s="182">
        <v>1500000</v>
      </c>
      <c r="G220" s="182">
        <f>ROUNDDOWN(D220*F220,-3)</f>
        <v>6000000</v>
      </c>
      <c r="H220" s="182" t="b">
        <f>G220='[5]Pvt SP2D Pusdik'!B221</f>
        <v>1</v>
      </c>
      <c r="I220" s="182">
        <f>'[5]Pvt SP2D Pusdik'!C221</f>
        <v>0</v>
      </c>
      <c r="J220" s="182">
        <f t="shared" si="137"/>
        <v>6000000</v>
      </c>
      <c r="K220" s="182">
        <v>1500000</v>
      </c>
      <c r="L220" s="182"/>
      <c r="M220" s="182"/>
      <c r="N220" s="182"/>
      <c r="O220" s="252"/>
      <c r="P220" s="252"/>
      <c r="Q220" s="144"/>
    </row>
    <row r="221" spans="1:19" ht="13.2" x14ac:dyDescent="0.25">
      <c r="A221" s="163" t="s">
        <v>218</v>
      </c>
      <c r="B221" s="178"/>
      <c r="C221" s="179" t="s">
        <v>565</v>
      </c>
      <c r="D221" s="180">
        <v>4</v>
      </c>
      <c r="E221" s="180" t="s">
        <v>120</v>
      </c>
      <c r="F221" s="182">
        <v>1500000</v>
      </c>
      <c r="G221" s="182">
        <f>ROUNDDOWN(D221*F221,-3)</f>
        <v>6000000</v>
      </c>
      <c r="H221" s="182" t="b">
        <f>G221='[5]Pvt SP2D Pusdik'!B222</f>
        <v>1</v>
      </c>
      <c r="I221" s="182">
        <f>'[5]Pvt SP2D Pusdik'!C222</f>
        <v>1475000</v>
      </c>
      <c r="J221" s="182">
        <f t="shared" si="137"/>
        <v>4525000</v>
      </c>
      <c r="K221" s="182">
        <v>1500000</v>
      </c>
      <c r="L221" s="182">
        <f t="shared" ref="L221" si="139">SUM(L222,L248)</f>
        <v>0</v>
      </c>
      <c r="M221" s="182" t="e">
        <f t="shared" ref="M221:N221" si="140">SUM(M222,M248)</f>
        <v>#REF!</v>
      </c>
      <c r="N221" s="182" t="e">
        <f t="shared" si="140"/>
        <v>#REF!</v>
      </c>
      <c r="O221" s="252"/>
      <c r="P221" s="252"/>
      <c r="Q221" s="144"/>
    </row>
    <row r="222" spans="1:19" ht="13.2" x14ac:dyDescent="0.25">
      <c r="A222" s="163" t="s">
        <v>219</v>
      </c>
      <c r="B222" s="178"/>
      <c r="C222" s="179" t="s">
        <v>566</v>
      </c>
      <c r="D222" s="180">
        <v>4</v>
      </c>
      <c r="E222" s="180" t="s">
        <v>120</v>
      </c>
      <c r="F222" s="182">
        <v>1000000</v>
      </c>
      <c r="G222" s="182">
        <f>ROUNDDOWN(D222*F222,-3)</f>
        <v>4000000</v>
      </c>
      <c r="H222" s="182" t="b">
        <f>G222='[5]Pvt SP2D Pusdik'!B223</f>
        <v>1</v>
      </c>
      <c r="I222" s="182">
        <f>'[5]Pvt SP2D Pusdik'!C223</f>
        <v>995000</v>
      </c>
      <c r="J222" s="182">
        <f t="shared" si="137"/>
        <v>3005000</v>
      </c>
      <c r="K222" s="182">
        <v>1000000</v>
      </c>
      <c r="L222" s="182">
        <f t="shared" ref="L222:N222" si="141">L223</f>
        <v>0</v>
      </c>
      <c r="M222" s="182" t="e">
        <f t="shared" si="141"/>
        <v>#REF!</v>
      </c>
      <c r="N222" s="182" t="e">
        <f t="shared" si="141"/>
        <v>#REF!</v>
      </c>
      <c r="O222" s="252"/>
      <c r="P222" s="252"/>
      <c r="Q222" s="144"/>
    </row>
    <row r="223" spans="1:19" ht="13.2" x14ac:dyDescent="0.25">
      <c r="A223" s="163" t="s">
        <v>220</v>
      </c>
      <c r="B223" s="177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50945155</v>
      </c>
      <c r="J223" s="71">
        <f>J224</f>
        <v>65108845</v>
      </c>
      <c r="K223" s="71">
        <f>K224</f>
        <v>10200000</v>
      </c>
      <c r="L223" s="71">
        <f t="shared" ref="L223" si="142">SUM(L224,L226,L228,L230,L232,L234,L236,L238,L240,L242,L244,L246)</f>
        <v>0</v>
      </c>
      <c r="M223" s="71" t="e">
        <f t="shared" ref="M223:N223" si="143">SUM(M224,M226,M228,M230,M232,M234,M236,M238,M240,M242,M244,M246)</f>
        <v>#REF!</v>
      </c>
      <c r="N223" s="71" t="e">
        <f t="shared" si="143"/>
        <v>#REF!</v>
      </c>
      <c r="O223" s="252"/>
      <c r="P223" s="252"/>
      <c r="Q223" s="144"/>
    </row>
    <row r="224" spans="1:19" ht="13.2" x14ac:dyDescent="0.25">
      <c r="A224" s="163" t="s">
        <v>221</v>
      </c>
      <c r="B224" s="178"/>
      <c r="C224" s="179" t="s">
        <v>970</v>
      </c>
      <c r="D224" s="180">
        <v>21</v>
      </c>
      <c r="E224" s="180" t="s">
        <v>26</v>
      </c>
      <c r="F224" s="182">
        <v>5526381</v>
      </c>
      <c r="G224" s="182">
        <f>ROUNDDOWN(D224*F224,-3)</f>
        <v>116054000</v>
      </c>
      <c r="H224" s="182" t="b">
        <f>G224='[5]Pvt SP2D Pusdik'!B225</f>
        <v>1</v>
      </c>
      <c r="I224" s="182">
        <f>'[5]Pvt SP2D Pusdik'!C225</f>
        <v>50945155</v>
      </c>
      <c r="J224" s="182">
        <f>G224-I224</f>
        <v>65108845</v>
      </c>
      <c r="K224" s="182">
        <v>10200000</v>
      </c>
      <c r="L224" s="182">
        <f t="shared" ref="L224" si="144">L225</f>
        <v>0</v>
      </c>
      <c r="M224" s="182" t="e" cm="1">
        <f t="array" ref="M224">SUM(_xlfn._xlws.FILTER([6]!Draft_SPBY[Jumlah],[6]!Draft_SPBY[MAK4]=A224,0))</f>
        <v>#REF!</v>
      </c>
      <c r="N224" s="182" t="e">
        <f>L224-M224</f>
        <v>#REF!</v>
      </c>
      <c r="O224" s="252"/>
      <c r="P224" s="252"/>
      <c r="Q224" s="144"/>
    </row>
    <row r="225" spans="1:17" ht="13.2" hidden="1" x14ac:dyDescent="0.25">
      <c r="A225" s="163" t="s">
        <v>222</v>
      </c>
      <c r="B225" s="192" t="s">
        <v>223</v>
      </c>
      <c r="C225" s="193" t="s">
        <v>662</v>
      </c>
      <c r="D225" s="194"/>
      <c r="E225" s="194"/>
      <c r="F225" s="195"/>
      <c r="G225" s="195">
        <f>SUM(G226,G231)</f>
        <v>50000000</v>
      </c>
      <c r="H225" s="195" t="b">
        <f>G225='[5]Pvt SP2D Pusdik'!B226</f>
        <v>1</v>
      </c>
      <c r="I225" s="195">
        <f>'[5]Pvt SP2D Pusdik'!C226</f>
        <v>0</v>
      </c>
      <c r="J225" s="195">
        <f>SUM(J226,J231)</f>
        <v>50000000</v>
      </c>
      <c r="K225" s="195">
        <f>SUM(K226,K231)</f>
        <v>0</v>
      </c>
      <c r="L225" s="195"/>
      <c r="M225" s="195"/>
      <c r="N225" s="195"/>
      <c r="O225" s="252" t="s">
        <v>505</v>
      </c>
      <c r="P225" s="252" t="s">
        <v>507</v>
      </c>
      <c r="Q225" s="144"/>
    </row>
    <row r="226" spans="1:17" ht="13.2" hidden="1" x14ac:dyDescent="0.25">
      <c r="A226" s="163" t="s">
        <v>224</v>
      </c>
      <c r="B226" s="184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 t="shared" ref="L226" si="145">L227</f>
        <v>0</v>
      </c>
      <c r="M226" s="76" t="e" cm="1">
        <f t="array" ref="M226">SUM(_xlfn._xlws.FILTER([6]!Draft_SPBY[Jumlah],[6]!Draft_SPBY[MAK4]=A226,0))</f>
        <v>#REF!</v>
      </c>
      <c r="N226" s="76" t="e">
        <f>L226-M226</f>
        <v>#REF!</v>
      </c>
      <c r="O226" s="252"/>
      <c r="P226" s="252"/>
      <c r="Q226" s="144"/>
    </row>
    <row r="227" spans="1:17" ht="13.2" hidden="1" x14ac:dyDescent="0.25">
      <c r="A227" s="163" t="s">
        <v>225</v>
      </c>
      <c r="B227" s="178"/>
      <c r="C227" s="179" t="s">
        <v>563</v>
      </c>
      <c r="D227" s="180">
        <v>100</v>
      </c>
      <c r="E227" s="180" t="s">
        <v>26</v>
      </c>
      <c r="F227" s="182">
        <v>75000</v>
      </c>
      <c r="G227" s="182">
        <f>ROUNDDOWN(D227*F227,-3)</f>
        <v>7500000</v>
      </c>
      <c r="H227" s="182" t="b">
        <f>G227='[5]Pvt SP2D Pusdik'!B228</f>
        <v>1</v>
      </c>
      <c r="I227" s="182">
        <f>'[5]Pvt SP2D Pusdik'!C228</f>
        <v>0</v>
      </c>
      <c r="J227" s="182">
        <f t="shared" ref="J227:J230" si="146">G227-I227</f>
        <v>7500000</v>
      </c>
      <c r="K227" s="182"/>
      <c r="L227" s="182"/>
      <c r="M227" s="182"/>
      <c r="N227" s="182"/>
      <c r="O227" s="252"/>
      <c r="P227" s="252"/>
      <c r="Q227" s="144"/>
    </row>
    <row r="228" spans="1:17" ht="13.2" hidden="1" x14ac:dyDescent="0.25">
      <c r="A228" s="163" t="s">
        <v>226</v>
      </c>
      <c r="B228" s="178"/>
      <c r="C228" s="179" t="s">
        <v>564</v>
      </c>
      <c r="D228" s="180">
        <v>2</v>
      </c>
      <c r="E228" s="180" t="s">
        <v>120</v>
      </c>
      <c r="F228" s="182">
        <v>1500000</v>
      </c>
      <c r="G228" s="182">
        <f>ROUNDDOWN(D228*F228,-3)</f>
        <v>3000000</v>
      </c>
      <c r="H228" s="182" t="b">
        <f>G228='[5]Pvt SP2D Pusdik'!B229</f>
        <v>1</v>
      </c>
      <c r="I228" s="182">
        <f>'[5]Pvt SP2D Pusdik'!C229</f>
        <v>0</v>
      </c>
      <c r="J228" s="182">
        <f t="shared" si="146"/>
        <v>3000000</v>
      </c>
      <c r="K228" s="182"/>
      <c r="L228" s="182">
        <f t="shared" ref="L228" si="147">L229</f>
        <v>0</v>
      </c>
      <c r="M228" s="182" t="e" cm="1">
        <f t="array" ref="M228">SUM(_xlfn._xlws.FILTER([6]!Draft_SPBY[Jumlah],[6]!Draft_SPBY[MAK4]=A228,0))</f>
        <v>#REF!</v>
      </c>
      <c r="N228" s="182" t="e">
        <f>L228-M228</f>
        <v>#REF!</v>
      </c>
      <c r="O228" s="252"/>
      <c r="P228" s="252"/>
      <c r="Q228" s="144"/>
    </row>
    <row r="229" spans="1:17" ht="13.2" hidden="1" x14ac:dyDescent="0.25">
      <c r="A229" s="163" t="s">
        <v>227</v>
      </c>
      <c r="B229" s="178"/>
      <c r="C229" s="179" t="s">
        <v>565</v>
      </c>
      <c r="D229" s="180">
        <v>2</v>
      </c>
      <c r="E229" s="180" t="s">
        <v>120</v>
      </c>
      <c r="F229" s="182">
        <v>1500000</v>
      </c>
      <c r="G229" s="182">
        <f>ROUNDDOWN(D229*F229,-3)</f>
        <v>3000000</v>
      </c>
      <c r="H229" s="182" t="b">
        <f>G229='[5]Pvt SP2D Pusdik'!B230</f>
        <v>1</v>
      </c>
      <c r="I229" s="182">
        <f>'[5]Pvt SP2D Pusdik'!C230</f>
        <v>0</v>
      </c>
      <c r="J229" s="182">
        <f t="shared" si="146"/>
        <v>3000000</v>
      </c>
      <c r="K229" s="182"/>
      <c r="L229" s="182"/>
      <c r="M229" s="182"/>
      <c r="N229" s="182"/>
      <c r="O229" s="252"/>
      <c r="P229" s="252"/>
      <c r="Q229" s="144"/>
    </row>
    <row r="230" spans="1:17" ht="13.2" hidden="1" x14ac:dyDescent="0.25">
      <c r="A230" s="163" t="s">
        <v>228</v>
      </c>
      <c r="B230" s="178"/>
      <c r="C230" s="179" t="s">
        <v>566</v>
      </c>
      <c r="D230" s="180">
        <v>2</v>
      </c>
      <c r="E230" s="180" t="s">
        <v>120</v>
      </c>
      <c r="F230" s="182">
        <v>1000000</v>
      </c>
      <c r="G230" s="182">
        <f>ROUNDDOWN(D230*F230,-3)</f>
        <v>2000000</v>
      </c>
      <c r="H230" s="182" t="b">
        <f>G230='[5]Pvt SP2D Pusdik'!B231</f>
        <v>1</v>
      </c>
      <c r="I230" s="182">
        <f>'[5]Pvt SP2D Pusdik'!C231</f>
        <v>0</v>
      </c>
      <c r="J230" s="182">
        <f t="shared" si="146"/>
        <v>2000000</v>
      </c>
      <c r="K230" s="182"/>
      <c r="L230" s="182">
        <f t="shared" ref="L230" si="148">L231</f>
        <v>0</v>
      </c>
      <c r="M230" s="182" t="e" cm="1">
        <f t="array" ref="M230">SUM(_xlfn._xlws.FILTER([6]!Draft_SPBY[Jumlah],[6]!Draft_SPBY[MAK4]=A230,0))</f>
        <v>#REF!</v>
      </c>
      <c r="N230" s="182" t="e">
        <f>L230-M230</f>
        <v>#REF!</v>
      </c>
      <c r="O230" s="252"/>
      <c r="P230" s="252"/>
      <c r="Q230" s="144"/>
    </row>
    <row r="231" spans="1:17" ht="13.2" hidden="1" x14ac:dyDescent="0.25">
      <c r="A231" s="163" t="s">
        <v>229</v>
      </c>
      <c r="B231" s="177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/>
      <c r="M231" s="71"/>
      <c r="N231" s="71"/>
      <c r="O231" s="252"/>
      <c r="P231" s="252"/>
      <c r="Q231" s="144"/>
    </row>
    <row r="232" spans="1:17" ht="13.2" hidden="1" x14ac:dyDescent="0.25">
      <c r="A232" s="163" t="s">
        <v>230</v>
      </c>
      <c r="B232" s="178"/>
      <c r="C232" s="179" t="s">
        <v>663</v>
      </c>
      <c r="D232" s="180">
        <v>6</v>
      </c>
      <c r="E232" s="180" t="s">
        <v>26</v>
      </c>
      <c r="F232" s="182">
        <v>5750000</v>
      </c>
      <c r="G232" s="182">
        <f>ROUNDDOWN(D232*F232,-3)</f>
        <v>34500000</v>
      </c>
      <c r="H232" s="182" t="b">
        <f>G232='[5]Pvt SP2D Pusdik'!B233</f>
        <v>1</v>
      </c>
      <c r="I232" s="182">
        <f>'[5]Pvt SP2D Pusdik'!C233</f>
        <v>0</v>
      </c>
      <c r="J232" s="182">
        <f>G232-I232</f>
        <v>34500000</v>
      </c>
      <c r="K232" s="182"/>
      <c r="L232" s="182">
        <f t="shared" ref="L232" si="149">L233</f>
        <v>0</v>
      </c>
      <c r="M232" s="182" t="e" cm="1">
        <f t="array" ref="M232">SUM(_xlfn._xlws.FILTER([6]!Draft_SPBY[Jumlah],[6]!Draft_SPBY[MAK4]=A232,0))</f>
        <v>#REF!</v>
      </c>
      <c r="N232" s="182" t="e">
        <f>L232-M232</f>
        <v>#REF!</v>
      </c>
      <c r="O232" s="252"/>
      <c r="P232" s="252"/>
      <c r="Q232" s="144"/>
    </row>
    <row r="233" spans="1:17" ht="13.2" hidden="1" x14ac:dyDescent="0.25">
      <c r="A233" s="163" t="s">
        <v>971</v>
      </c>
      <c r="B233" s="192" t="s">
        <v>972</v>
      </c>
      <c r="C233" s="193" t="s">
        <v>973</v>
      </c>
      <c r="D233" s="194"/>
      <c r="E233" s="194"/>
      <c r="F233" s="195"/>
      <c r="G233" s="195">
        <f>SUM(G234,G239,G241)</f>
        <v>72788000</v>
      </c>
      <c r="H233" s="195" t="b">
        <f>G233='[5]Pvt SP2D Pusdik'!B234</f>
        <v>1</v>
      </c>
      <c r="I233" s="195">
        <f>'[5]Pvt SP2D Pusdik'!C234</f>
        <v>0</v>
      </c>
      <c r="J233" s="195">
        <f>SUM(J234,J239,J241)</f>
        <v>72788000</v>
      </c>
      <c r="K233" s="195">
        <f>SUM(K234,K239,K241)</f>
        <v>0</v>
      </c>
      <c r="L233" s="195"/>
      <c r="M233" s="195"/>
      <c r="N233" s="195"/>
      <c r="O233" s="252" t="s">
        <v>503</v>
      </c>
      <c r="P233" s="252" t="s">
        <v>504</v>
      </c>
      <c r="Q233" s="144"/>
    </row>
    <row r="234" spans="1:17" ht="13.2" hidden="1" x14ac:dyDescent="0.25">
      <c r="A234" s="163" t="s">
        <v>974</v>
      </c>
      <c r="B234" s="184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 t="shared" ref="L234" si="150">L235</f>
        <v>0</v>
      </c>
      <c r="M234" s="76" t="e" cm="1">
        <f t="array" ref="M234">SUM(_xlfn._xlws.FILTER([6]!Draft_SPBY[Jumlah],[6]!Draft_SPBY[MAK4]=A234,0))</f>
        <v>#REF!</v>
      </c>
      <c r="N234" s="76" t="e">
        <f>L234-M234</f>
        <v>#REF!</v>
      </c>
      <c r="O234" s="252"/>
      <c r="P234" s="252"/>
      <c r="Q234" s="144"/>
    </row>
    <row r="235" spans="1:17" ht="13.2" hidden="1" x14ac:dyDescent="0.25">
      <c r="A235" s="163" t="s">
        <v>975</v>
      </c>
      <c r="B235" s="178"/>
      <c r="C235" s="179" t="s">
        <v>563</v>
      </c>
      <c r="D235" s="216">
        <v>50</v>
      </c>
      <c r="E235" s="180" t="s">
        <v>26</v>
      </c>
      <c r="F235" s="182">
        <v>75000</v>
      </c>
      <c r="G235" s="182">
        <f>ROUNDDOWN(D235*F235,-3)</f>
        <v>3750000</v>
      </c>
      <c r="H235" s="182" t="b">
        <f>G235='[5]Pvt SP2D Pusdik'!B236</f>
        <v>1</v>
      </c>
      <c r="I235" s="182">
        <f>'[5]Pvt SP2D Pusdik'!C236</f>
        <v>0</v>
      </c>
      <c r="J235" s="182">
        <f t="shared" ref="J235:J238" si="151">G235-I235</f>
        <v>3750000</v>
      </c>
      <c r="K235" s="182"/>
      <c r="L235" s="182"/>
      <c r="M235" s="182"/>
      <c r="N235" s="182"/>
      <c r="O235" s="252"/>
      <c r="P235" s="252"/>
      <c r="Q235" s="144"/>
    </row>
    <row r="236" spans="1:17" ht="13.2" hidden="1" x14ac:dyDescent="0.25">
      <c r="A236" s="163" t="s">
        <v>976</v>
      </c>
      <c r="B236" s="178"/>
      <c r="C236" s="179" t="s">
        <v>977</v>
      </c>
      <c r="D236" s="216">
        <v>1</v>
      </c>
      <c r="E236" s="180" t="s">
        <v>120</v>
      </c>
      <c r="F236" s="182">
        <v>1500000</v>
      </c>
      <c r="G236" s="182">
        <f t="shared" ref="G236:G238" si="152">ROUNDDOWN(D236*F236,-3)</f>
        <v>1500000</v>
      </c>
      <c r="H236" s="182" t="b">
        <f>G236='[5]Pvt SP2D Pusdik'!B237</f>
        <v>1</v>
      </c>
      <c r="I236" s="182">
        <f>'[5]Pvt SP2D Pusdik'!C237</f>
        <v>0</v>
      </c>
      <c r="J236" s="182">
        <f t="shared" si="151"/>
        <v>1500000</v>
      </c>
      <c r="K236" s="182"/>
      <c r="L236" s="182">
        <f t="shared" ref="L236" si="153">L237</f>
        <v>0</v>
      </c>
      <c r="M236" s="182" t="e" cm="1">
        <f t="array" ref="M236">SUM(_xlfn._xlws.FILTER([6]!Draft_SPBY[Jumlah],[6]!Draft_SPBY[MAK4]=A236,0))</f>
        <v>#REF!</v>
      </c>
      <c r="N236" s="182" t="e">
        <f>L236-M236</f>
        <v>#REF!</v>
      </c>
      <c r="O236" s="252"/>
      <c r="P236" s="252"/>
      <c r="Q236" s="144"/>
    </row>
    <row r="237" spans="1:17" ht="13.2" hidden="1" x14ac:dyDescent="0.25">
      <c r="A237" s="163" t="s">
        <v>978</v>
      </c>
      <c r="B237" s="178"/>
      <c r="C237" s="179" t="s">
        <v>565</v>
      </c>
      <c r="D237" s="216">
        <v>1</v>
      </c>
      <c r="E237" s="180" t="s">
        <v>120</v>
      </c>
      <c r="F237" s="182">
        <v>1500000</v>
      </c>
      <c r="G237" s="182">
        <f t="shared" si="152"/>
        <v>1500000</v>
      </c>
      <c r="H237" s="182" t="b">
        <f>G237='[5]Pvt SP2D Pusdik'!B238</f>
        <v>1</v>
      </c>
      <c r="I237" s="182">
        <f>'[5]Pvt SP2D Pusdik'!C238</f>
        <v>0</v>
      </c>
      <c r="J237" s="182">
        <f t="shared" si="151"/>
        <v>1500000</v>
      </c>
      <c r="K237" s="182"/>
      <c r="L237" s="182"/>
      <c r="M237" s="182"/>
      <c r="N237" s="182"/>
      <c r="O237" s="252"/>
      <c r="P237" s="252"/>
      <c r="Q237" s="144"/>
    </row>
    <row r="238" spans="1:17" ht="13.2" hidden="1" x14ac:dyDescent="0.25">
      <c r="A238" s="163" t="s">
        <v>979</v>
      </c>
      <c r="B238" s="178"/>
      <c r="C238" s="179" t="s">
        <v>566</v>
      </c>
      <c r="D238" s="216">
        <v>1</v>
      </c>
      <c r="E238" s="180" t="s">
        <v>120</v>
      </c>
      <c r="F238" s="182">
        <v>1000000</v>
      </c>
      <c r="G238" s="182">
        <f t="shared" si="152"/>
        <v>1000000</v>
      </c>
      <c r="H238" s="182" t="b">
        <f>G238='[5]Pvt SP2D Pusdik'!B239</f>
        <v>1</v>
      </c>
      <c r="I238" s="182">
        <f>'[5]Pvt SP2D Pusdik'!C239</f>
        <v>0</v>
      </c>
      <c r="J238" s="182">
        <f t="shared" si="151"/>
        <v>1000000</v>
      </c>
      <c r="K238" s="182"/>
      <c r="L238" s="182">
        <f t="shared" ref="L238" si="154">L239</f>
        <v>0</v>
      </c>
      <c r="M238" s="182" t="e" cm="1">
        <f t="array" ref="M238">SUM(_xlfn._xlws.FILTER([6]!Draft_SPBY[Jumlah],[6]!Draft_SPBY[MAK4]=A238,0))</f>
        <v>#REF!</v>
      </c>
      <c r="N238" s="182" t="e">
        <f>L238-M238</f>
        <v>#REF!</v>
      </c>
      <c r="O238" s="252"/>
      <c r="P238" s="252"/>
      <c r="Q238" s="144"/>
    </row>
    <row r="239" spans="1:17" ht="13.2" hidden="1" x14ac:dyDescent="0.25">
      <c r="A239" s="163" t="s">
        <v>980</v>
      </c>
      <c r="B239" s="177">
        <v>524111</v>
      </c>
      <c r="C239" s="70" t="s">
        <v>35</v>
      </c>
      <c r="D239" s="180"/>
      <c r="E239" s="180"/>
      <c r="F239" s="182"/>
      <c r="G239" s="71">
        <f>G240</f>
        <v>5000000</v>
      </c>
      <c r="H239" s="71" t="b">
        <f>G239='[5]Pvt SP2D Pusdik'!B240</f>
        <v>1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/>
      <c r="M239" s="71"/>
      <c r="N239" s="71"/>
      <c r="O239" s="252"/>
      <c r="P239" s="252"/>
      <c r="Q239" s="144"/>
    </row>
    <row r="240" spans="1:17" ht="13.2" hidden="1" x14ac:dyDescent="0.25">
      <c r="A240" s="163" t="s">
        <v>981</v>
      </c>
      <c r="B240" s="178"/>
      <c r="C240" s="179" t="s">
        <v>982</v>
      </c>
      <c r="D240" s="216">
        <v>10</v>
      </c>
      <c r="E240" s="180" t="s">
        <v>26</v>
      </c>
      <c r="F240" s="182">
        <v>500000</v>
      </c>
      <c r="G240" s="182">
        <f>ROUNDDOWN(D240*F240,-3)</f>
        <v>5000000</v>
      </c>
      <c r="H240" s="182" t="b">
        <f>G240='[5]Pvt SP2D Pusdik'!B241</f>
        <v>1</v>
      </c>
      <c r="I240" s="182">
        <f>'[5]Pvt SP2D Pusdik'!C241</f>
        <v>0</v>
      </c>
      <c r="J240" s="182">
        <f>G240-I240</f>
        <v>5000000</v>
      </c>
      <c r="K240" s="182"/>
      <c r="L240" s="182">
        <f t="shared" ref="L240" si="155">L241</f>
        <v>0</v>
      </c>
      <c r="M240" s="182" t="e" cm="1">
        <f t="array" ref="M240">SUM(_xlfn._xlws.FILTER([6]!Draft_SPBY[Jumlah],[6]!Draft_SPBY[MAK4]=A240,0))</f>
        <v>#REF!</v>
      </c>
      <c r="N240" s="182" t="e">
        <f>L240-M240</f>
        <v>#REF!</v>
      </c>
      <c r="O240" s="252"/>
      <c r="P240" s="252"/>
      <c r="Q240" s="144"/>
    </row>
    <row r="241" spans="1:17" ht="13.2" hidden="1" x14ac:dyDescent="0.25">
      <c r="A241" s="163" t="s">
        <v>983</v>
      </c>
      <c r="B241" s="184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/>
      <c r="M241" s="76"/>
      <c r="N241" s="76"/>
      <c r="O241" s="252"/>
      <c r="P241" s="252"/>
      <c r="Q241" s="144"/>
    </row>
    <row r="242" spans="1:17" ht="13.2" hidden="1" x14ac:dyDescent="0.25">
      <c r="A242" s="163" t="s">
        <v>984</v>
      </c>
      <c r="B242" s="178"/>
      <c r="C242" s="179" t="s">
        <v>985</v>
      </c>
      <c r="D242" s="216">
        <v>54</v>
      </c>
      <c r="E242" s="180" t="s">
        <v>477</v>
      </c>
      <c r="F242" s="182">
        <v>822000</v>
      </c>
      <c r="G242" s="182">
        <f>ROUNDDOWN(D242*F242,-3)</f>
        <v>44388000</v>
      </c>
      <c r="H242" s="182" t="b">
        <f>G242='[5]Pvt SP2D Pusdik'!B243</f>
        <v>1</v>
      </c>
      <c r="I242" s="182">
        <f>'[5]Pvt SP2D Pusdik'!C243</f>
        <v>0</v>
      </c>
      <c r="J242" s="182">
        <f t="shared" ref="J242:J244" si="156">G242-I242</f>
        <v>44388000</v>
      </c>
      <c r="K242" s="182"/>
      <c r="L242" s="182">
        <f t="shared" ref="L242" si="157">L243</f>
        <v>0</v>
      </c>
      <c r="M242" s="182" t="e" cm="1">
        <f t="array" ref="M242">SUM(_xlfn._xlws.FILTER([6]!Draft_SPBY[Jumlah],[6]!Draft_SPBY[MAK4]=A242,0))</f>
        <v>#REF!</v>
      </c>
      <c r="N242" s="182" t="e">
        <f>L242-M242</f>
        <v>#REF!</v>
      </c>
      <c r="O242" s="252"/>
      <c r="P242" s="252"/>
      <c r="Q242" s="144"/>
    </row>
    <row r="243" spans="1:17" ht="13.2" hidden="1" x14ac:dyDescent="0.25">
      <c r="A243" s="163" t="s">
        <v>986</v>
      </c>
      <c r="B243" s="178"/>
      <c r="C243" s="179" t="s">
        <v>987</v>
      </c>
      <c r="D243" s="216">
        <v>81</v>
      </c>
      <c r="E243" s="180" t="s">
        <v>477</v>
      </c>
      <c r="F243" s="182">
        <v>150000</v>
      </c>
      <c r="G243" s="182">
        <f>ROUNDDOWN(D243*F243,-3)</f>
        <v>12150000</v>
      </c>
      <c r="H243" s="182" t="b">
        <f>G243='[5]Pvt SP2D Pusdik'!B244</f>
        <v>1</v>
      </c>
      <c r="I243" s="182">
        <f>'[5]Pvt SP2D Pusdik'!C244</f>
        <v>0</v>
      </c>
      <c r="J243" s="182">
        <f t="shared" si="156"/>
        <v>12150000</v>
      </c>
      <c r="K243" s="182"/>
      <c r="L243" s="182"/>
      <c r="M243" s="182"/>
      <c r="N243" s="182"/>
      <c r="O243" s="252"/>
      <c r="P243" s="252"/>
      <c r="Q243" s="144"/>
    </row>
    <row r="244" spans="1:17" ht="13.2" hidden="1" x14ac:dyDescent="0.25">
      <c r="A244" s="163" t="s">
        <v>988</v>
      </c>
      <c r="B244" s="178"/>
      <c r="C244" s="179" t="s">
        <v>989</v>
      </c>
      <c r="D244" s="216">
        <v>10</v>
      </c>
      <c r="E244" s="180" t="s">
        <v>477</v>
      </c>
      <c r="F244" s="182">
        <v>350000</v>
      </c>
      <c r="G244" s="182">
        <f>ROUNDDOWN(D244*F244,-3)</f>
        <v>3500000</v>
      </c>
      <c r="H244" s="182" t="b">
        <f>G244='[5]Pvt SP2D Pusdik'!B245</f>
        <v>1</v>
      </c>
      <c r="I244" s="182">
        <f>'[5]Pvt SP2D Pusdik'!C245</f>
        <v>0</v>
      </c>
      <c r="J244" s="182">
        <f t="shared" si="156"/>
        <v>3500000</v>
      </c>
      <c r="K244" s="182"/>
      <c r="L244" s="182">
        <f t="shared" ref="L244" si="158">L245</f>
        <v>0</v>
      </c>
      <c r="M244" s="182" t="e" cm="1">
        <f t="array" ref="M244">SUM(_xlfn._xlws.FILTER([6]!Draft_SPBY[Jumlah],[6]!Draft_SPBY[MAK4]=A244,0))</f>
        <v>#REF!</v>
      </c>
      <c r="N244" s="182" t="e">
        <f>L244-M244</f>
        <v>#REF!</v>
      </c>
      <c r="O244" s="252"/>
      <c r="P244" s="252"/>
      <c r="Q244" s="144"/>
    </row>
    <row r="245" spans="1:17" ht="13.2" hidden="1" x14ac:dyDescent="0.25">
      <c r="A245" s="163" t="s">
        <v>231</v>
      </c>
      <c r="B245" s="227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4011736849</v>
      </c>
      <c r="J245" s="109">
        <f>SUM(J246,J272)</f>
        <v>5219941151</v>
      </c>
      <c r="K245" s="109">
        <f>SUM(K246,K272)</f>
        <v>0</v>
      </c>
      <c r="L245" s="109"/>
      <c r="M245" s="109"/>
      <c r="N245" s="109"/>
      <c r="O245" s="252"/>
      <c r="P245" s="252"/>
      <c r="Q245" s="144"/>
    </row>
    <row r="246" spans="1:17" ht="14.4" hidden="1" x14ac:dyDescent="0.3">
      <c r="A246" t="s">
        <v>544</v>
      </c>
      <c r="B246" s="218" t="s">
        <v>545</v>
      </c>
      <c r="C246" s="228" t="s">
        <v>546</v>
      </c>
      <c r="D246" s="229"/>
      <c r="E246" s="229" t="s">
        <v>562</v>
      </c>
      <c r="F246" s="230"/>
      <c r="G246" s="230">
        <f>G247</f>
        <v>7036020000</v>
      </c>
      <c r="H246" s="230" t="b">
        <f>G246='[5]Pvt SP2D Pusdik'!B247</f>
        <v>1</v>
      </c>
      <c r="I246" s="230">
        <f>'[5]Pvt SP2D Pusdik'!C247</f>
        <v>3242171983</v>
      </c>
      <c r="J246" s="230">
        <f>J247</f>
        <v>3793848017</v>
      </c>
      <c r="K246" s="230">
        <f>K247</f>
        <v>0</v>
      </c>
      <c r="L246" s="230">
        <f t="shared" ref="L246" si="159">L247</f>
        <v>0</v>
      </c>
      <c r="M246" s="230" t="e" cm="1">
        <f t="array" ref="M246">SUM(_xlfn._xlws.FILTER([6]!Draft_SPBY[Jumlah],[6]!Draft_SPBY[MAK4]=A246,0))</f>
        <v>#REF!</v>
      </c>
      <c r="N246" s="230" t="e">
        <f>L246-M246</f>
        <v>#REF!</v>
      </c>
      <c r="O246" s="252"/>
      <c r="P246" s="252"/>
      <c r="Q246" s="144"/>
    </row>
    <row r="247" spans="1:17" ht="13.2" hidden="1" x14ac:dyDescent="0.25">
      <c r="A247" s="163" t="s">
        <v>664</v>
      </c>
      <c r="B247" s="192" t="s">
        <v>665</v>
      </c>
      <c r="C247" s="193" t="s">
        <v>547</v>
      </c>
      <c r="D247" s="194"/>
      <c r="E247" s="194"/>
      <c r="F247" s="195"/>
      <c r="G247" s="195">
        <f>SUM(G248,G250,G252,G254,G256,G258,G260,G262,G264,G266,G268,G270)</f>
        <v>7036020000</v>
      </c>
      <c r="H247" s="195" t="b">
        <f>G247='[5]Pvt SP2D Pusdik'!B248</f>
        <v>1</v>
      </c>
      <c r="I247" s="195">
        <f>'[5]Pvt SP2D Pusdik'!C248</f>
        <v>3242171983</v>
      </c>
      <c r="J247" s="195">
        <f>SUM(J248,J250,J252,J254,J256,J258,J260,J262,J264,J266,J268,J270)</f>
        <v>3793848017</v>
      </c>
      <c r="K247" s="195">
        <f>SUM(K248,K250,K252,K254,K256,K258,K260,K262,K264,K266,K268,K270)</f>
        <v>0</v>
      </c>
      <c r="L247" s="195"/>
      <c r="M247" s="195"/>
      <c r="N247" s="195"/>
      <c r="O247" s="252" t="s">
        <v>503</v>
      </c>
      <c r="P247" s="252" t="s">
        <v>508</v>
      </c>
      <c r="Q247" s="144"/>
    </row>
    <row r="248" spans="1:17" ht="13.2" hidden="1" x14ac:dyDescent="0.25">
      <c r="A248" s="163" t="s">
        <v>666</v>
      </c>
      <c r="B248" s="190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1316693500</v>
      </c>
      <c r="J248" s="79">
        <f>J249</f>
        <v>1073578500</v>
      </c>
      <c r="K248" s="79">
        <f>K249</f>
        <v>0</v>
      </c>
      <c r="L248" s="79">
        <f>SUM(L249,L273,L279,L292)</f>
        <v>0</v>
      </c>
      <c r="M248" s="79" t="e">
        <f>SUM(M249,M273,M279,M292)</f>
        <v>#REF!</v>
      </c>
      <c r="N248" s="79" t="e">
        <f>SUM(N249,N273,N279,N292)</f>
        <v>#REF!</v>
      </c>
      <c r="O248" s="252"/>
      <c r="P248" s="252"/>
      <c r="Q248" s="144"/>
    </row>
    <row r="249" spans="1:17" ht="13.2" hidden="1" x14ac:dyDescent="0.25">
      <c r="A249" s="163" t="s">
        <v>668</v>
      </c>
      <c r="B249" s="178"/>
      <c r="C249" s="179" t="s">
        <v>669</v>
      </c>
      <c r="D249" s="180">
        <v>14</v>
      </c>
      <c r="E249" s="180" t="s">
        <v>670</v>
      </c>
      <c r="F249" s="182">
        <v>170733715</v>
      </c>
      <c r="G249" s="182">
        <f>ROUNDDOWN(D249*F249,-3)</f>
        <v>2390272000</v>
      </c>
      <c r="H249" s="182" t="b">
        <f>G249='[5]Pvt SP2D Pusdik'!B250</f>
        <v>1</v>
      </c>
      <c r="I249" s="182">
        <f>'[5]Pvt SP2D Pusdik'!C250</f>
        <v>1316693500</v>
      </c>
      <c r="J249" s="182">
        <f>G249-I249</f>
        <v>1073578500</v>
      </c>
      <c r="K249" s="182"/>
      <c r="L249" s="182">
        <f>SUM(L250,L261,L263)</f>
        <v>0</v>
      </c>
      <c r="M249" s="182" t="e">
        <f>SUM(M250,M261,M263)</f>
        <v>#REF!</v>
      </c>
      <c r="N249" s="182" t="e">
        <f>SUM(N250,N261,N263)</f>
        <v>#REF!</v>
      </c>
      <c r="O249" s="252"/>
      <c r="P249" s="252"/>
      <c r="Q249" s="144"/>
    </row>
    <row r="250" spans="1:17" ht="13.2" hidden="1" x14ac:dyDescent="0.25">
      <c r="A250" s="163" t="s">
        <v>671</v>
      </c>
      <c r="B250" s="184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20865</v>
      </c>
      <c r="J250" s="76">
        <f>J251</f>
        <v>88135</v>
      </c>
      <c r="K250" s="76">
        <f>K251</f>
        <v>0</v>
      </c>
      <c r="L250" s="76">
        <f>SUM(L251:L260)</f>
        <v>0</v>
      </c>
      <c r="M250" s="76" t="e" cm="1">
        <f t="array" ref="M250">SUM(_xlfn._xlws.FILTER([6]!Draft_SPBY[Jumlah],[6]!Draft_SPBY[MAK4]=A250,0))</f>
        <v>#REF!</v>
      </c>
      <c r="N250" s="76" t="e">
        <f>L250-M250</f>
        <v>#REF!</v>
      </c>
      <c r="O250" s="252"/>
      <c r="P250" s="252"/>
      <c r="Q250" s="144"/>
    </row>
    <row r="251" spans="1:17" ht="13.2" hidden="1" x14ac:dyDescent="0.25">
      <c r="A251" s="163" t="s">
        <v>673</v>
      </c>
      <c r="B251" s="178"/>
      <c r="C251" s="179" t="s">
        <v>674</v>
      </c>
      <c r="D251" s="180">
        <v>14</v>
      </c>
      <c r="E251" s="180" t="s">
        <v>670</v>
      </c>
      <c r="F251" s="182">
        <v>7786</v>
      </c>
      <c r="G251" s="182">
        <f>ROUNDDOWN(D251*F251,-3)</f>
        <v>109000</v>
      </c>
      <c r="H251" s="182" t="b">
        <f>G251='[5]Pvt SP2D Pusdik'!B252</f>
        <v>1</v>
      </c>
      <c r="I251" s="182">
        <f>'[5]Pvt SP2D Pusdik'!C252</f>
        <v>20865</v>
      </c>
      <c r="J251" s="182">
        <f>G251-I251</f>
        <v>88135</v>
      </c>
      <c r="K251" s="182"/>
      <c r="L251" s="182"/>
      <c r="M251" s="182"/>
      <c r="N251" s="182"/>
      <c r="O251" s="252"/>
      <c r="P251" s="252"/>
      <c r="Q251" s="144"/>
    </row>
    <row r="252" spans="1:17" ht="13.2" hidden="1" x14ac:dyDescent="0.25">
      <c r="A252" s="163" t="s">
        <v>675</v>
      </c>
      <c r="B252" s="184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86453990</v>
      </c>
      <c r="J252" s="76">
        <f>J253</f>
        <v>76714010</v>
      </c>
      <c r="K252" s="76">
        <f>K253</f>
        <v>0</v>
      </c>
      <c r="L252" s="76"/>
      <c r="M252" s="76"/>
      <c r="N252" s="76"/>
      <c r="O252" s="252"/>
      <c r="P252" s="252"/>
      <c r="Q252" s="144"/>
    </row>
    <row r="253" spans="1:17" ht="13.2" hidden="1" x14ac:dyDescent="0.25">
      <c r="A253" s="163" t="s">
        <v>677</v>
      </c>
      <c r="B253" s="178"/>
      <c r="C253" s="179" t="s">
        <v>678</v>
      </c>
      <c r="D253" s="180">
        <v>14</v>
      </c>
      <c r="E253" s="180" t="s">
        <v>670</v>
      </c>
      <c r="F253" s="182">
        <v>11654858</v>
      </c>
      <c r="G253" s="182">
        <f>ROUNDDOWN(D253*F253,-3)</f>
        <v>163168000</v>
      </c>
      <c r="H253" s="182" t="b">
        <f>G253='[5]Pvt SP2D Pusdik'!B254</f>
        <v>1</v>
      </c>
      <c r="I253" s="182">
        <f>'[5]Pvt SP2D Pusdik'!C254</f>
        <v>86453990</v>
      </c>
      <c r="J253" s="182">
        <f>G253-I253</f>
        <v>76714010</v>
      </c>
      <c r="K253" s="182"/>
      <c r="L253" s="182"/>
      <c r="M253" s="182"/>
      <c r="N253" s="182"/>
      <c r="O253" s="252"/>
      <c r="P253" s="252"/>
      <c r="Q253" s="144"/>
    </row>
    <row r="254" spans="1:17" ht="13.2" hidden="1" x14ac:dyDescent="0.25">
      <c r="A254" s="163" t="s">
        <v>679</v>
      </c>
      <c r="B254" s="184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26499496</v>
      </c>
      <c r="J254" s="76">
        <f>J255</f>
        <v>30944504</v>
      </c>
      <c r="K254" s="76">
        <f>K255</f>
        <v>0</v>
      </c>
      <c r="L254" s="76"/>
      <c r="M254" s="76"/>
      <c r="N254" s="76"/>
      <c r="O254" s="252"/>
      <c r="P254" s="252"/>
      <c r="Q254" s="144"/>
    </row>
    <row r="255" spans="1:17" ht="13.2" hidden="1" x14ac:dyDescent="0.25">
      <c r="A255" s="163" t="s">
        <v>681</v>
      </c>
      <c r="B255" s="178"/>
      <c r="C255" s="179" t="s">
        <v>682</v>
      </c>
      <c r="D255" s="180">
        <v>14</v>
      </c>
      <c r="E255" s="180" t="s">
        <v>670</v>
      </c>
      <c r="F255" s="182">
        <v>4103143</v>
      </c>
      <c r="G255" s="182">
        <f>ROUNDDOWN(D255*F255,-3)</f>
        <v>57444000</v>
      </c>
      <c r="H255" s="182" t="b">
        <f>G255='[5]Pvt SP2D Pusdik'!B256</f>
        <v>1</v>
      </c>
      <c r="I255" s="182">
        <f>'[5]Pvt SP2D Pusdik'!C256</f>
        <v>26499496</v>
      </c>
      <c r="J255" s="182">
        <f>G255-I255</f>
        <v>30944504</v>
      </c>
      <c r="K255" s="182"/>
      <c r="L255" s="182"/>
      <c r="M255" s="182"/>
      <c r="N255" s="182"/>
      <c r="O255" s="252"/>
      <c r="P255" s="252"/>
      <c r="Q255" s="144"/>
    </row>
    <row r="256" spans="1:17" ht="13.2" hidden="1" x14ac:dyDescent="0.25">
      <c r="A256" s="163" t="s">
        <v>683</v>
      </c>
      <c r="B256" s="184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46160000</v>
      </c>
      <c r="J256" s="76">
        <f>J257</f>
        <v>90060000</v>
      </c>
      <c r="K256" s="76">
        <f>K257</f>
        <v>0</v>
      </c>
      <c r="L256" s="76"/>
      <c r="M256" s="76"/>
      <c r="N256" s="76"/>
      <c r="O256" s="252"/>
      <c r="P256" s="252"/>
      <c r="Q256" s="144"/>
    </row>
    <row r="257" spans="1:17" ht="13.2" hidden="1" x14ac:dyDescent="0.25">
      <c r="A257" s="163" t="s">
        <v>685</v>
      </c>
      <c r="B257" s="178"/>
      <c r="C257" s="179" t="s">
        <v>686</v>
      </c>
      <c r="D257" s="180">
        <v>14</v>
      </c>
      <c r="E257" s="180" t="s">
        <v>670</v>
      </c>
      <c r="F257" s="182">
        <v>9730000</v>
      </c>
      <c r="G257" s="182">
        <f>ROUNDDOWN(D257*F257,-3)</f>
        <v>136220000</v>
      </c>
      <c r="H257" s="182" t="b">
        <f>G257='[5]Pvt SP2D Pusdik'!B258</f>
        <v>1</v>
      </c>
      <c r="I257" s="182">
        <f>'[5]Pvt SP2D Pusdik'!C258</f>
        <v>46160000</v>
      </c>
      <c r="J257" s="182">
        <f>G257-I257</f>
        <v>90060000</v>
      </c>
      <c r="K257" s="182"/>
      <c r="L257" s="182"/>
      <c r="M257" s="182"/>
      <c r="N257" s="182"/>
      <c r="O257" s="252"/>
      <c r="P257" s="252"/>
      <c r="Q257" s="144"/>
    </row>
    <row r="258" spans="1:17" ht="13.2" hidden="1" x14ac:dyDescent="0.25">
      <c r="A258" s="163" t="s">
        <v>687</v>
      </c>
      <c r="B258" s="184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165140000</v>
      </c>
      <c r="J258" s="76">
        <f>J259</f>
        <v>33226000</v>
      </c>
      <c r="K258" s="76">
        <f>K259</f>
        <v>0</v>
      </c>
      <c r="L258" s="76"/>
      <c r="M258" s="76"/>
      <c r="N258" s="76"/>
      <c r="O258" s="252"/>
      <c r="P258" s="252"/>
      <c r="Q258" s="144"/>
    </row>
    <row r="259" spans="1:17" ht="13.2" hidden="1" x14ac:dyDescent="0.25">
      <c r="A259" s="163" t="s">
        <v>689</v>
      </c>
      <c r="B259" s="178"/>
      <c r="C259" s="179" t="s">
        <v>690</v>
      </c>
      <c r="D259" s="180">
        <v>14</v>
      </c>
      <c r="E259" s="180" t="s">
        <v>670</v>
      </c>
      <c r="F259" s="182">
        <v>14169000</v>
      </c>
      <c r="G259" s="182">
        <f>ROUNDDOWN(D259*F259,-3)</f>
        <v>198366000</v>
      </c>
      <c r="H259" s="182" t="b">
        <f>G259='[5]Pvt SP2D Pusdik'!B260</f>
        <v>1</v>
      </c>
      <c r="I259" s="182">
        <f>'[5]Pvt SP2D Pusdik'!C260</f>
        <v>165140000</v>
      </c>
      <c r="J259" s="182">
        <f>G259-I259</f>
        <v>33226000</v>
      </c>
      <c r="K259" s="182"/>
      <c r="L259" s="182"/>
      <c r="M259" s="182"/>
      <c r="N259" s="182"/>
      <c r="O259" s="252"/>
      <c r="P259" s="252"/>
      <c r="Q259" s="144"/>
    </row>
    <row r="260" spans="1:17" ht="13.2" hidden="1" x14ac:dyDescent="0.25">
      <c r="A260" s="163" t="s">
        <v>691</v>
      </c>
      <c r="B260" s="184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7850621</v>
      </c>
      <c r="J260" s="76">
        <f>J261</f>
        <v>5495379</v>
      </c>
      <c r="K260" s="76">
        <f>K261</f>
        <v>0</v>
      </c>
      <c r="L260" s="76"/>
      <c r="M260" s="76"/>
      <c r="N260" s="76"/>
      <c r="O260" s="252"/>
      <c r="P260" s="252"/>
      <c r="Q260" s="144"/>
    </row>
    <row r="261" spans="1:17" ht="13.2" hidden="1" x14ac:dyDescent="0.25">
      <c r="A261" s="163" t="s">
        <v>693</v>
      </c>
      <c r="B261" s="178"/>
      <c r="C261" s="179" t="s">
        <v>694</v>
      </c>
      <c r="D261" s="180">
        <v>14</v>
      </c>
      <c r="E261" s="180" t="s">
        <v>670</v>
      </c>
      <c r="F261" s="182">
        <v>953357</v>
      </c>
      <c r="G261" s="182">
        <f>ROUNDDOWN(D261*F261,-3)</f>
        <v>13346000</v>
      </c>
      <c r="H261" s="182" t="b">
        <f>G261='[5]Pvt SP2D Pusdik'!B262</f>
        <v>1</v>
      </c>
      <c r="I261" s="182">
        <f>'[5]Pvt SP2D Pusdik'!C262</f>
        <v>7850621</v>
      </c>
      <c r="J261" s="182">
        <f>G261-I261</f>
        <v>5495379</v>
      </c>
      <c r="K261" s="182"/>
      <c r="L261" s="182">
        <f t="shared" ref="L261" si="160">L262</f>
        <v>0</v>
      </c>
      <c r="M261" s="182" t="e" cm="1">
        <f t="array" ref="M261">SUM(_xlfn._xlws.FILTER([6]!Draft_SPBY[Jumlah],[6]!Draft_SPBY[MAK4]=A261,0))</f>
        <v>#REF!</v>
      </c>
      <c r="N261" s="182" t="e">
        <f>L261-M261</f>
        <v>#REF!</v>
      </c>
      <c r="O261" s="252"/>
      <c r="P261" s="252"/>
      <c r="Q261" s="144"/>
    </row>
    <row r="262" spans="1:17" ht="13.2" hidden="1" x14ac:dyDescent="0.25">
      <c r="A262" s="163" t="s">
        <v>695</v>
      </c>
      <c r="B262" s="177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69668040</v>
      </c>
      <c r="J262" s="71">
        <f>J263</f>
        <v>43967960</v>
      </c>
      <c r="K262" s="71">
        <f>K263</f>
        <v>0</v>
      </c>
      <c r="L262" s="71"/>
      <c r="M262" s="71"/>
      <c r="N262" s="71"/>
      <c r="O262" s="252"/>
      <c r="P262" s="252"/>
      <c r="Q262" s="144"/>
    </row>
    <row r="263" spans="1:17" ht="13.2" hidden="1" x14ac:dyDescent="0.25">
      <c r="A263" s="163" t="s">
        <v>697</v>
      </c>
      <c r="B263" s="178"/>
      <c r="C263" s="179" t="s">
        <v>698</v>
      </c>
      <c r="D263" s="180">
        <v>1</v>
      </c>
      <c r="E263" s="180" t="s">
        <v>386</v>
      </c>
      <c r="F263" s="182">
        <v>113636000</v>
      </c>
      <c r="G263" s="182">
        <f>ROUNDDOWN(D263*F263,-3)</f>
        <v>113636000</v>
      </c>
      <c r="H263" s="182" t="b">
        <f>G263='[5]Pvt SP2D Pusdik'!B264</f>
        <v>1</v>
      </c>
      <c r="I263" s="182">
        <f>'[5]Pvt SP2D Pusdik'!C264</f>
        <v>69668040</v>
      </c>
      <c r="J263" s="182">
        <f>G263-I263</f>
        <v>43967960</v>
      </c>
      <c r="K263" s="182"/>
      <c r="L263" s="182">
        <f t="shared" ref="L263" si="161">SUM(L264:L272)</f>
        <v>0</v>
      </c>
      <c r="M263" s="182" t="e" cm="1">
        <f t="array" ref="M263">SUM(_xlfn._xlws.FILTER([6]!Draft_SPBY[Jumlah],[6]!Draft_SPBY[MAK4]=A263,0))</f>
        <v>#REF!</v>
      </c>
      <c r="N263" s="182" t="e">
        <f>L263-M263</f>
        <v>#REF!</v>
      </c>
      <c r="O263" s="252"/>
      <c r="P263" s="252"/>
      <c r="Q263" s="144"/>
    </row>
    <row r="264" spans="1:17" ht="13.2" hidden="1" x14ac:dyDescent="0.25">
      <c r="A264" s="163" t="s">
        <v>699</v>
      </c>
      <c r="B264" s="184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103486000</v>
      </c>
      <c r="J264" s="76">
        <f>J265</f>
        <v>347734000</v>
      </c>
      <c r="K264" s="76">
        <f>K265</f>
        <v>0</v>
      </c>
      <c r="L264" s="76"/>
      <c r="M264" s="76"/>
      <c r="N264" s="76"/>
      <c r="O264" s="252"/>
      <c r="P264" s="252"/>
      <c r="Q264" s="144"/>
    </row>
    <row r="265" spans="1:17" ht="13.2" hidden="1" x14ac:dyDescent="0.25">
      <c r="A265" s="163" t="s">
        <v>701</v>
      </c>
      <c r="B265" s="178"/>
      <c r="C265" s="179" t="s">
        <v>702</v>
      </c>
      <c r="D265" s="180">
        <v>1</v>
      </c>
      <c r="E265" s="180" t="s">
        <v>386</v>
      </c>
      <c r="F265" s="182">
        <v>451220000</v>
      </c>
      <c r="G265" s="182">
        <f>ROUNDDOWN(D265*F265,-3)</f>
        <v>451220000</v>
      </c>
      <c r="H265" s="182" t="b">
        <f>G265='[5]Pvt SP2D Pusdik'!B266</f>
        <v>1</v>
      </c>
      <c r="I265" s="182">
        <f>'[5]Pvt SP2D Pusdik'!C266</f>
        <v>103486000</v>
      </c>
      <c r="J265" s="182">
        <f>G265-I265</f>
        <v>347734000</v>
      </c>
      <c r="K265" s="182"/>
      <c r="L265" s="182"/>
      <c r="M265" s="182"/>
      <c r="N265" s="182"/>
      <c r="O265" s="252"/>
      <c r="P265" s="252"/>
      <c r="Q265" s="144"/>
    </row>
    <row r="266" spans="1:17" ht="13.2" hidden="1" x14ac:dyDescent="0.25">
      <c r="A266" s="163" t="s">
        <v>703</v>
      </c>
      <c r="B266" s="177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39885000</v>
      </c>
      <c r="J266" s="71">
        <f>J267</f>
        <v>41595000</v>
      </c>
      <c r="K266" s="71">
        <f>K267</f>
        <v>0</v>
      </c>
      <c r="L266" s="71"/>
      <c r="M266" s="71"/>
      <c r="N266" s="71"/>
      <c r="O266" s="252"/>
      <c r="P266" s="252"/>
      <c r="Q266" s="144"/>
    </row>
    <row r="267" spans="1:17" ht="13.2" hidden="1" x14ac:dyDescent="0.25">
      <c r="A267" s="163" t="s">
        <v>705</v>
      </c>
      <c r="B267" s="178"/>
      <c r="C267" s="179" t="s">
        <v>706</v>
      </c>
      <c r="D267" s="180">
        <v>14</v>
      </c>
      <c r="E267" s="180" t="s">
        <v>670</v>
      </c>
      <c r="F267" s="182">
        <v>5820000</v>
      </c>
      <c r="G267" s="182">
        <f>ROUNDDOWN(D267*F267,-3)</f>
        <v>81480000</v>
      </c>
      <c r="H267" s="182" t="b">
        <f>G267='[5]Pvt SP2D Pusdik'!B268</f>
        <v>1</v>
      </c>
      <c r="I267" s="182">
        <f>'[5]Pvt SP2D Pusdik'!C268</f>
        <v>39885000</v>
      </c>
      <c r="J267" s="182">
        <f>G267-I267</f>
        <v>41595000</v>
      </c>
      <c r="K267" s="182"/>
      <c r="L267" s="182"/>
      <c r="M267" s="182"/>
      <c r="N267" s="182"/>
      <c r="O267" s="252"/>
      <c r="P267" s="252"/>
      <c r="Q267" s="144"/>
    </row>
    <row r="268" spans="1:17" ht="13.2" hidden="1" x14ac:dyDescent="0.25">
      <c r="A268" s="163" t="s">
        <v>707</v>
      </c>
      <c r="B268" s="190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/>
      <c r="M268" s="79"/>
      <c r="N268" s="79"/>
      <c r="O268" s="252"/>
      <c r="P268" s="252"/>
      <c r="Q268" s="144"/>
    </row>
    <row r="269" spans="1:17" ht="13.2" hidden="1" x14ac:dyDescent="0.25">
      <c r="A269" s="163" t="s">
        <v>710</v>
      </c>
      <c r="B269" s="178"/>
      <c r="C269" s="179" t="s">
        <v>711</v>
      </c>
      <c r="D269" s="180">
        <v>1</v>
      </c>
      <c r="E269" s="180" t="s">
        <v>386</v>
      </c>
      <c r="F269" s="182">
        <v>173032000</v>
      </c>
      <c r="G269" s="182">
        <f>ROUNDDOWN(D269*F269,-3)</f>
        <v>173032000</v>
      </c>
      <c r="H269" s="182" t="b">
        <f>G269='[5]Pvt SP2D Pusdik'!B270</f>
        <v>1</v>
      </c>
      <c r="I269" s="182">
        <f>'[5]Pvt SP2D Pusdik'!C270</f>
        <v>4415000</v>
      </c>
      <c r="J269" s="182">
        <f>G269-I269</f>
        <v>168617000</v>
      </c>
      <c r="K269" s="182"/>
      <c r="L269" s="182"/>
      <c r="M269" s="182"/>
      <c r="N269" s="182"/>
      <c r="O269" s="252"/>
      <c r="P269" s="252"/>
      <c r="Q269" s="144"/>
    </row>
    <row r="270" spans="1:17" ht="13.2" hidden="1" x14ac:dyDescent="0.25">
      <c r="A270" s="163" t="s">
        <v>712</v>
      </c>
      <c r="B270" s="184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1375899471</v>
      </c>
      <c r="J270" s="76">
        <f>J271</f>
        <v>1881827529</v>
      </c>
      <c r="K270" s="76">
        <f>K271</f>
        <v>0</v>
      </c>
      <c r="L270" s="76"/>
      <c r="M270" s="76"/>
      <c r="N270" s="76"/>
      <c r="O270" s="252"/>
      <c r="P270" s="252"/>
      <c r="Q270" s="144"/>
    </row>
    <row r="271" spans="1:17" ht="13.2" hidden="1" x14ac:dyDescent="0.25">
      <c r="A271" s="163" t="s">
        <v>714</v>
      </c>
      <c r="B271" s="178"/>
      <c r="C271" s="179" t="s">
        <v>715</v>
      </c>
      <c r="D271" s="180">
        <v>14</v>
      </c>
      <c r="E271" s="180" t="s">
        <v>670</v>
      </c>
      <c r="F271" s="182">
        <v>232694790</v>
      </c>
      <c r="G271" s="182">
        <f>ROUNDDOWN(D271*F271,-3)</f>
        <v>3257727000</v>
      </c>
      <c r="H271" s="182" t="b">
        <f>G271='[5]Pvt SP2D Pusdik'!B272</f>
        <v>1</v>
      </c>
      <c r="I271" s="182">
        <f>'[5]Pvt SP2D Pusdik'!C272</f>
        <v>1375899471</v>
      </c>
      <c r="J271" s="182">
        <f>G271-I271</f>
        <v>1881827529</v>
      </c>
      <c r="K271" s="182"/>
      <c r="L271" s="182"/>
      <c r="M271" s="182"/>
      <c r="N271" s="182"/>
      <c r="O271" s="252"/>
      <c r="P271" s="252"/>
      <c r="Q271" s="144"/>
    </row>
    <row r="272" spans="1:17" ht="13.2" hidden="1" x14ac:dyDescent="0.25">
      <c r="A272" s="163" t="s">
        <v>234</v>
      </c>
      <c r="B272" s="191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769564866</v>
      </c>
      <c r="J272" s="82">
        <f>SUM(J273,J296,J302,J315)</f>
        <v>1426093134</v>
      </c>
      <c r="K272" s="82">
        <f>SUM(K273,K296,K302,K315)</f>
        <v>0</v>
      </c>
      <c r="L272" s="82"/>
      <c r="M272" s="82"/>
      <c r="N272" s="82"/>
      <c r="O272" s="252"/>
      <c r="P272" s="252"/>
      <c r="Q272" s="144"/>
    </row>
    <row r="273" spans="1:17" ht="13.2" hidden="1" x14ac:dyDescent="0.25">
      <c r="A273" s="163" t="s">
        <v>237</v>
      </c>
      <c r="B273" s="192" t="s">
        <v>238</v>
      </c>
      <c r="C273" s="193" t="s">
        <v>239</v>
      </c>
      <c r="D273" s="194"/>
      <c r="E273" s="194"/>
      <c r="F273" s="195"/>
      <c r="G273" s="195">
        <f>SUM(G274,G284,G286)</f>
        <v>1528900000</v>
      </c>
      <c r="H273" s="195" t="b">
        <f>G273='[5]Pvt SP2D Pusdik'!B274</f>
        <v>1</v>
      </c>
      <c r="I273" s="195">
        <f>'[5]Pvt SP2D Pusdik'!C274</f>
        <v>549973466</v>
      </c>
      <c r="J273" s="195">
        <f>SUM(J274,J284,J286)</f>
        <v>978926534</v>
      </c>
      <c r="K273" s="195">
        <f>SUM(K274,K284,K286)</f>
        <v>0</v>
      </c>
      <c r="L273" s="195">
        <f t="shared" ref="L273" si="162">SUM(L274,L276)</f>
        <v>0</v>
      </c>
      <c r="M273" s="195" t="e">
        <f t="shared" ref="M273:N273" si="163">SUM(M274,M276)</f>
        <v>#REF!</v>
      </c>
      <c r="N273" s="195" t="e">
        <f t="shared" si="163"/>
        <v>#REF!</v>
      </c>
      <c r="O273" s="252" t="s">
        <v>503</v>
      </c>
      <c r="P273" s="252" t="s">
        <v>504</v>
      </c>
      <c r="Q273" s="144"/>
    </row>
    <row r="274" spans="1:17" ht="13.2" hidden="1" x14ac:dyDescent="0.25">
      <c r="A274" s="163" t="s">
        <v>240</v>
      </c>
      <c r="B274" s="184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474027416</v>
      </c>
      <c r="J274" s="76">
        <f>SUM(J275:J283)</f>
        <v>778012584</v>
      </c>
      <c r="K274" s="76">
        <f>SUM(K275:K283)</f>
        <v>0</v>
      </c>
      <c r="L274" s="76">
        <f t="shared" ref="L274" si="164">L275</f>
        <v>0</v>
      </c>
      <c r="M274" s="76" t="e" cm="1">
        <f t="array" ref="M274">SUM(_xlfn._xlws.FILTER([6]!Draft_SPBY[Jumlah],[6]!Draft_SPBY[MAK4]=A274,0))</f>
        <v>#REF!</v>
      </c>
      <c r="N274" s="76" t="e">
        <f>L274-M274</f>
        <v>#REF!</v>
      </c>
      <c r="O274" s="252"/>
      <c r="P274" s="252"/>
      <c r="Q274" s="144"/>
    </row>
    <row r="275" spans="1:17" ht="13.2" hidden="1" x14ac:dyDescent="0.25">
      <c r="A275" s="163" t="s">
        <v>242</v>
      </c>
      <c r="B275" s="178"/>
      <c r="C275" s="179" t="s">
        <v>717</v>
      </c>
      <c r="D275" s="180">
        <v>60</v>
      </c>
      <c r="E275" s="180" t="s">
        <v>718</v>
      </c>
      <c r="F275" s="182">
        <v>1487500</v>
      </c>
      <c r="G275" s="182">
        <f t="shared" ref="G275:G283" si="165">ROUNDDOWN(D275*F275,-3)</f>
        <v>89250000</v>
      </c>
      <c r="H275" s="182" t="b">
        <f>G275='[5]Pvt SP2D Pusdik'!B276</f>
        <v>1</v>
      </c>
      <c r="I275" s="182">
        <f>'[5]Pvt SP2D Pusdik'!C276</f>
        <v>24721200</v>
      </c>
      <c r="J275" s="182">
        <f t="shared" ref="J275:J283" si="166">G275-I275</f>
        <v>64528800</v>
      </c>
      <c r="K275" s="182"/>
      <c r="L275" s="182"/>
      <c r="M275" s="182"/>
      <c r="N275" s="182"/>
      <c r="O275" s="252"/>
      <c r="P275" s="252"/>
      <c r="Q275" s="144"/>
    </row>
    <row r="276" spans="1:17" ht="13.2" hidden="1" x14ac:dyDescent="0.25">
      <c r="A276" s="163" t="s">
        <v>243</v>
      </c>
      <c r="B276" s="231"/>
      <c r="C276" s="179" t="s">
        <v>719</v>
      </c>
      <c r="D276" s="180">
        <v>1</v>
      </c>
      <c r="E276" s="180" t="s">
        <v>147</v>
      </c>
      <c r="F276" s="182">
        <v>63386000</v>
      </c>
      <c r="G276" s="182">
        <f t="shared" si="165"/>
        <v>63386000</v>
      </c>
      <c r="H276" s="182" t="b">
        <f>G276='[5]Pvt SP2D Pusdik'!B277</f>
        <v>1</v>
      </c>
      <c r="I276" s="182">
        <f>'[5]Pvt SP2D Pusdik'!C277</f>
        <v>10072000</v>
      </c>
      <c r="J276" s="182">
        <f t="shared" si="166"/>
        <v>53314000</v>
      </c>
      <c r="K276" s="182"/>
      <c r="L276" s="182">
        <f t="shared" ref="L276" si="167">SUM(L277:L278)</f>
        <v>0</v>
      </c>
      <c r="M276" s="182" t="e" cm="1">
        <f t="array" ref="M276">SUM(_xlfn._xlws.FILTER([6]!Draft_SPBY[Jumlah],[6]!Draft_SPBY[MAK4]=A276,0))</f>
        <v>#REF!</v>
      </c>
      <c r="N276" s="182" t="e">
        <f>L276-M276</f>
        <v>#REF!</v>
      </c>
      <c r="O276" s="252"/>
      <c r="P276" s="252"/>
      <c r="Q276" s="144"/>
    </row>
    <row r="277" spans="1:17" ht="13.2" hidden="1" x14ac:dyDescent="0.25">
      <c r="A277" s="163" t="s">
        <v>244</v>
      </c>
      <c r="B277" s="178"/>
      <c r="C277" s="179" t="s">
        <v>990</v>
      </c>
      <c r="D277" s="180">
        <v>156</v>
      </c>
      <c r="E277" s="180" t="s">
        <v>184</v>
      </c>
      <c r="F277" s="182">
        <v>5100000</v>
      </c>
      <c r="G277" s="182">
        <f t="shared" si="165"/>
        <v>795600000</v>
      </c>
      <c r="H277" s="182" t="b">
        <f>G277='[5]Pvt SP2D Pusdik'!B278</f>
        <v>1</v>
      </c>
      <c r="I277" s="182">
        <f>'[5]Pvt SP2D Pusdik'!C278</f>
        <v>372304000</v>
      </c>
      <c r="J277" s="182">
        <f t="shared" si="166"/>
        <v>423296000</v>
      </c>
      <c r="K277" s="182"/>
      <c r="L277" s="182"/>
      <c r="M277" s="182"/>
      <c r="N277" s="182"/>
      <c r="O277" s="252"/>
      <c r="P277" s="252"/>
      <c r="Q277" s="144"/>
    </row>
    <row r="278" spans="1:17" ht="13.2" hidden="1" x14ac:dyDescent="0.25">
      <c r="A278" s="163" t="s">
        <v>245</v>
      </c>
      <c r="B278" s="178"/>
      <c r="C278" s="179" t="s">
        <v>991</v>
      </c>
      <c r="D278" s="180">
        <v>13</v>
      </c>
      <c r="E278" s="180" t="s">
        <v>184</v>
      </c>
      <c r="F278" s="182">
        <v>5600000</v>
      </c>
      <c r="G278" s="182">
        <f t="shared" si="165"/>
        <v>72800000</v>
      </c>
      <c r="H278" s="182" t="b">
        <f>G278='[5]Pvt SP2D Pusdik'!B279</f>
        <v>1</v>
      </c>
      <c r="I278" s="182">
        <f>'[5]Pvt SP2D Pusdik'!C279</f>
        <v>33600000</v>
      </c>
      <c r="J278" s="182">
        <f t="shared" si="166"/>
        <v>39200000</v>
      </c>
      <c r="K278" s="182"/>
      <c r="L278" s="182"/>
      <c r="M278" s="182"/>
      <c r="N278" s="182"/>
      <c r="O278" s="252"/>
      <c r="P278" s="252"/>
      <c r="Q278" s="144"/>
    </row>
    <row r="279" spans="1:17" ht="13.2" hidden="1" x14ac:dyDescent="0.25">
      <c r="A279" s="163" t="s">
        <v>246</v>
      </c>
      <c r="B279" s="178"/>
      <c r="C279" s="179" t="s">
        <v>720</v>
      </c>
      <c r="D279" s="180">
        <v>12</v>
      </c>
      <c r="E279" s="180" t="s">
        <v>247</v>
      </c>
      <c r="F279" s="182">
        <v>400000</v>
      </c>
      <c r="G279" s="182">
        <f t="shared" si="165"/>
        <v>4800000</v>
      </c>
      <c r="H279" s="182" t="b">
        <f>G279='[5]Pvt SP2D Pusdik'!B280</f>
        <v>1</v>
      </c>
      <c r="I279" s="182">
        <f>'[5]Pvt SP2D Pusdik'!C280</f>
        <v>1442880</v>
      </c>
      <c r="J279" s="182">
        <f t="shared" si="166"/>
        <v>3357120</v>
      </c>
      <c r="K279" s="182"/>
      <c r="L279" s="182">
        <f t="shared" ref="L279" si="168">SUM(L280,L290)</f>
        <v>0</v>
      </c>
      <c r="M279" s="182" t="e">
        <f t="shared" ref="M279:N279" si="169">SUM(M280,M290)</f>
        <v>#REF!</v>
      </c>
      <c r="N279" s="182" t="e">
        <f t="shared" si="169"/>
        <v>#REF!</v>
      </c>
      <c r="O279" s="252"/>
      <c r="P279" s="252"/>
      <c r="Q279" s="144"/>
    </row>
    <row r="280" spans="1:17" ht="13.2" hidden="1" x14ac:dyDescent="0.25">
      <c r="A280" s="163" t="s">
        <v>248</v>
      </c>
      <c r="B280" s="178"/>
      <c r="C280" s="179" t="s">
        <v>992</v>
      </c>
      <c r="D280" s="180">
        <v>1</v>
      </c>
      <c r="E280" s="180" t="s">
        <v>147</v>
      </c>
      <c r="F280" s="182">
        <v>130000000</v>
      </c>
      <c r="G280" s="182">
        <f t="shared" si="165"/>
        <v>130000000</v>
      </c>
      <c r="H280" s="182" t="b">
        <f>G280='[5]Pvt SP2D Pusdik'!B281</f>
        <v>1</v>
      </c>
      <c r="I280" s="182">
        <f>'[5]Pvt SP2D Pusdik'!C281</f>
        <v>17850000</v>
      </c>
      <c r="J280" s="182">
        <f t="shared" si="166"/>
        <v>112150000</v>
      </c>
      <c r="K280" s="182"/>
      <c r="L280" s="182">
        <f t="shared" ref="L280" si="170">SUM(L281:L289)</f>
        <v>0</v>
      </c>
      <c r="M280" s="182" t="e" cm="1">
        <f t="array" ref="M280">SUM(_xlfn._xlws.FILTER([6]!Draft_SPBY[Jumlah],[6]!Draft_SPBY[MAK4]=A280,0))</f>
        <v>#REF!</v>
      </c>
      <c r="N280" s="182" t="e">
        <f>L280-M280</f>
        <v>#REF!</v>
      </c>
      <c r="O280" s="252"/>
      <c r="P280" s="252"/>
      <c r="Q280" s="144"/>
    </row>
    <row r="281" spans="1:17" ht="13.2" hidden="1" x14ac:dyDescent="0.25">
      <c r="A281" s="163" t="s">
        <v>993</v>
      </c>
      <c r="B281" s="178"/>
      <c r="C281" s="179" t="s">
        <v>721</v>
      </c>
      <c r="D281" s="180">
        <v>12</v>
      </c>
      <c r="E281" s="180" t="s">
        <v>247</v>
      </c>
      <c r="F281" s="182">
        <v>1325000</v>
      </c>
      <c r="G281" s="182">
        <f t="shared" si="165"/>
        <v>15900000</v>
      </c>
      <c r="H281" s="182" t="b">
        <f>G281='[5]Pvt SP2D Pusdik'!B282</f>
        <v>1</v>
      </c>
      <c r="I281" s="182">
        <f>'[5]Pvt SP2D Pusdik'!C282</f>
        <v>4593336</v>
      </c>
      <c r="J281" s="182">
        <f t="shared" si="166"/>
        <v>11306664</v>
      </c>
      <c r="K281" s="182"/>
      <c r="L281" s="182"/>
      <c r="M281" s="182"/>
      <c r="N281" s="182"/>
      <c r="O281" s="252"/>
      <c r="P281" s="252"/>
      <c r="Q281" s="144"/>
    </row>
    <row r="282" spans="1:17" ht="13.2" hidden="1" x14ac:dyDescent="0.25">
      <c r="A282" s="163" t="s">
        <v>249</v>
      </c>
      <c r="B282" s="178"/>
      <c r="C282" s="179" t="s">
        <v>722</v>
      </c>
      <c r="D282" s="180">
        <v>12</v>
      </c>
      <c r="E282" s="180" t="s">
        <v>247</v>
      </c>
      <c r="F282" s="182">
        <v>3000000</v>
      </c>
      <c r="G282" s="182">
        <f t="shared" si="165"/>
        <v>36000000</v>
      </c>
      <c r="H282" s="182" t="b">
        <f>G282='[5]Pvt SP2D Pusdik'!B283</f>
        <v>1</v>
      </c>
      <c r="I282" s="182">
        <f>'[5]Pvt SP2D Pusdik'!C283</f>
        <v>8750000</v>
      </c>
      <c r="J282" s="182">
        <f t="shared" si="166"/>
        <v>27250000</v>
      </c>
      <c r="K282" s="182"/>
      <c r="L282" s="182"/>
      <c r="M282" s="182"/>
      <c r="N282" s="182"/>
      <c r="O282" s="252"/>
      <c r="P282" s="252"/>
      <c r="Q282" s="144"/>
    </row>
    <row r="283" spans="1:17" ht="13.2" hidden="1" x14ac:dyDescent="0.25">
      <c r="A283" s="163" t="s">
        <v>723</v>
      </c>
      <c r="B283" s="178"/>
      <c r="C283" s="179" t="s">
        <v>724</v>
      </c>
      <c r="D283" s="180">
        <v>1</v>
      </c>
      <c r="E283" s="180" t="s">
        <v>88</v>
      </c>
      <c r="F283" s="182">
        <v>44304000</v>
      </c>
      <c r="G283" s="182">
        <f t="shared" si="165"/>
        <v>44304000</v>
      </c>
      <c r="H283" s="182" t="b">
        <f>G283='[5]Pvt SP2D Pusdik'!B284</f>
        <v>1</v>
      </c>
      <c r="I283" s="182">
        <f>'[5]Pvt SP2D Pusdik'!C284</f>
        <v>694000</v>
      </c>
      <c r="J283" s="182">
        <f t="shared" si="166"/>
        <v>43610000</v>
      </c>
      <c r="K283" s="182"/>
      <c r="L283" s="182"/>
      <c r="M283" s="182"/>
      <c r="N283" s="182"/>
      <c r="O283" s="252"/>
      <c r="P283" s="252"/>
      <c r="Q283" s="144"/>
    </row>
    <row r="284" spans="1:17" ht="13.2" hidden="1" x14ac:dyDescent="0.25">
      <c r="A284" s="163" t="s">
        <v>725</v>
      </c>
      <c r="B284" s="177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/>
      <c r="M284" s="71"/>
      <c r="N284" s="71"/>
      <c r="O284" s="252"/>
      <c r="P284" s="252"/>
      <c r="Q284" s="144"/>
    </row>
    <row r="285" spans="1:17" ht="13.2" hidden="1" x14ac:dyDescent="0.25">
      <c r="A285" s="163" t="s">
        <v>728</v>
      </c>
      <c r="B285" s="178"/>
      <c r="C285" s="179" t="s">
        <v>994</v>
      </c>
      <c r="D285" s="180">
        <f>58*6</f>
        <v>348</v>
      </c>
      <c r="E285" s="180" t="s">
        <v>184</v>
      </c>
      <c r="F285" s="182">
        <v>200000</v>
      </c>
      <c r="G285" s="182">
        <f>ROUNDDOWN(D285*F285,-3)</f>
        <v>69600000</v>
      </c>
      <c r="H285" s="182" t="b">
        <f>G285='[5]Pvt SP2D Pusdik'!B286</f>
        <v>1</v>
      </c>
      <c r="I285" s="182">
        <f>'[5]Pvt SP2D Pusdik'!C286</f>
        <v>9861550</v>
      </c>
      <c r="J285" s="182">
        <f>G285-I285</f>
        <v>59738450</v>
      </c>
      <c r="K285" s="182"/>
      <c r="L285" s="182"/>
      <c r="M285" s="182"/>
      <c r="N285" s="182"/>
      <c r="O285" s="252"/>
      <c r="P285" s="252"/>
      <c r="Q285" s="144"/>
    </row>
    <row r="286" spans="1:17" ht="13.2" hidden="1" x14ac:dyDescent="0.25">
      <c r="A286" s="163" t="s">
        <v>250</v>
      </c>
      <c r="B286" s="232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66084500</v>
      </c>
      <c r="J286" s="106">
        <f>SUM(J287:J295)</f>
        <v>141175500</v>
      </c>
      <c r="K286" s="106">
        <f>SUM(K287:K295)</f>
        <v>0</v>
      </c>
      <c r="L286" s="106"/>
      <c r="M286" s="106"/>
      <c r="N286" s="106"/>
      <c r="O286" s="252"/>
      <c r="P286" s="252"/>
      <c r="Q286" s="144"/>
    </row>
    <row r="287" spans="1:17" ht="13.2" hidden="1" x14ac:dyDescent="0.25">
      <c r="A287" s="189" t="s">
        <v>251</v>
      </c>
      <c r="B287" s="178"/>
      <c r="C287" s="179" t="s">
        <v>730</v>
      </c>
      <c r="D287" s="180">
        <v>48</v>
      </c>
      <c r="E287" s="180" t="s">
        <v>120</v>
      </c>
      <c r="F287" s="182">
        <v>1000000</v>
      </c>
      <c r="G287" s="182">
        <f t="shared" ref="G287:G295" si="171">ROUNDDOWN(D287*F287,-3)</f>
        <v>48000000</v>
      </c>
      <c r="H287" s="182" t="b">
        <f>G287='[5]Pvt SP2D Pusdik'!B288</f>
        <v>1</v>
      </c>
      <c r="I287" s="182">
        <f>'[5]Pvt SP2D Pusdik'!C288</f>
        <v>16957000</v>
      </c>
      <c r="J287" s="182">
        <f t="shared" ref="J287:J295" si="172">G287-I287</f>
        <v>31043000</v>
      </c>
      <c r="K287" s="182"/>
      <c r="L287" s="182"/>
      <c r="M287" s="182"/>
      <c r="N287" s="182"/>
      <c r="O287" s="252"/>
      <c r="P287" s="252"/>
      <c r="Q287" s="144"/>
    </row>
    <row r="288" spans="1:17" ht="13.2" hidden="1" x14ac:dyDescent="0.25">
      <c r="A288" s="163" t="s">
        <v>252</v>
      </c>
      <c r="B288" s="178"/>
      <c r="C288" s="179" t="s">
        <v>571</v>
      </c>
      <c r="D288" s="180">
        <v>48</v>
      </c>
      <c r="E288" s="180" t="s">
        <v>120</v>
      </c>
      <c r="F288" s="182">
        <v>1500000</v>
      </c>
      <c r="G288" s="182">
        <f t="shared" si="171"/>
        <v>72000000</v>
      </c>
      <c r="H288" s="182" t="b">
        <f>G288='[5]Pvt SP2D Pusdik'!B289</f>
        <v>1</v>
      </c>
      <c r="I288" s="182">
        <f>'[5]Pvt SP2D Pusdik'!C289</f>
        <v>23827500</v>
      </c>
      <c r="J288" s="182">
        <f t="shared" si="172"/>
        <v>48172500</v>
      </c>
      <c r="K288" s="182"/>
      <c r="L288" s="182"/>
      <c r="M288" s="182"/>
      <c r="N288" s="182"/>
      <c r="O288" s="252"/>
      <c r="P288" s="252"/>
      <c r="Q288" s="144"/>
    </row>
    <row r="289" spans="1:17" ht="13.2" hidden="1" x14ac:dyDescent="0.25">
      <c r="A289" s="163" t="s">
        <v>253</v>
      </c>
      <c r="B289" s="178"/>
      <c r="C289" s="179" t="s">
        <v>731</v>
      </c>
      <c r="D289" s="180">
        <v>192</v>
      </c>
      <c r="E289" s="180" t="s">
        <v>120</v>
      </c>
      <c r="F289" s="182">
        <v>50000</v>
      </c>
      <c r="G289" s="182">
        <f t="shared" si="171"/>
        <v>9600000</v>
      </c>
      <c r="H289" s="182" t="b">
        <f>G289='[5]Pvt SP2D Pusdik'!B290</f>
        <v>1</v>
      </c>
      <c r="I289" s="182">
        <f>'[5]Pvt SP2D Pusdik'!C290</f>
        <v>2400000</v>
      </c>
      <c r="J289" s="182">
        <f t="shared" si="172"/>
        <v>7200000</v>
      </c>
      <c r="K289" s="182"/>
      <c r="L289" s="182"/>
      <c r="M289" s="182"/>
      <c r="N289" s="182"/>
      <c r="O289" s="252"/>
      <c r="P289" s="252"/>
      <c r="Q289" s="144"/>
    </row>
    <row r="290" spans="1:17" ht="13.2" hidden="1" x14ac:dyDescent="0.25">
      <c r="A290" s="163" t="s">
        <v>254</v>
      </c>
      <c r="B290" s="178"/>
      <c r="C290" s="179" t="s">
        <v>732</v>
      </c>
      <c r="D290" s="180">
        <v>192</v>
      </c>
      <c r="E290" s="180" t="s">
        <v>120</v>
      </c>
      <c r="F290" s="182">
        <v>55000</v>
      </c>
      <c r="G290" s="182">
        <f t="shared" si="171"/>
        <v>10560000</v>
      </c>
      <c r="H290" s="182" t="b">
        <f>G290='[5]Pvt SP2D Pusdik'!B291</f>
        <v>1</v>
      </c>
      <c r="I290" s="182">
        <f>'[5]Pvt SP2D Pusdik'!C291</f>
        <v>2640000</v>
      </c>
      <c r="J290" s="182">
        <f t="shared" si="172"/>
        <v>7920000</v>
      </c>
      <c r="K290" s="182"/>
      <c r="L290" s="182">
        <f t="shared" ref="L290" si="173">L291</f>
        <v>0</v>
      </c>
      <c r="M290" s="182" t="e" cm="1">
        <f t="array" ref="M290">SUM(_xlfn._xlws.FILTER([6]!Draft_SPBY[Jumlah],[6]!Draft_SPBY[MAK4]=A290,0))</f>
        <v>#REF!</v>
      </c>
      <c r="N290" s="182" t="e">
        <f>L290-M290</f>
        <v>#REF!</v>
      </c>
      <c r="O290" s="252"/>
      <c r="P290" s="252"/>
      <c r="Q290" s="144"/>
    </row>
    <row r="291" spans="1:17" ht="13.2" hidden="1" x14ac:dyDescent="0.25">
      <c r="A291" s="163" t="s">
        <v>255</v>
      </c>
      <c r="B291" s="178"/>
      <c r="C291" s="179" t="s">
        <v>733</v>
      </c>
      <c r="D291" s="180">
        <v>60</v>
      </c>
      <c r="E291" s="180" t="s">
        <v>256</v>
      </c>
      <c r="F291" s="182">
        <v>220000</v>
      </c>
      <c r="G291" s="182">
        <f t="shared" si="171"/>
        <v>13200000</v>
      </c>
      <c r="H291" s="182" t="b">
        <f>G291='[5]Pvt SP2D Pusdik'!B292</f>
        <v>1</v>
      </c>
      <c r="I291" s="182">
        <f>'[5]Pvt SP2D Pusdik'!C292</f>
        <v>7050000</v>
      </c>
      <c r="J291" s="182">
        <f t="shared" si="172"/>
        <v>6150000</v>
      </c>
      <c r="K291" s="182"/>
      <c r="L291" s="182"/>
      <c r="M291" s="182"/>
      <c r="N291" s="182"/>
      <c r="O291" s="252"/>
      <c r="P291" s="252"/>
      <c r="Q291" s="144"/>
    </row>
    <row r="292" spans="1:17" ht="13.2" hidden="1" x14ac:dyDescent="0.25">
      <c r="A292" s="163" t="s">
        <v>257</v>
      </c>
      <c r="B292" s="178"/>
      <c r="C292" s="179" t="s">
        <v>734</v>
      </c>
      <c r="D292" s="180">
        <v>60</v>
      </c>
      <c r="E292" s="180" t="s">
        <v>256</v>
      </c>
      <c r="F292" s="182">
        <v>240000</v>
      </c>
      <c r="G292" s="182">
        <f t="shared" si="171"/>
        <v>14400000</v>
      </c>
      <c r="H292" s="182" t="b">
        <f>G292='[5]Pvt SP2D Pusdik'!B293</f>
        <v>1</v>
      </c>
      <c r="I292" s="182">
        <f>'[5]Pvt SP2D Pusdik'!C293</f>
        <v>7760000</v>
      </c>
      <c r="J292" s="182">
        <f t="shared" si="172"/>
        <v>6640000</v>
      </c>
      <c r="K292" s="182"/>
      <c r="L292" s="182">
        <f t="shared" ref="L292" si="174">SUM(L293,L295)</f>
        <v>0</v>
      </c>
      <c r="M292" s="182" t="e">
        <f t="shared" ref="M292:N292" si="175">SUM(M293,M295)</f>
        <v>#REF!</v>
      </c>
      <c r="N292" s="182" t="e">
        <f t="shared" si="175"/>
        <v>#REF!</v>
      </c>
      <c r="O292" s="252"/>
      <c r="P292" s="252"/>
      <c r="Q292" s="144"/>
    </row>
    <row r="293" spans="1:17" ht="13.2" hidden="1" x14ac:dyDescent="0.25">
      <c r="A293" s="163" t="s">
        <v>258</v>
      </c>
      <c r="B293" s="178"/>
      <c r="C293" s="179" t="s">
        <v>735</v>
      </c>
      <c r="D293" s="180">
        <v>950</v>
      </c>
      <c r="E293" s="180" t="s">
        <v>736</v>
      </c>
      <c r="F293" s="182">
        <v>5000</v>
      </c>
      <c r="G293" s="182">
        <f t="shared" si="171"/>
        <v>4750000</v>
      </c>
      <c r="H293" s="182" t="b">
        <f>G293='[5]Pvt SP2D Pusdik'!B294</f>
        <v>1</v>
      </c>
      <c r="I293" s="182">
        <f>'[5]Pvt SP2D Pusdik'!C294</f>
        <v>0</v>
      </c>
      <c r="J293" s="182">
        <f t="shared" si="172"/>
        <v>4750000</v>
      </c>
      <c r="K293" s="182"/>
      <c r="L293" s="182">
        <f t="shared" ref="L293" si="176">L294</f>
        <v>0</v>
      </c>
      <c r="M293" s="182" t="e" cm="1">
        <f t="array" ref="M293">SUM(_xlfn._xlws.FILTER([6]!Draft_SPBY[Jumlah],[6]!Draft_SPBY[MAK4]=A293,0))</f>
        <v>#REF!</v>
      </c>
      <c r="N293" s="182" t="e">
        <f>L293-M293</f>
        <v>#REF!</v>
      </c>
      <c r="O293" s="252"/>
      <c r="P293" s="252"/>
      <c r="Q293" s="144"/>
    </row>
    <row r="294" spans="1:17" ht="13.2" hidden="1" x14ac:dyDescent="0.25">
      <c r="A294" s="163" t="s">
        <v>260</v>
      </c>
      <c r="B294" s="178"/>
      <c r="C294" s="179" t="s">
        <v>737</v>
      </c>
      <c r="D294" s="180">
        <v>50</v>
      </c>
      <c r="E294" s="180" t="s">
        <v>261</v>
      </c>
      <c r="F294" s="182">
        <v>220000</v>
      </c>
      <c r="G294" s="182">
        <f t="shared" si="171"/>
        <v>11000000</v>
      </c>
      <c r="H294" s="182" t="b">
        <f>G294='[5]Pvt SP2D Pusdik'!B295</f>
        <v>1</v>
      </c>
      <c r="I294" s="182">
        <f>'[5]Pvt SP2D Pusdik'!C295</f>
        <v>5450000</v>
      </c>
      <c r="J294" s="182">
        <f t="shared" si="172"/>
        <v>5550000</v>
      </c>
      <c r="K294" s="182"/>
      <c r="L294" s="182"/>
      <c r="M294" s="182"/>
      <c r="N294" s="182"/>
      <c r="O294" s="252"/>
      <c r="P294" s="252"/>
      <c r="Q294" s="144"/>
    </row>
    <row r="295" spans="1:17" ht="13.2" hidden="1" x14ac:dyDescent="0.25">
      <c r="A295" s="163" t="s">
        <v>262</v>
      </c>
      <c r="B295" s="178"/>
      <c r="C295" s="179" t="s">
        <v>738</v>
      </c>
      <c r="D295" s="180">
        <v>950</v>
      </c>
      <c r="E295" s="180" t="s">
        <v>259</v>
      </c>
      <c r="F295" s="182">
        <v>25000</v>
      </c>
      <c r="G295" s="182">
        <f t="shared" si="171"/>
        <v>23750000</v>
      </c>
      <c r="H295" s="182" t="b">
        <f>G295='[5]Pvt SP2D Pusdik'!B296</f>
        <v>1</v>
      </c>
      <c r="I295" s="182">
        <f>'[5]Pvt SP2D Pusdik'!C296</f>
        <v>0</v>
      </c>
      <c r="J295" s="182">
        <f t="shared" si="172"/>
        <v>23750000</v>
      </c>
      <c r="K295" s="182"/>
      <c r="L295" s="182">
        <f t="shared" ref="L295" si="177">SUM(L296:L305)</f>
        <v>0</v>
      </c>
      <c r="M295" s="182" t="e" cm="1">
        <f t="array" ref="M295">SUM(_xlfn._xlws.FILTER([6]!Draft_SPBY[Jumlah],[6]!Draft_SPBY[MAK4]=A295,0))</f>
        <v>#REF!</v>
      </c>
      <c r="N295" s="182" t="e">
        <f>L295-M295</f>
        <v>#REF!</v>
      </c>
      <c r="O295" s="252"/>
      <c r="P295" s="252"/>
      <c r="Q295" s="144"/>
    </row>
    <row r="296" spans="1:17" ht="13.2" hidden="1" x14ac:dyDescent="0.25">
      <c r="A296" s="163" t="s">
        <v>263</v>
      </c>
      <c r="B296" s="192" t="s">
        <v>264</v>
      </c>
      <c r="C296" s="193" t="s">
        <v>265</v>
      </c>
      <c r="D296" s="194"/>
      <c r="E296" s="194"/>
      <c r="F296" s="195"/>
      <c r="G296" s="195">
        <f>SUM(G297,G299)</f>
        <v>119000000</v>
      </c>
      <c r="H296" s="195" t="b">
        <f>G296='[5]Pvt SP2D Pusdik'!B297</f>
        <v>1</v>
      </c>
      <c r="I296" s="195">
        <f>'[5]Pvt SP2D Pusdik'!C297</f>
        <v>72609000</v>
      </c>
      <c r="J296" s="195">
        <f>SUM(J297,J299)</f>
        <v>46391000</v>
      </c>
      <c r="K296" s="195">
        <f>SUM(K297,K299)</f>
        <v>0</v>
      </c>
      <c r="L296" s="195"/>
      <c r="M296" s="195"/>
      <c r="N296" s="195"/>
      <c r="O296" s="252" t="s">
        <v>503</v>
      </c>
      <c r="P296" s="252" t="s">
        <v>504</v>
      </c>
      <c r="Q296" s="144"/>
    </row>
    <row r="297" spans="1:17" ht="13.2" hidden="1" x14ac:dyDescent="0.25">
      <c r="A297" s="163" t="s">
        <v>266</v>
      </c>
      <c r="B297" s="184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2809000</v>
      </c>
      <c r="J297" s="76">
        <f>J298</f>
        <v>6191000</v>
      </c>
      <c r="K297" s="76">
        <f>K298</f>
        <v>0</v>
      </c>
      <c r="L297" s="76"/>
      <c r="M297" s="76"/>
      <c r="N297" s="76"/>
      <c r="O297" s="252"/>
      <c r="P297" s="252"/>
      <c r="Q297" s="144"/>
    </row>
    <row r="298" spans="1:17" ht="13.2" hidden="1" x14ac:dyDescent="0.25">
      <c r="A298" s="163" t="s">
        <v>268</v>
      </c>
      <c r="B298" s="178"/>
      <c r="C298" s="179" t="s">
        <v>740</v>
      </c>
      <c r="D298" s="180">
        <v>12</v>
      </c>
      <c r="E298" s="180" t="s">
        <v>247</v>
      </c>
      <c r="F298" s="182">
        <v>750000</v>
      </c>
      <c r="G298" s="182">
        <f>ROUNDDOWN(D298*F298,-3)</f>
        <v>9000000</v>
      </c>
      <c r="H298" s="182" t="b">
        <f>G298='[5]Pvt SP2D Pusdik'!B299</f>
        <v>1</v>
      </c>
      <c r="I298" s="182">
        <f>'[5]Pvt SP2D Pusdik'!C299</f>
        <v>2809000</v>
      </c>
      <c r="J298" s="182">
        <f>G298-I298</f>
        <v>6191000</v>
      </c>
      <c r="K298" s="182"/>
      <c r="L298" s="182"/>
      <c r="M298" s="182"/>
      <c r="N298" s="182"/>
      <c r="O298" s="252"/>
      <c r="P298" s="252"/>
      <c r="Q298" s="144"/>
    </row>
    <row r="299" spans="1:17" ht="13.2" hidden="1" x14ac:dyDescent="0.25">
      <c r="A299" s="163" t="s">
        <v>269</v>
      </c>
      <c r="B299" s="177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69800000</v>
      </c>
      <c r="J299" s="71">
        <f>SUM(J300:J301)</f>
        <v>40200000</v>
      </c>
      <c r="K299" s="71">
        <f>SUM(K300:K301)</f>
        <v>0</v>
      </c>
      <c r="L299" s="71"/>
      <c r="M299" s="71"/>
      <c r="N299" s="71"/>
      <c r="O299" s="252"/>
      <c r="P299" s="252"/>
      <c r="Q299" s="144"/>
    </row>
    <row r="300" spans="1:17" ht="13.2" hidden="1" x14ac:dyDescent="0.25">
      <c r="A300" s="163" t="s">
        <v>270</v>
      </c>
      <c r="B300" s="178"/>
      <c r="C300" s="179" t="s">
        <v>741</v>
      </c>
      <c r="D300" s="180">
        <v>12</v>
      </c>
      <c r="E300" s="180" t="s">
        <v>247</v>
      </c>
      <c r="F300" s="182">
        <v>5000000</v>
      </c>
      <c r="G300" s="182">
        <f>ROUNDDOWN(D300*F300,-3)</f>
        <v>60000000</v>
      </c>
      <c r="H300" s="182" t="b">
        <f>G300='[5]Pvt SP2D Pusdik'!B301</f>
        <v>1</v>
      </c>
      <c r="I300" s="182">
        <f>'[5]Pvt SP2D Pusdik'!C301</f>
        <v>19800000</v>
      </c>
      <c r="J300" s="182">
        <f t="shared" ref="J300:J301" si="178">G300-I300</f>
        <v>40200000</v>
      </c>
      <c r="K300" s="182"/>
      <c r="L300" s="182"/>
      <c r="M300" s="182"/>
      <c r="N300" s="182"/>
      <c r="O300" s="252"/>
      <c r="P300" s="252"/>
      <c r="Q300" s="144"/>
    </row>
    <row r="301" spans="1:17" ht="13.2" hidden="1" x14ac:dyDescent="0.25">
      <c r="A301" s="163" t="s">
        <v>271</v>
      </c>
      <c r="B301" s="178"/>
      <c r="C301" s="179" t="s">
        <v>742</v>
      </c>
      <c r="D301" s="180">
        <v>1</v>
      </c>
      <c r="E301" s="180" t="s">
        <v>147</v>
      </c>
      <c r="F301" s="182">
        <v>50000000</v>
      </c>
      <c r="G301" s="182">
        <f>ROUNDDOWN(D301*F301,-3)</f>
        <v>50000000</v>
      </c>
      <c r="H301" s="182" t="b">
        <f>G301='[5]Pvt SP2D Pusdik'!B302</f>
        <v>1</v>
      </c>
      <c r="I301" s="182">
        <f>'[5]Pvt SP2D Pusdik'!C302</f>
        <v>50000000</v>
      </c>
      <c r="J301" s="182">
        <f t="shared" si="178"/>
        <v>0</v>
      </c>
      <c r="K301" s="182"/>
      <c r="L301" s="182"/>
      <c r="M301" s="182"/>
      <c r="N301" s="182"/>
      <c r="O301" s="252"/>
      <c r="P301" s="252"/>
      <c r="Q301" s="144"/>
    </row>
    <row r="302" spans="1:17" ht="13.2" hidden="1" x14ac:dyDescent="0.25">
      <c r="A302" s="163" t="s">
        <v>272</v>
      </c>
      <c r="B302" s="192" t="s">
        <v>273</v>
      </c>
      <c r="C302" s="193" t="s">
        <v>274</v>
      </c>
      <c r="D302" s="194"/>
      <c r="E302" s="194"/>
      <c r="F302" s="195"/>
      <c r="G302" s="195">
        <f>SUM(G303,G313)</f>
        <v>410362000</v>
      </c>
      <c r="H302" s="195" t="b">
        <f>G302='[5]Pvt SP2D Pusdik'!B303</f>
        <v>1</v>
      </c>
      <c r="I302" s="195">
        <f>'[5]Pvt SP2D Pusdik'!C303</f>
        <v>53030400</v>
      </c>
      <c r="J302" s="195">
        <f>SUM(J303,J313)</f>
        <v>357331600</v>
      </c>
      <c r="K302" s="195">
        <f>SUM(K303,K313)</f>
        <v>0</v>
      </c>
      <c r="L302" s="195"/>
      <c r="M302" s="195"/>
      <c r="N302" s="195"/>
      <c r="O302" s="252" t="s">
        <v>503</v>
      </c>
      <c r="P302" s="252" t="s">
        <v>504</v>
      </c>
      <c r="Q302" s="144"/>
    </row>
    <row r="303" spans="1:17" ht="13.2" hidden="1" x14ac:dyDescent="0.25">
      <c r="A303" s="163" t="s">
        <v>275</v>
      </c>
      <c r="B303" s="184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44116400</v>
      </c>
      <c r="J303" s="76">
        <f>SUM(J304:J312)</f>
        <v>330245600</v>
      </c>
      <c r="K303" s="76">
        <f>SUM(K304:K312)</f>
        <v>0</v>
      </c>
      <c r="L303" s="76"/>
      <c r="M303" s="76"/>
      <c r="N303" s="76"/>
      <c r="O303" s="252"/>
      <c r="P303" s="252"/>
      <c r="Q303" s="144"/>
    </row>
    <row r="304" spans="1:17" ht="13.2" hidden="1" x14ac:dyDescent="0.25">
      <c r="A304" s="163" t="s">
        <v>277</v>
      </c>
      <c r="B304" s="178"/>
      <c r="C304" s="179" t="s">
        <v>744</v>
      </c>
      <c r="D304" s="180">
        <v>1</v>
      </c>
      <c r="E304" s="180" t="s">
        <v>111</v>
      </c>
      <c r="F304" s="182">
        <v>38730000</v>
      </c>
      <c r="G304" s="182">
        <f t="shared" ref="G304:G312" si="179">ROUNDDOWN(D304*F304,-3)</f>
        <v>38730000</v>
      </c>
      <c r="H304" s="182" t="b">
        <f>G304='[5]Pvt SP2D Pusdik'!B305</f>
        <v>1</v>
      </c>
      <c r="I304" s="182">
        <f>'[5]Pvt SP2D Pusdik'!C305</f>
        <v>6000000</v>
      </c>
      <c r="J304" s="182">
        <f t="shared" ref="J304:J312" si="180">G304-I304</f>
        <v>32730000</v>
      </c>
      <c r="K304" s="182"/>
      <c r="L304" s="182"/>
      <c r="M304" s="182"/>
      <c r="N304" s="182"/>
      <c r="O304" s="252"/>
      <c r="P304" s="252"/>
      <c r="Q304" s="144"/>
    </row>
    <row r="305" spans="1:17" ht="13.2" hidden="1" x14ac:dyDescent="0.25">
      <c r="A305" s="163" t="s">
        <v>278</v>
      </c>
      <c r="B305" s="178"/>
      <c r="C305" s="179" t="s">
        <v>745</v>
      </c>
      <c r="D305" s="180">
        <v>7</v>
      </c>
      <c r="E305" s="180" t="s">
        <v>111</v>
      </c>
      <c r="F305" s="182">
        <v>25000000</v>
      </c>
      <c r="G305" s="182">
        <f t="shared" si="179"/>
        <v>175000000</v>
      </c>
      <c r="H305" s="182" t="b">
        <f>G305='[5]Pvt SP2D Pusdik'!B306</f>
        <v>1</v>
      </c>
      <c r="I305" s="182">
        <f>'[5]Pvt SP2D Pusdik'!C306</f>
        <v>21588000</v>
      </c>
      <c r="J305" s="182">
        <f t="shared" si="180"/>
        <v>153412000</v>
      </c>
      <c r="K305" s="182"/>
      <c r="L305" s="182"/>
      <c r="M305" s="182"/>
      <c r="N305" s="182"/>
      <c r="O305" s="252"/>
      <c r="P305" s="252"/>
      <c r="Q305" s="144"/>
    </row>
    <row r="306" spans="1:17" ht="13.2" hidden="1" x14ac:dyDescent="0.25">
      <c r="A306" s="163" t="s">
        <v>279</v>
      </c>
      <c r="B306" s="178"/>
      <c r="C306" s="179" t="s">
        <v>746</v>
      </c>
      <c r="D306" s="180">
        <v>5</v>
      </c>
      <c r="E306" s="180" t="s">
        <v>111</v>
      </c>
      <c r="F306" s="182">
        <v>3640000</v>
      </c>
      <c r="G306" s="182">
        <f t="shared" si="179"/>
        <v>18200000</v>
      </c>
      <c r="H306" s="182" t="b">
        <f>G306='[5]Pvt SP2D Pusdik'!B307</f>
        <v>1</v>
      </c>
      <c r="I306" s="182">
        <f>'[5]Pvt SP2D Pusdik'!C307</f>
        <v>4003400</v>
      </c>
      <c r="J306" s="182">
        <f t="shared" si="180"/>
        <v>14196600</v>
      </c>
      <c r="K306" s="182"/>
      <c r="L306" s="182">
        <f t="shared" ref="L306:N310" si="181">L307</f>
        <v>0</v>
      </c>
      <c r="M306" s="182" t="e">
        <f t="shared" si="181"/>
        <v>#REF!</v>
      </c>
      <c r="N306" s="182" t="e">
        <f t="shared" si="181"/>
        <v>#REF!</v>
      </c>
      <c r="O306" s="252"/>
      <c r="P306" s="252"/>
      <c r="Q306" s="144"/>
    </row>
    <row r="307" spans="1:17" ht="13.2" hidden="1" x14ac:dyDescent="0.25">
      <c r="A307" s="163" t="s">
        <v>280</v>
      </c>
      <c r="B307" s="178"/>
      <c r="C307" s="179" t="s">
        <v>747</v>
      </c>
      <c r="D307" s="180">
        <v>30</v>
      </c>
      <c r="E307" s="180" t="s">
        <v>111</v>
      </c>
      <c r="F307" s="182">
        <v>730000</v>
      </c>
      <c r="G307" s="182">
        <f t="shared" si="179"/>
        <v>21900000</v>
      </c>
      <c r="H307" s="182" t="b">
        <f>G307='[5]Pvt SP2D Pusdik'!B308</f>
        <v>1</v>
      </c>
      <c r="I307" s="182">
        <f>'[5]Pvt SP2D Pusdik'!C308</f>
        <v>5575000</v>
      </c>
      <c r="J307" s="182">
        <f t="shared" si="180"/>
        <v>16325000</v>
      </c>
      <c r="K307" s="182"/>
      <c r="L307" s="182">
        <f t="shared" si="181"/>
        <v>0</v>
      </c>
      <c r="M307" s="182" t="e">
        <f t="shared" si="181"/>
        <v>#REF!</v>
      </c>
      <c r="N307" s="182" t="e">
        <f t="shared" si="181"/>
        <v>#REF!</v>
      </c>
      <c r="O307" s="252"/>
      <c r="P307" s="252"/>
      <c r="Q307" s="144"/>
    </row>
    <row r="308" spans="1:17" ht="13.2" hidden="1" x14ac:dyDescent="0.25">
      <c r="A308" s="163" t="s">
        <v>281</v>
      </c>
      <c r="B308" s="178"/>
      <c r="C308" s="179" t="s">
        <v>748</v>
      </c>
      <c r="D308" s="180">
        <v>35</v>
      </c>
      <c r="E308" s="180" t="s">
        <v>111</v>
      </c>
      <c r="F308" s="182">
        <v>730000</v>
      </c>
      <c r="G308" s="182">
        <f t="shared" si="179"/>
        <v>25550000</v>
      </c>
      <c r="H308" s="182" t="b">
        <f>G308='[5]Pvt SP2D Pusdik'!B309</f>
        <v>1</v>
      </c>
      <c r="I308" s="182">
        <f>'[5]Pvt SP2D Pusdik'!C309</f>
        <v>1475000</v>
      </c>
      <c r="J308" s="182">
        <f t="shared" si="180"/>
        <v>24075000</v>
      </c>
      <c r="K308" s="182"/>
      <c r="L308" s="182">
        <f t="shared" si="181"/>
        <v>0</v>
      </c>
      <c r="M308" s="182" t="e">
        <f t="shared" si="181"/>
        <v>#REF!</v>
      </c>
      <c r="N308" s="182" t="e">
        <f t="shared" si="181"/>
        <v>#REF!</v>
      </c>
      <c r="O308" s="252"/>
      <c r="P308" s="252"/>
      <c r="Q308" s="144"/>
    </row>
    <row r="309" spans="1:17" ht="13.2" hidden="1" x14ac:dyDescent="0.25">
      <c r="A309" s="163" t="s">
        <v>282</v>
      </c>
      <c r="B309" s="178"/>
      <c r="C309" s="179" t="s">
        <v>749</v>
      </c>
      <c r="D309" s="180">
        <v>40</v>
      </c>
      <c r="E309" s="180" t="s">
        <v>111</v>
      </c>
      <c r="F309" s="182">
        <v>690000</v>
      </c>
      <c r="G309" s="182">
        <f t="shared" si="179"/>
        <v>27600000</v>
      </c>
      <c r="H309" s="182" t="b">
        <f>G309='[5]Pvt SP2D Pusdik'!B310</f>
        <v>1</v>
      </c>
      <c r="I309" s="182">
        <f>'[5]Pvt SP2D Pusdik'!C310</f>
        <v>2050000</v>
      </c>
      <c r="J309" s="182">
        <f t="shared" si="180"/>
        <v>25550000</v>
      </c>
      <c r="K309" s="182"/>
      <c r="L309" s="182">
        <f t="shared" si="181"/>
        <v>0</v>
      </c>
      <c r="M309" s="182" t="e">
        <f t="shared" si="181"/>
        <v>#REF!</v>
      </c>
      <c r="N309" s="182" t="e">
        <f t="shared" si="181"/>
        <v>#REF!</v>
      </c>
      <c r="O309" s="252"/>
      <c r="P309" s="252"/>
      <c r="Q309" s="144"/>
    </row>
    <row r="310" spans="1:17" ht="13.2" hidden="1" x14ac:dyDescent="0.25">
      <c r="A310" s="163" t="s">
        <v>283</v>
      </c>
      <c r="B310" s="178"/>
      <c r="C310" s="179" t="s">
        <v>750</v>
      </c>
      <c r="D310" s="180">
        <v>3</v>
      </c>
      <c r="E310" s="180" t="s">
        <v>111</v>
      </c>
      <c r="F310" s="182">
        <v>3500000</v>
      </c>
      <c r="G310" s="182">
        <f t="shared" si="179"/>
        <v>10500000</v>
      </c>
      <c r="H310" s="182" t="b">
        <f>G310='[5]Pvt SP2D Pusdik'!B311</f>
        <v>1</v>
      </c>
      <c r="I310" s="182">
        <f>'[5]Pvt SP2D Pusdik'!C311</f>
        <v>3425000</v>
      </c>
      <c r="J310" s="182">
        <f t="shared" si="180"/>
        <v>7075000</v>
      </c>
      <c r="K310" s="182"/>
      <c r="L310" s="182">
        <f t="shared" si="181"/>
        <v>0</v>
      </c>
      <c r="M310" s="182" t="e" cm="1">
        <f t="array" ref="M310">SUM(_xlfn._xlws.FILTER([6]!Draft_SPBY[Jumlah],[6]!Draft_SPBY[MAK4]=A310,0))</f>
        <v>#REF!</v>
      </c>
      <c r="N310" s="182" t="e">
        <f>L310-M310</f>
        <v>#REF!</v>
      </c>
      <c r="O310" s="252"/>
      <c r="P310" s="252"/>
      <c r="Q310" s="144"/>
    </row>
    <row r="311" spans="1:17" ht="13.2" hidden="1" x14ac:dyDescent="0.25">
      <c r="A311" s="163" t="s">
        <v>284</v>
      </c>
      <c r="B311" s="178"/>
      <c r="C311" s="179" t="s">
        <v>751</v>
      </c>
      <c r="D311" s="180">
        <v>6</v>
      </c>
      <c r="E311" s="180" t="s">
        <v>111</v>
      </c>
      <c r="F311" s="182">
        <v>470000</v>
      </c>
      <c r="G311" s="182">
        <f t="shared" si="179"/>
        <v>2820000</v>
      </c>
      <c r="H311" s="182" t="b">
        <f>G311='[5]Pvt SP2D Pusdik'!B312</f>
        <v>1</v>
      </c>
      <c r="I311" s="182">
        <f>'[5]Pvt SP2D Pusdik'!C312</f>
        <v>0</v>
      </c>
      <c r="J311" s="182">
        <f t="shared" si="180"/>
        <v>2820000</v>
      </c>
      <c r="K311" s="182"/>
      <c r="L311" s="182"/>
      <c r="M311" s="182"/>
      <c r="N311" s="182"/>
      <c r="O311" s="252"/>
      <c r="P311" s="252"/>
      <c r="Q311" s="144"/>
    </row>
    <row r="312" spans="1:17" ht="13.2" hidden="1" customHeight="1" x14ac:dyDescent="0.25">
      <c r="A312" s="163" t="s">
        <v>285</v>
      </c>
      <c r="B312" s="178"/>
      <c r="C312" s="179" t="s">
        <v>752</v>
      </c>
      <c r="D312" s="180">
        <v>1</v>
      </c>
      <c r="E312" s="180" t="s">
        <v>147</v>
      </c>
      <c r="F312" s="182">
        <v>54062000</v>
      </c>
      <c r="G312" s="182">
        <f t="shared" si="179"/>
        <v>54062000</v>
      </c>
      <c r="H312" s="182" t="b">
        <f>G312='[5]Pvt SP2D Pusdik'!B313</f>
        <v>1</v>
      </c>
      <c r="I312" s="182">
        <f>'[5]Pvt SP2D Pusdik'!C313</f>
        <v>0</v>
      </c>
      <c r="J312" s="182">
        <f t="shared" si="180"/>
        <v>54062000</v>
      </c>
      <c r="K312" s="182"/>
      <c r="L312" s="182">
        <f t="shared" ref="L312" si="182">SUM(L313,L384,L432)</f>
        <v>0</v>
      </c>
      <c r="M312" s="182" t="e">
        <f t="shared" ref="M312:N312" si="183">SUM(M313,M384,M432)</f>
        <v>#REF!</v>
      </c>
      <c r="N312" s="182" t="e">
        <f t="shared" si="183"/>
        <v>#REF!</v>
      </c>
      <c r="O312" s="252"/>
      <c r="P312" s="252"/>
      <c r="Q312" s="144"/>
    </row>
    <row r="313" spans="1:17" ht="13.2" hidden="1" x14ac:dyDescent="0.25">
      <c r="A313" s="163" t="s">
        <v>286</v>
      </c>
      <c r="B313" s="184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8914000</v>
      </c>
      <c r="J313" s="76">
        <f>J314</f>
        <v>27086000</v>
      </c>
      <c r="K313" s="76">
        <f>K314</f>
        <v>0</v>
      </c>
      <c r="L313" s="76">
        <f t="shared" ref="L313:N313" si="184">L314</f>
        <v>0</v>
      </c>
      <c r="M313" s="76" t="e">
        <f t="shared" si="184"/>
        <v>#REF!</v>
      </c>
      <c r="N313" s="76" t="e">
        <f t="shared" si="184"/>
        <v>#REF!</v>
      </c>
      <c r="O313" s="252"/>
      <c r="P313" s="252"/>
      <c r="Q313" s="144"/>
    </row>
    <row r="314" spans="1:17" ht="13.2" hidden="1" x14ac:dyDescent="0.25">
      <c r="A314" s="163" t="s">
        <v>288</v>
      </c>
      <c r="B314" s="178"/>
      <c r="C314" s="179" t="s">
        <v>754</v>
      </c>
      <c r="D314" s="180">
        <v>24</v>
      </c>
      <c r="E314" s="180" t="s">
        <v>289</v>
      </c>
      <c r="F314" s="182">
        <v>1500000</v>
      </c>
      <c r="G314" s="182">
        <f>ROUNDDOWN(D314*F314,-3)</f>
        <v>36000000</v>
      </c>
      <c r="H314" s="182" t="b">
        <f>G314='[5]Pvt SP2D Pusdik'!B315</f>
        <v>1</v>
      </c>
      <c r="I314" s="182">
        <f>'[5]Pvt SP2D Pusdik'!C315</f>
        <v>8914000</v>
      </c>
      <c r="J314" s="182">
        <f>G314-I314</f>
        <v>27086000</v>
      </c>
      <c r="K314" s="182"/>
      <c r="L314" s="182">
        <f t="shared" ref="L314" si="185">SUM(L315,L326,L339,L352,L360,L368)</f>
        <v>0</v>
      </c>
      <c r="M314" s="182" t="e">
        <f t="shared" ref="M314:N314" si="186">SUM(M315,M326,M339,M352,M360,M368)</f>
        <v>#REF!</v>
      </c>
      <c r="N314" s="182" t="e">
        <f t="shared" si="186"/>
        <v>#REF!</v>
      </c>
      <c r="O314" s="252"/>
      <c r="P314" s="252"/>
      <c r="Q314" s="144"/>
    </row>
    <row r="315" spans="1:17" ht="13.2" hidden="1" x14ac:dyDescent="0.25">
      <c r="A315" s="163" t="s">
        <v>290</v>
      </c>
      <c r="B315" s="173" t="s">
        <v>291</v>
      </c>
      <c r="C315" s="174" t="s">
        <v>292</v>
      </c>
      <c r="D315" s="175"/>
      <c r="E315" s="175"/>
      <c r="F315" s="176"/>
      <c r="G315" s="176">
        <f>SUM(G316,G318)</f>
        <v>137396000</v>
      </c>
      <c r="H315" s="176" t="b">
        <f>G315='[5]Pvt SP2D Pusdik'!B316</f>
        <v>1</v>
      </c>
      <c r="I315" s="176">
        <f>'[5]Pvt SP2D Pusdik'!C316</f>
        <v>93952000</v>
      </c>
      <c r="J315" s="176">
        <f>SUM(J316,J318)</f>
        <v>43444000</v>
      </c>
      <c r="K315" s="176">
        <f>SUM(K316,K318)</f>
        <v>0</v>
      </c>
      <c r="L315" s="176">
        <f t="shared" ref="L315" si="187">SUM(L316,L322,L324)</f>
        <v>0</v>
      </c>
      <c r="M315" s="176" t="e">
        <f t="shared" ref="M315:N315" si="188">SUM(M316,M322,M324)</f>
        <v>#REF!</v>
      </c>
      <c r="N315" s="176" t="e">
        <f t="shared" si="188"/>
        <v>#REF!</v>
      </c>
      <c r="O315" s="252" t="s">
        <v>503</v>
      </c>
      <c r="P315" s="252" t="s">
        <v>504</v>
      </c>
      <c r="Q315" s="144"/>
    </row>
    <row r="316" spans="1:17" ht="13.2" hidden="1" x14ac:dyDescent="0.25">
      <c r="A316" s="163" t="s">
        <v>293</v>
      </c>
      <c r="B316" s="177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 t="shared" ref="L316" si="189">SUM(L317:L321)</f>
        <v>0</v>
      </c>
      <c r="M316" s="71" t="e" cm="1">
        <f t="array" ref="M316">SUM(_xlfn._xlws.FILTER([6]!Draft_SPBY[Jumlah],[6]!Draft_SPBY[MAK4]=A316,0))</f>
        <v>#REF!</v>
      </c>
      <c r="N316" s="71" t="e">
        <f>L316-M316</f>
        <v>#REF!</v>
      </c>
      <c r="O316" s="252"/>
      <c r="P316" s="252"/>
      <c r="Q316" s="144"/>
    </row>
    <row r="317" spans="1:17" ht="13.2" hidden="1" x14ac:dyDescent="0.25">
      <c r="A317" s="163" t="s">
        <v>294</v>
      </c>
      <c r="B317" s="178"/>
      <c r="C317" s="179" t="s">
        <v>755</v>
      </c>
      <c r="D317" s="180">
        <v>118</v>
      </c>
      <c r="E317" s="180" t="s">
        <v>295</v>
      </c>
      <c r="F317" s="182">
        <v>670000</v>
      </c>
      <c r="G317" s="182">
        <f>ROUNDDOWN(D317*F317,-3)</f>
        <v>79060000</v>
      </c>
      <c r="H317" s="182" t="b">
        <f>G317='[5]Pvt SP2D Pusdik'!B318</f>
        <v>1</v>
      </c>
      <c r="I317" s="182">
        <f>'[5]Pvt SP2D Pusdik'!C318</f>
        <v>75040000</v>
      </c>
      <c r="J317" s="182">
        <f>G317-I317</f>
        <v>4020000</v>
      </c>
      <c r="K317" s="182"/>
      <c r="L317" s="182"/>
      <c r="M317" s="182"/>
      <c r="N317" s="182"/>
      <c r="O317" s="252"/>
      <c r="P317" s="252"/>
      <c r="Q317" s="144"/>
    </row>
    <row r="318" spans="1:17" ht="13.2" hidden="1" x14ac:dyDescent="0.25">
      <c r="A318" s="163" t="s">
        <v>296</v>
      </c>
      <c r="B318" s="184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18912000</v>
      </c>
      <c r="J318" s="76">
        <f>SUM(J319:J328)</f>
        <v>39424000</v>
      </c>
      <c r="K318" s="76">
        <f>SUM(K319:K328)</f>
        <v>0</v>
      </c>
      <c r="L318" s="76"/>
      <c r="M318" s="76"/>
      <c r="N318" s="76"/>
      <c r="O318" s="252"/>
      <c r="P318" s="252"/>
      <c r="Q318" s="144"/>
    </row>
    <row r="319" spans="1:17" ht="13.2" hidden="1" x14ac:dyDescent="0.25">
      <c r="A319" s="163" t="s">
        <v>298</v>
      </c>
      <c r="B319" s="178"/>
      <c r="C319" s="179" t="s">
        <v>757</v>
      </c>
      <c r="D319" s="180">
        <v>12</v>
      </c>
      <c r="E319" s="180" t="s">
        <v>184</v>
      </c>
      <c r="F319" s="182">
        <v>2920000</v>
      </c>
      <c r="G319" s="182">
        <f t="shared" ref="G319:G328" si="190">ROUNDDOWN(D319*F319,-3)</f>
        <v>35040000</v>
      </c>
      <c r="H319" s="182" t="b">
        <f>G319='[5]Pvt SP2D Pusdik'!B320</f>
        <v>1</v>
      </c>
      <c r="I319" s="182">
        <f>'[5]Pvt SP2D Pusdik'!C320</f>
        <v>11680000</v>
      </c>
      <c r="J319" s="182">
        <f t="shared" ref="J319:J328" si="191">G319-I319</f>
        <v>23360000</v>
      </c>
      <c r="K319" s="182"/>
      <c r="L319" s="182"/>
      <c r="M319" s="182"/>
      <c r="N319" s="182"/>
      <c r="O319" s="252"/>
      <c r="P319" s="252"/>
      <c r="Q319" s="144"/>
    </row>
    <row r="320" spans="1:17" ht="13.2" hidden="1" x14ac:dyDescent="0.25">
      <c r="A320" s="163" t="s">
        <v>299</v>
      </c>
      <c r="B320" s="178"/>
      <c r="C320" s="179" t="s">
        <v>758</v>
      </c>
      <c r="D320" s="180">
        <v>12</v>
      </c>
      <c r="E320" s="180" t="s">
        <v>184</v>
      </c>
      <c r="F320" s="182">
        <v>324000</v>
      </c>
      <c r="G320" s="182">
        <f t="shared" si="190"/>
        <v>3888000</v>
      </c>
      <c r="H320" s="182" t="b">
        <f>G320='[5]Pvt SP2D Pusdik'!B321</f>
        <v>1</v>
      </c>
      <c r="I320" s="182">
        <f>'[5]Pvt SP2D Pusdik'!C321</f>
        <v>1296000</v>
      </c>
      <c r="J320" s="182">
        <f t="shared" si="191"/>
        <v>2592000</v>
      </c>
      <c r="K320" s="182"/>
      <c r="L320" s="182"/>
      <c r="M320" s="182"/>
      <c r="N320" s="182"/>
      <c r="O320" s="252"/>
      <c r="P320" s="252"/>
      <c r="Q320" s="144"/>
    </row>
    <row r="321" spans="1:17" ht="13.2" hidden="1" x14ac:dyDescent="0.25">
      <c r="A321" s="163" t="s">
        <v>300</v>
      </c>
      <c r="B321" s="178"/>
      <c r="C321" s="179" t="s">
        <v>759</v>
      </c>
      <c r="D321" s="180">
        <v>12</v>
      </c>
      <c r="E321" s="180" t="s">
        <v>184</v>
      </c>
      <c r="F321" s="182">
        <v>324000</v>
      </c>
      <c r="G321" s="182">
        <f t="shared" si="190"/>
        <v>3888000</v>
      </c>
      <c r="H321" s="182" t="b">
        <f>G321='[5]Pvt SP2D Pusdik'!B322</f>
        <v>1</v>
      </c>
      <c r="I321" s="182">
        <f>'[5]Pvt SP2D Pusdik'!C322</f>
        <v>1296000</v>
      </c>
      <c r="J321" s="182">
        <f t="shared" si="191"/>
        <v>2592000</v>
      </c>
      <c r="K321" s="182"/>
      <c r="L321" s="182"/>
      <c r="M321" s="182"/>
      <c r="N321" s="182"/>
      <c r="O321" s="252"/>
      <c r="P321" s="252"/>
      <c r="Q321" s="144"/>
    </row>
    <row r="322" spans="1:17" ht="13.2" hidden="1" x14ac:dyDescent="0.25">
      <c r="A322" s="163" t="s">
        <v>301</v>
      </c>
      <c r="B322" s="178"/>
      <c r="C322" s="179" t="s">
        <v>760</v>
      </c>
      <c r="D322" s="180">
        <v>12</v>
      </c>
      <c r="E322" s="180" t="s">
        <v>184</v>
      </c>
      <c r="F322" s="182">
        <v>680000</v>
      </c>
      <c r="G322" s="182">
        <f t="shared" si="190"/>
        <v>8160000</v>
      </c>
      <c r="H322" s="182" t="b">
        <f>G322='[5]Pvt SP2D Pusdik'!B323</f>
        <v>1</v>
      </c>
      <c r="I322" s="182">
        <f>'[5]Pvt SP2D Pusdik'!C323</f>
        <v>2720000</v>
      </c>
      <c r="J322" s="182">
        <f t="shared" si="191"/>
        <v>5440000</v>
      </c>
      <c r="K322" s="182"/>
      <c r="L322" s="182">
        <f t="shared" ref="L322" si="192">L323</f>
        <v>0</v>
      </c>
      <c r="M322" s="182" t="e" cm="1">
        <f t="array" ref="M322">SUM(_xlfn._xlws.FILTER([6]!Draft_SPBY[Jumlah],[6]!Draft_SPBY[MAK4]=A322,0))</f>
        <v>#REF!</v>
      </c>
      <c r="N322" s="182" t="e">
        <f>L322-M322</f>
        <v>#REF!</v>
      </c>
      <c r="O322" s="252"/>
      <c r="P322" s="252"/>
      <c r="Q322" s="144"/>
    </row>
    <row r="323" spans="1:17" ht="13.2" hidden="1" x14ac:dyDescent="0.25">
      <c r="A323" s="163" t="s">
        <v>302</v>
      </c>
      <c r="B323" s="178"/>
      <c r="C323" s="179" t="s">
        <v>761</v>
      </c>
      <c r="D323" s="180">
        <v>12</v>
      </c>
      <c r="E323" s="180" t="s">
        <v>184</v>
      </c>
      <c r="F323" s="182">
        <v>200000</v>
      </c>
      <c r="G323" s="182">
        <f t="shared" si="190"/>
        <v>2400000</v>
      </c>
      <c r="H323" s="182" t="b">
        <f>G323='[5]Pvt SP2D Pusdik'!B324</f>
        <v>1</v>
      </c>
      <c r="I323" s="182">
        <f>'[5]Pvt SP2D Pusdik'!C324</f>
        <v>800000</v>
      </c>
      <c r="J323" s="182">
        <f t="shared" si="191"/>
        <v>1600000</v>
      </c>
      <c r="K323" s="182"/>
      <c r="L323" s="182"/>
      <c r="M323" s="182"/>
      <c r="N323" s="182"/>
      <c r="O323" s="252"/>
      <c r="P323" s="252"/>
      <c r="Q323" s="144"/>
    </row>
    <row r="324" spans="1:17" ht="13.2" hidden="1" x14ac:dyDescent="0.25">
      <c r="A324" s="163" t="s">
        <v>303</v>
      </c>
      <c r="B324" s="178"/>
      <c r="C324" s="179" t="s">
        <v>762</v>
      </c>
      <c r="D324" s="180">
        <v>12</v>
      </c>
      <c r="E324" s="180" t="s">
        <v>184</v>
      </c>
      <c r="F324" s="182">
        <v>80000</v>
      </c>
      <c r="G324" s="182">
        <f t="shared" si="190"/>
        <v>960000</v>
      </c>
      <c r="H324" s="182" t="b">
        <f>G324='[5]Pvt SP2D Pusdik'!B325</f>
        <v>1</v>
      </c>
      <c r="I324" s="182">
        <f>'[5]Pvt SP2D Pusdik'!C325</f>
        <v>320000</v>
      </c>
      <c r="J324" s="182">
        <f t="shared" si="191"/>
        <v>640000</v>
      </c>
      <c r="K324" s="182"/>
      <c r="L324" s="182">
        <f t="shared" ref="L324" si="193">L325</f>
        <v>0</v>
      </c>
      <c r="M324" s="182" t="e" cm="1">
        <f t="array" ref="M324">SUM(_xlfn._xlws.FILTER([6]!Draft_SPBY[Jumlah],[6]!Draft_SPBY[MAK4]=A324,0))</f>
        <v>#REF!</v>
      </c>
      <c r="N324" s="182" t="e">
        <f>L324-M324</f>
        <v>#REF!</v>
      </c>
      <c r="O324" s="252"/>
      <c r="P324" s="252"/>
      <c r="Q324" s="144"/>
    </row>
    <row r="325" spans="1:17" ht="13.2" hidden="1" x14ac:dyDescent="0.25">
      <c r="A325" s="163" t="s">
        <v>304</v>
      </c>
      <c r="B325" s="178"/>
      <c r="C325" s="179" t="s">
        <v>763</v>
      </c>
      <c r="D325" s="180">
        <v>12</v>
      </c>
      <c r="E325" s="180" t="s">
        <v>184</v>
      </c>
      <c r="F325" s="182">
        <v>200000</v>
      </c>
      <c r="G325" s="182">
        <f t="shared" si="190"/>
        <v>2400000</v>
      </c>
      <c r="H325" s="182" t="b">
        <f>G325='[5]Pvt SP2D Pusdik'!B326</f>
        <v>1</v>
      </c>
      <c r="I325" s="182">
        <f>'[5]Pvt SP2D Pusdik'!C326</f>
        <v>800000</v>
      </c>
      <c r="J325" s="182">
        <f t="shared" si="191"/>
        <v>1600000</v>
      </c>
      <c r="K325" s="182"/>
      <c r="L325" s="182"/>
      <c r="M325" s="182"/>
      <c r="N325" s="182"/>
      <c r="O325" s="252"/>
      <c r="P325" s="252"/>
      <c r="Q325" s="144"/>
    </row>
    <row r="326" spans="1:17" ht="13.2" hidden="1" x14ac:dyDescent="0.25">
      <c r="A326" s="163" t="s">
        <v>305</v>
      </c>
      <c r="B326" s="178"/>
      <c r="C326" s="179" t="s">
        <v>764</v>
      </c>
      <c r="D326" s="180">
        <v>1</v>
      </c>
      <c r="E326" s="180" t="s">
        <v>26</v>
      </c>
      <c r="F326" s="182">
        <v>400000</v>
      </c>
      <c r="G326" s="182">
        <f t="shared" si="190"/>
        <v>400000</v>
      </c>
      <c r="H326" s="182" t="b">
        <f>G326='[5]Pvt SP2D Pusdik'!B327</f>
        <v>1</v>
      </c>
      <c r="I326" s="182">
        <f>'[5]Pvt SP2D Pusdik'!C327</f>
        <v>0</v>
      </c>
      <c r="J326" s="182">
        <f t="shared" si="191"/>
        <v>400000</v>
      </c>
      <c r="K326" s="182"/>
      <c r="L326" s="182">
        <f t="shared" ref="L326" si="194">SUM(L327,L333,L335,L337)</f>
        <v>0</v>
      </c>
      <c r="M326" s="182" t="e">
        <f t="shared" ref="M326:N326" si="195">SUM(M327,M333,M335,M337)</f>
        <v>#REF!</v>
      </c>
      <c r="N326" s="182" t="e">
        <f t="shared" si="195"/>
        <v>#REF!</v>
      </c>
      <c r="O326" s="252"/>
      <c r="P326" s="252"/>
      <c r="Q326" s="144"/>
    </row>
    <row r="327" spans="1:17" ht="13.2" hidden="1" x14ac:dyDescent="0.25">
      <c r="A327" s="163" t="s">
        <v>306</v>
      </c>
      <c r="B327" s="178"/>
      <c r="C327" s="179" t="s">
        <v>765</v>
      </c>
      <c r="D327" s="180">
        <v>1</v>
      </c>
      <c r="E327" s="180" t="s">
        <v>26</v>
      </c>
      <c r="F327" s="182">
        <v>300000</v>
      </c>
      <c r="G327" s="182">
        <f t="shared" si="190"/>
        <v>300000</v>
      </c>
      <c r="H327" s="182" t="b">
        <f>G327='[5]Pvt SP2D Pusdik'!B328</f>
        <v>1</v>
      </c>
      <c r="I327" s="182">
        <f>'[5]Pvt SP2D Pusdik'!C328</f>
        <v>0</v>
      </c>
      <c r="J327" s="182">
        <f t="shared" si="191"/>
        <v>300000</v>
      </c>
      <c r="K327" s="182"/>
      <c r="L327" s="182">
        <f t="shared" ref="L327" si="196">SUM(L328:L332)</f>
        <v>0</v>
      </c>
      <c r="M327" s="182" t="e" cm="1">
        <f t="array" ref="M327">SUM(_xlfn._xlws.FILTER([6]!Draft_SPBY[Jumlah],[6]!Draft_SPBY[MAK4]=A327,0))</f>
        <v>#REF!</v>
      </c>
      <c r="N327" s="182" t="e">
        <f>L327-M327</f>
        <v>#REF!</v>
      </c>
      <c r="O327" s="252"/>
      <c r="P327" s="252"/>
      <c r="Q327" s="144"/>
    </row>
    <row r="328" spans="1:17" ht="13.2" hidden="1" x14ac:dyDescent="0.25">
      <c r="A328" s="163" t="s">
        <v>307</v>
      </c>
      <c r="B328" s="178"/>
      <c r="C328" s="179" t="s">
        <v>766</v>
      </c>
      <c r="D328" s="180">
        <v>3</v>
      </c>
      <c r="E328" s="180" t="s">
        <v>26</v>
      </c>
      <c r="F328" s="182">
        <v>300000</v>
      </c>
      <c r="G328" s="182">
        <f t="shared" si="190"/>
        <v>900000</v>
      </c>
      <c r="H328" s="182" t="b">
        <f>G328='[5]Pvt SP2D Pusdik'!B329</f>
        <v>1</v>
      </c>
      <c r="I328" s="182">
        <f>'[5]Pvt SP2D Pusdik'!C329</f>
        <v>0</v>
      </c>
      <c r="J328" s="182">
        <f t="shared" si="191"/>
        <v>900000</v>
      </c>
      <c r="K328" s="182"/>
      <c r="L328" s="182"/>
      <c r="M328" s="182"/>
      <c r="N328" s="182"/>
      <c r="O328" s="252"/>
      <c r="P328" s="252"/>
      <c r="Q328" s="144"/>
    </row>
    <row r="329" spans="1:17" ht="13.2" hidden="1" x14ac:dyDescent="0.25">
      <c r="A329" s="163" t="s">
        <v>308</v>
      </c>
      <c r="B329" s="198" t="s">
        <v>309</v>
      </c>
      <c r="C329" s="90" t="s">
        <v>767</v>
      </c>
      <c r="D329" s="89">
        <v>3</v>
      </c>
      <c r="E329" s="233" t="s">
        <v>768</v>
      </c>
      <c r="F329" s="91"/>
      <c r="G329" s="91">
        <f t="shared" ref="G329:G333" si="197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K333" si="198">J330</f>
        <v>13010000</v>
      </c>
      <c r="K329" s="91">
        <f t="shared" si="198"/>
        <v>0</v>
      </c>
      <c r="L329" s="91"/>
      <c r="M329" s="91"/>
      <c r="N329" s="91"/>
      <c r="O329" s="252"/>
      <c r="P329" s="252"/>
      <c r="Q329" s="144"/>
    </row>
    <row r="330" spans="1:17" ht="13.2" hidden="1" x14ac:dyDescent="0.25">
      <c r="A330" s="163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197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198"/>
        <v>13010000</v>
      </c>
      <c r="K330" s="94">
        <f t="shared" si="198"/>
        <v>0</v>
      </c>
      <c r="L330" s="94"/>
      <c r="M330" s="94"/>
      <c r="N330" s="94"/>
      <c r="O330" s="252"/>
      <c r="P330" s="252"/>
      <c r="Q330" s="144"/>
    </row>
    <row r="331" spans="1:17" ht="13.2" hidden="1" x14ac:dyDescent="0.25">
      <c r="A331" s="163" t="s">
        <v>769</v>
      </c>
      <c r="B331" s="218" t="s">
        <v>770</v>
      </c>
      <c r="C331" s="219" t="s">
        <v>771</v>
      </c>
      <c r="D331" s="220"/>
      <c r="E331" s="220" t="s">
        <v>562</v>
      </c>
      <c r="F331" s="221"/>
      <c r="G331" s="221">
        <f t="shared" si="197"/>
        <v>200000000</v>
      </c>
      <c r="H331" s="221" t="b">
        <f>G331='[5]Pvt SP2D Pusdik'!B332</f>
        <v>1</v>
      </c>
      <c r="I331" s="221">
        <f>'[5]Pvt SP2D Pusdik'!C332</f>
        <v>186990000</v>
      </c>
      <c r="J331" s="221">
        <f t="shared" si="198"/>
        <v>13010000</v>
      </c>
      <c r="K331" s="221">
        <f t="shared" si="198"/>
        <v>0</v>
      </c>
      <c r="L331" s="221"/>
      <c r="M331" s="221"/>
      <c r="N331" s="221"/>
      <c r="O331" s="252"/>
      <c r="P331" s="252"/>
      <c r="Q331" s="144"/>
    </row>
    <row r="332" spans="1:17" ht="13.2" hidden="1" x14ac:dyDescent="0.25">
      <c r="A332" s="163" t="s">
        <v>772</v>
      </c>
      <c r="B332" s="185" t="s">
        <v>21</v>
      </c>
      <c r="C332" s="186" t="s">
        <v>771</v>
      </c>
      <c r="D332" s="187"/>
      <c r="E332" s="187"/>
      <c r="F332" s="188"/>
      <c r="G332" s="188">
        <f t="shared" si="197"/>
        <v>200000000</v>
      </c>
      <c r="H332" s="188" t="b">
        <f>G332='[5]Pvt SP2D Pusdik'!B333</f>
        <v>1</v>
      </c>
      <c r="I332" s="188">
        <f>'[5]Pvt SP2D Pusdik'!C333</f>
        <v>186990000</v>
      </c>
      <c r="J332" s="188">
        <f t="shared" si="198"/>
        <v>13010000</v>
      </c>
      <c r="K332" s="188">
        <f t="shared" si="198"/>
        <v>0</v>
      </c>
      <c r="L332" s="188"/>
      <c r="M332" s="188"/>
      <c r="N332" s="188"/>
      <c r="O332" s="252" t="s">
        <v>503</v>
      </c>
      <c r="P332" s="252" t="s">
        <v>504</v>
      </c>
      <c r="Q332" s="144"/>
    </row>
    <row r="333" spans="1:17" ht="13.2" hidden="1" x14ac:dyDescent="0.25">
      <c r="A333" s="163" t="s">
        <v>773</v>
      </c>
      <c r="B333" s="184" t="s">
        <v>613</v>
      </c>
      <c r="C333" s="75" t="s">
        <v>118</v>
      </c>
      <c r="D333" s="74"/>
      <c r="E333" s="74"/>
      <c r="F333" s="76"/>
      <c r="G333" s="76">
        <f t="shared" si="197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198"/>
        <v>13010000</v>
      </c>
      <c r="K333" s="76">
        <f t="shared" si="198"/>
        <v>0</v>
      </c>
      <c r="L333" s="76">
        <f t="shared" ref="L333" si="199">L334</f>
        <v>0</v>
      </c>
      <c r="M333" s="76" t="e" cm="1">
        <f t="array" ref="M333">SUM(_xlfn._xlws.FILTER([6]!Draft_SPBY[Jumlah],[6]!Draft_SPBY[MAK4]=A333,0))</f>
        <v>#REF!</v>
      </c>
      <c r="N333" s="76" t="e">
        <f>L333-M333</f>
        <v>#REF!</v>
      </c>
      <c r="O333" s="252"/>
      <c r="P333" s="252"/>
      <c r="Q333" s="144"/>
    </row>
    <row r="334" spans="1:17" ht="13.2" hidden="1" x14ac:dyDescent="0.25">
      <c r="A334" s="163" t="s">
        <v>774</v>
      </c>
      <c r="B334" s="178"/>
      <c r="C334" s="179" t="s">
        <v>775</v>
      </c>
      <c r="D334" s="180">
        <v>1</v>
      </c>
      <c r="E334" s="180" t="s">
        <v>120</v>
      </c>
      <c r="F334" s="182">
        <v>200000000</v>
      </c>
      <c r="G334" s="182">
        <f>ROUNDDOWN(D334*F334,-3)</f>
        <v>200000000</v>
      </c>
      <c r="H334" s="182" t="b">
        <f>G334='[5]Pvt SP2D Pusdik'!B335</f>
        <v>1</v>
      </c>
      <c r="I334" s="182">
        <f>'[5]Pvt SP2D Pusdik'!C335</f>
        <v>186990000</v>
      </c>
      <c r="J334" s="182">
        <f>G334-I334</f>
        <v>13010000</v>
      </c>
      <c r="K334" s="182"/>
      <c r="L334" s="182"/>
      <c r="M334" s="182"/>
      <c r="N334" s="182"/>
      <c r="O334" s="252"/>
      <c r="P334" s="252"/>
      <c r="Q334" s="144"/>
    </row>
    <row r="335" spans="1:17" ht="13.2" x14ac:dyDescent="0.25">
      <c r="A335" s="163" t="s">
        <v>313</v>
      </c>
      <c r="B335" s="234" t="s">
        <v>314</v>
      </c>
      <c r="C335" s="111" t="s">
        <v>776</v>
      </c>
      <c r="D335" s="110">
        <v>7</v>
      </c>
      <c r="E335" s="235" t="s">
        <v>777</v>
      </c>
      <c r="F335" s="235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769160141</v>
      </c>
      <c r="J335" s="112">
        <f>SUM(J336,J406,J454)</f>
        <v>1864446859</v>
      </c>
      <c r="K335" s="112">
        <f>SUM(K336,K406,K454)</f>
        <v>102908000</v>
      </c>
      <c r="L335" s="112">
        <f t="shared" ref="L335" si="200">L336</f>
        <v>0</v>
      </c>
      <c r="M335" s="112" t="e" cm="1">
        <f t="array" ref="M335">SUM(_xlfn._xlws.FILTER([6]!Draft_SPBY[Jumlah],[6]!Draft_SPBY[MAK4]=A335,0))</f>
        <v>#REF!</v>
      </c>
      <c r="N335" s="112" t="e">
        <f>L335-M335</f>
        <v>#REF!</v>
      </c>
      <c r="O335" s="252"/>
      <c r="P335" s="252"/>
      <c r="Q335" s="144"/>
    </row>
    <row r="336" spans="1:17" ht="13.2" x14ac:dyDescent="0.25">
      <c r="A336" s="163" t="s">
        <v>316</v>
      </c>
      <c r="B336" s="236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477080034</v>
      </c>
      <c r="J336" s="94">
        <f>J337</f>
        <v>837241966</v>
      </c>
      <c r="K336" s="94">
        <f>K337</f>
        <v>20250000</v>
      </c>
      <c r="L336" s="94"/>
      <c r="M336" s="94"/>
      <c r="N336" s="94"/>
      <c r="O336" s="252"/>
      <c r="P336" s="252"/>
      <c r="Q336" s="144"/>
    </row>
    <row r="337" spans="1:17" ht="13.2" x14ac:dyDescent="0.25">
      <c r="A337" s="163" t="s">
        <v>319</v>
      </c>
      <c r="B337" s="218" t="s">
        <v>611</v>
      </c>
      <c r="C337" s="219" t="s">
        <v>320</v>
      </c>
      <c r="D337" s="220"/>
      <c r="E337" s="220" t="s">
        <v>562</v>
      </c>
      <c r="F337" s="221"/>
      <c r="G337" s="221">
        <f>SUM(G338,G349,G362,G375,G383,G391)</f>
        <v>1314322000</v>
      </c>
      <c r="H337" s="221" t="b">
        <f>G337='[5]Pvt SP2D Pusdik'!B338</f>
        <v>1</v>
      </c>
      <c r="I337" s="221">
        <f>'[5]Pvt SP2D Pusdik'!C338</f>
        <v>477080034</v>
      </c>
      <c r="J337" s="221">
        <f>SUM(J338,J349,J362,J375,J383,J391)</f>
        <v>837241966</v>
      </c>
      <c r="K337" s="221">
        <f>SUM(K338,K349,K362,K375,K383,K391)</f>
        <v>20250000</v>
      </c>
      <c r="L337" s="221">
        <f t="shared" ref="L337" si="201">L338</f>
        <v>0</v>
      </c>
      <c r="M337" s="221" t="e" cm="1">
        <f t="array" ref="M337">SUM(_xlfn._xlws.FILTER([6]!Draft_SPBY[Jumlah],[6]!Draft_SPBY[MAK4]=A337,0))</f>
        <v>#REF!</v>
      </c>
      <c r="N337" s="221" t="e">
        <f>L337-M337</f>
        <v>#REF!</v>
      </c>
      <c r="O337" s="252"/>
      <c r="P337" s="252"/>
      <c r="Q337" s="144"/>
    </row>
    <row r="338" spans="1:17" ht="13.2" x14ac:dyDescent="0.25">
      <c r="A338" s="163" t="s">
        <v>321</v>
      </c>
      <c r="B338" s="192" t="s">
        <v>21</v>
      </c>
      <c r="C338" s="193" t="s">
        <v>778</v>
      </c>
      <c r="D338" s="194"/>
      <c r="E338" s="194"/>
      <c r="F338" s="195"/>
      <c r="G338" s="195">
        <f>SUM(G339,G345,G347)</f>
        <v>116572000</v>
      </c>
      <c r="H338" s="195" t="b">
        <f>G338='[5]Pvt SP2D Pusdik'!B339</f>
        <v>1</v>
      </c>
      <c r="I338" s="195">
        <f>'[5]Pvt SP2D Pusdik'!C339</f>
        <v>15996664</v>
      </c>
      <c r="J338" s="195">
        <f>SUM(J339,J345,J347)</f>
        <v>100575336</v>
      </c>
      <c r="K338" s="195">
        <f>SUM(K339,K345,K347)</f>
        <v>4250000</v>
      </c>
      <c r="L338" s="195"/>
      <c r="M338" s="195"/>
      <c r="N338" s="195"/>
      <c r="O338" s="252" t="s">
        <v>505</v>
      </c>
      <c r="P338" s="252" t="s">
        <v>506</v>
      </c>
      <c r="Q338" s="144"/>
    </row>
    <row r="339" spans="1:17" ht="13.2" x14ac:dyDescent="0.25">
      <c r="A339" s="163" t="s">
        <v>322</v>
      </c>
      <c r="B339" s="184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 t="shared" ref="L339" si="202">SUM(L340,L346,L348,L350)</f>
        <v>0</v>
      </c>
      <c r="M339" s="76" t="e">
        <f t="shared" ref="M339:N339" si="203">SUM(M340,M346,M348,M350)</f>
        <v>#REF!</v>
      </c>
      <c r="N339" s="76" t="e">
        <f t="shared" si="203"/>
        <v>#REF!</v>
      </c>
      <c r="O339" s="252"/>
      <c r="P339" s="252"/>
      <c r="Q339" s="144"/>
    </row>
    <row r="340" spans="1:17" ht="13.2" hidden="1" x14ac:dyDescent="0.25">
      <c r="A340" s="163" t="s">
        <v>323</v>
      </c>
      <c r="B340" s="178"/>
      <c r="C340" s="179" t="s">
        <v>563</v>
      </c>
      <c r="D340" s="180">
        <v>230</v>
      </c>
      <c r="E340" s="180" t="s">
        <v>26</v>
      </c>
      <c r="F340" s="182">
        <v>75000</v>
      </c>
      <c r="G340" s="182">
        <f>ROUNDDOWN(D340*F340,-3)</f>
        <v>17250000</v>
      </c>
      <c r="H340" s="182" t="b">
        <f>G340='[5]Pvt SP2D Pusdik'!B341</f>
        <v>1</v>
      </c>
      <c r="I340" s="182">
        <f>'[5]Pvt SP2D Pusdik'!C341</f>
        <v>506000</v>
      </c>
      <c r="J340" s="182">
        <f t="shared" ref="J340:J344" si="204">G340-I340</f>
        <v>16744000</v>
      </c>
      <c r="K340" s="182"/>
      <c r="L340" s="182">
        <f t="shared" ref="L340" si="205">SUM(L341:L345)</f>
        <v>0</v>
      </c>
      <c r="M340" s="182" t="e" cm="1">
        <f t="array" ref="M340">SUM(_xlfn._xlws.FILTER([6]!Draft_SPBY[Jumlah],[6]!Draft_SPBY[MAK4]=A340,0))</f>
        <v>#REF!</v>
      </c>
      <c r="N340" s="182" t="e">
        <f>L340-M340</f>
        <v>#REF!</v>
      </c>
      <c r="O340" s="252"/>
      <c r="P340" s="252"/>
      <c r="Q340" s="144"/>
    </row>
    <row r="341" spans="1:17" ht="13.2" x14ac:dyDescent="0.25">
      <c r="A341" s="163" t="s">
        <v>779</v>
      </c>
      <c r="B341" s="178"/>
      <c r="C341" s="179" t="s">
        <v>564</v>
      </c>
      <c r="D341" s="180">
        <v>8</v>
      </c>
      <c r="E341" s="180" t="s">
        <v>120</v>
      </c>
      <c r="F341" s="182">
        <v>1500000</v>
      </c>
      <c r="G341" s="182">
        <f>ROUNDDOWN(D341*F341,-3)</f>
        <v>12000000</v>
      </c>
      <c r="H341" s="182" t="b">
        <f>G341='[5]Pvt SP2D Pusdik'!B342</f>
        <v>1</v>
      </c>
      <c r="I341" s="182">
        <f>'[5]Pvt SP2D Pusdik'!C342</f>
        <v>2925900</v>
      </c>
      <c r="J341" s="182">
        <f t="shared" si="204"/>
        <v>9074100</v>
      </c>
      <c r="K341" s="182">
        <v>1500000</v>
      </c>
      <c r="L341" s="182"/>
      <c r="M341" s="182"/>
      <c r="N341" s="182"/>
      <c r="O341" s="252"/>
      <c r="P341" s="252"/>
      <c r="Q341" s="144"/>
    </row>
    <row r="342" spans="1:17" ht="13.2" x14ac:dyDescent="0.25">
      <c r="A342" s="163" t="s">
        <v>780</v>
      </c>
      <c r="B342" s="178"/>
      <c r="C342" s="179" t="s">
        <v>565</v>
      </c>
      <c r="D342" s="180">
        <v>8</v>
      </c>
      <c r="E342" s="180" t="s">
        <v>120</v>
      </c>
      <c r="F342" s="182">
        <v>1500000</v>
      </c>
      <c r="G342" s="182">
        <f>ROUNDDOWN(D342*F342,-3)</f>
        <v>12000000</v>
      </c>
      <c r="H342" s="182" t="b">
        <f>G342='[5]Pvt SP2D Pusdik'!B343</f>
        <v>1</v>
      </c>
      <c r="I342" s="182">
        <f>'[5]Pvt SP2D Pusdik'!C343</f>
        <v>5780000</v>
      </c>
      <c r="J342" s="182">
        <f t="shared" si="204"/>
        <v>6220000</v>
      </c>
      <c r="K342" s="182">
        <v>1500000</v>
      </c>
      <c r="L342" s="182"/>
      <c r="M342" s="182"/>
      <c r="N342" s="182"/>
      <c r="O342" s="252"/>
      <c r="P342" s="252"/>
      <c r="Q342" s="144"/>
    </row>
    <row r="343" spans="1:17" ht="13.2" x14ac:dyDescent="0.25">
      <c r="A343" s="163" t="s">
        <v>781</v>
      </c>
      <c r="B343" s="178"/>
      <c r="C343" s="179" t="s">
        <v>566</v>
      </c>
      <c r="D343" s="180">
        <v>8</v>
      </c>
      <c r="E343" s="180" t="s">
        <v>120</v>
      </c>
      <c r="F343" s="182">
        <v>1000000</v>
      </c>
      <c r="G343" s="182">
        <f>ROUNDDOWN(D343*F343,-3)</f>
        <v>8000000</v>
      </c>
      <c r="H343" s="182" t="b">
        <f>G343='[5]Pvt SP2D Pusdik'!B344</f>
        <v>1</v>
      </c>
      <c r="I343" s="182">
        <f>'[5]Pvt SP2D Pusdik'!C344</f>
        <v>3839000</v>
      </c>
      <c r="J343" s="182">
        <f t="shared" si="204"/>
        <v>4161000</v>
      </c>
      <c r="K343" s="182">
        <v>1000000</v>
      </c>
      <c r="L343" s="182"/>
      <c r="M343" s="182"/>
      <c r="N343" s="182"/>
      <c r="O343" s="252"/>
      <c r="P343" s="252"/>
      <c r="Q343" s="144"/>
    </row>
    <row r="344" spans="1:17" ht="13.2" hidden="1" x14ac:dyDescent="0.25">
      <c r="A344" s="163" t="s">
        <v>782</v>
      </c>
      <c r="B344" s="178"/>
      <c r="C344" s="179" t="s">
        <v>783</v>
      </c>
      <c r="D344" s="180">
        <v>38</v>
      </c>
      <c r="E344" s="180" t="s">
        <v>59</v>
      </c>
      <c r="F344" s="182">
        <v>250000</v>
      </c>
      <c r="G344" s="182">
        <f>ROUNDDOWN(D344*F344,-3)</f>
        <v>9500000</v>
      </c>
      <c r="H344" s="182" t="b">
        <f>G344='[5]Pvt SP2D Pusdik'!B345</f>
        <v>1</v>
      </c>
      <c r="I344" s="182">
        <f>'[5]Pvt SP2D Pusdik'!C345</f>
        <v>0</v>
      </c>
      <c r="J344" s="182">
        <f t="shared" si="204"/>
        <v>9500000</v>
      </c>
      <c r="K344" s="182"/>
      <c r="L344" s="182"/>
      <c r="M344" s="182"/>
      <c r="N344" s="182"/>
      <c r="O344" s="252"/>
      <c r="P344" s="252"/>
      <c r="Q344" s="144"/>
    </row>
    <row r="345" spans="1:17" ht="13.2" x14ac:dyDescent="0.25">
      <c r="A345" s="163" t="s">
        <v>324</v>
      </c>
      <c r="B345" s="184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/>
      <c r="M345" s="76"/>
      <c r="N345" s="76"/>
      <c r="O345" s="252"/>
      <c r="P345" s="252"/>
      <c r="Q345" s="144"/>
    </row>
    <row r="346" spans="1:17" ht="13.2" x14ac:dyDescent="0.25">
      <c r="A346" s="163" t="s">
        <v>325</v>
      </c>
      <c r="B346" s="178"/>
      <c r="C346" s="179" t="s">
        <v>627</v>
      </c>
      <c r="D346" s="180">
        <v>4</v>
      </c>
      <c r="E346" s="180" t="s">
        <v>120</v>
      </c>
      <c r="F346" s="182">
        <v>250000</v>
      </c>
      <c r="G346" s="182">
        <f>ROUNDDOWN(D346*F346,-3)</f>
        <v>1000000</v>
      </c>
      <c r="H346" s="182" t="b">
        <f>G346='[5]Pvt SP2D Pusdik'!B347</f>
        <v>1</v>
      </c>
      <c r="I346" s="182">
        <f>'[5]Pvt SP2D Pusdik'!C347</f>
        <v>575764</v>
      </c>
      <c r="J346" s="182">
        <f>G346-I346</f>
        <v>424236</v>
      </c>
      <c r="K346" s="182">
        <v>250000</v>
      </c>
      <c r="L346" s="182">
        <f t="shared" ref="L346" si="206">L347</f>
        <v>0</v>
      </c>
      <c r="M346" s="182" t="e" cm="1">
        <f t="array" ref="M346">SUM(_xlfn._xlws.FILTER([6]!Draft_SPBY[Jumlah],[6]!Draft_SPBY[MAK4]=A346,0))</f>
        <v>#REF!</v>
      </c>
      <c r="N346" s="182" t="e">
        <f>L346-M346</f>
        <v>#REF!</v>
      </c>
      <c r="O346" s="252"/>
      <c r="P346" s="252"/>
      <c r="Q346" s="144"/>
    </row>
    <row r="347" spans="1:17" ht="13.2" hidden="1" x14ac:dyDescent="0.25">
      <c r="A347" s="163" t="s">
        <v>326</v>
      </c>
      <c r="B347" s="184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2370000</v>
      </c>
      <c r="J347" s="76">
        <f>J348</f>
        <v>54452000</v>
      </c>
      <c r="K347" s="76">
        <f>K348</f>
        <v>0</v>
      </c>
      <c r="L347" s="76"/>
      <c r="M347" s="76"/>
      <c r="N347" s="76"/>
      <c r="O347" s="252"/>
      <c r="P347" s="252"/>
      <c r="Q347" s="144"/>
    </row>
    <row r="348" spans="1:17" ht="13.2" hidden="1" x14ac:dyDescent="0.25">
      <c r="A348" s="163" t="s">
        <v>327</v>
      </c>
      <c r="B348" s="178"/>
      <c r="C348" s="179" t="s">
        <v>784</v>
      </c>
      <c r="D348" s="180">
        <v>10</v>
      </c>
      <c r="E348" s="180" t="s">
        <v>26</v>
      </c>
      <c r="F348" s="182">
        <v>5682200</v>
      </c>
      <c r="G348" s="182">
        <f>ROUNDDOWN(D348*F348,-3)</f>
        <v>56822000</v>
      </c>
      <c r="H348" s="182" t="b">
        <f>G348='[5]Pvt SP2D Pusdik'!B349</f>
        <v>1</v>
      </c>
      <c r="I348" s="182">
        <f>'[5]Pvt SP2D Pusdik'!C349</f>
        <v>2370000</v>
      </c>
      <c r="J348" s="182">
        <f>G348-I348</f>
        <v>54452000</v>
      </c>
      <c r="K348" s="182"/>
      <c r="L348" s="182">
        <f t="shared" ref="L348" si="207">L349</f>
        <v>0</v>
      </c>
      <c r="M348" s="182" t="e" cm="1">
        <f t="array" ref="M348">SUM(_xlfn._xlws.FILTER([6]!Draft_SPBY[Jumlah],[6]!Draft_SPBY[MAK4]=A348,0))</f>
        <v>#REF!</v>
      </c>
      <c r="N348" s="182" t="e">
        <f>L348-M348</f>
        <v>#REF!</v>
      </c>
      <c r="O348" s="252"/>
      <c r="P348" s="252"/>
      <c r="Q348" s="144"/>
    </row>
    <row r="349" spans="1:17" ht="13.2" x14ac:dyDescent="0.25">
      <c r="A349" s="163" t="s">
        <v>328</v>
      </c>
      <c r="B349" s="185" t="s">
        <v>38</v>
      </c>
      <c r="C349" s="186" t="s">
        <v>329</v>
      </c>
      <c r="D349" s="187"/>
      <c r="E349" s="187"/>
      <c r="F349" s="188"/>
      <c r="G349" s="188">
        <f>SUM(G350,G356,G358,G360)</f>
        <v>151250000</v>
      </c>
      <c r="H349" s="188" t="b">
        <f>G349='[5]Pvt SP2D Pusdik'!B350</f>
        <v>1</v>
      </c>
      <c r="I349" s="188">
        <f>'[5]Pvt SP2D Pusdik'!C350</f>
        <v>48775640</v>
      </c>
      <c r="J349" s="188">
        <f>SUM(J350,J356,J358,J360)</f>
        <v>102474360</v>
      </c>
      <c r="K349" s="188">
        <f>SUM(K350,K356,K358,K360)</f>
        <v>4000000</v>
      </c>
      <c r="L349" s="188"/>
      <c r="M349" s="188"/>
      <c r="N349" s="188"/>
      <c r="O349" s="252" t="s">
        <v>505</v>
      </c>
      <c r="P349" s="252" t="s">
        <v>506</v>
      </c>
      <c r="Q349" s="144"/>
    </row>
    <row r="350" spans="1:17" ht="13.2" x14ac:dyDescent="0.25">
      <c r="A350" s="163" t="s">
        <v>330</v>
      </c>
      <c r="B350" s="184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 t="shared" ref="L350" si="208">L351</f>
        <v>0</v>
      </c>
      <c r="M350" s="76" t="e" cm="1">
        <f t="array" ref="M350">SUM(_xlfn._xlws.FILTER([6]!Draft_SPBY[Jumlah],[6]!Draft_SPBY[MAK4]=A350,0))</f>
        <v>#REF!</v>
      </c>
      <c r="N350" s="76" t="e">
        <f>L350-M350</f>
        <v>#REF!</v>
      </c>
      <c r="O350" s="252"/>
      <c r="P350" s="252"/>
      <c r="Q350" s="144"/>
    </row>
    <row r="351" spans="1:17" ht="13.2" hidden="1" x14ac:dyDescent="0.25">
      <c r="A351" s="163" t="s">
        <v>331</v>
      </c>
      <c r="B351" s="178"/>
      <c r="C351" s="237" t="s">
        <v>563</v>
      </c>
      <c r="D351" s="238">
        <v>350</v>
      </c>
      <c r="E351" s="239" t="s">
        <v>26</v>
      </c>
      <c r="F351" s="240">
        <v>75000</v>
      </c>
      <c r="G351" s="240">
        <f>ROUNDDOWN(D351*F351,-3)</f>
        <v>26250000</v>
      </c>
      <c r="H351" s="240" t="b">
        <f>G351='[5]Pvt SP2D Pusdik'!B352</f>
        <v>1</v>
      </c>
      <c r="I351" s="240">
        <f>'[5]Pvt SP2D Pusdik'!C352</f>
        <v>706000</v>
      </c>
      <c r="J351" s="182">
        <f t="shared" ref="J351:J355" si="209">G351-I351</f>
        <v>25544000</v>
      </c>
      <c r="K351" s="240"/>
      <c r="L351" s="240"/>
      <c r="M351" s="240"/>
      <c r="N351" s="240"/>
      <c r="O351" s="252"/>
      <c r="P351" s="252"/>
      <c r="Q351" s="144"/>
    </row>
    <row r="352" spans="1:17" ht="13.2" x14ac:dyDescent="0.25">
      <c r="A352" s="163" t="s">
        <v>332</v>
      </c>
      <c r="B352" s="178"/>
      <c r="C352" s="179" t="s">
        <v>564</v>
      </c>
      <c r="D352" s="180">
        <v>8</v>
      </c>
      <c r="E352" s="180" t="s">
        <v>120</v>
      </c>
      <c r="F352" s="182">
        <v>1500000</v>
      </c>
      <c r="G352" s="182">
        <f>ROUNDDOWN(D352*F352,-3)</f>
        <v>12000000</v>
      </c>
      <c r="H352" s="182" t="b">
        <f>G352='[5]Pvt SP2D Pusdik'!B353</f>
        <v>1</v>
      </c>
      <c r="I352" s="182">
        <f>'[5]Pvt SP2D Pusdik'!C353</f>
        <v>2923200</v>
      </c>
      <c r="J352" s="182">
        <f t="shared" si="209"/>
        <v>9076800</v>
      </c>
      <c r="K352" s="182">
        <v>1500000</v>
      </c>
      <c r="L352" s="182">
        <f t="shared" ref="L352" si="210">SUM(L353,L358)</f>
        <v>0</v>
      </c>
      <c r="M352" s="182" t="e">
        <f t="shared" ref="M352:N352" si="211">SUM(M353,M358)</f>
        <v>#REF!</v>
      </c>
      <c r="N352" s="182" t="e">
        <f t="shared" si="211"/>
        <v>#REF!</v>
      </c>
      <c r="O352" s="252"/>
      <c r="P352" s="252"/>
      <c r="Q352" s="144"/>
    </row>
    <row r="353" spans="1:17" ht="13.2" x14ac:dyDescent="0.25">
      <c r="A353" s="163" t="s">
        <v>785</v>
      </c>
      <c r="B353" s="178"/>
      <c r="C353" s="179" t="s">
        <v>565</v>
      </c>
      <c r="D353" s="180">
        <v>8</v>
      </c>
      <c r="E353" s="180" t="s">
        <v>120</v>
      </c>
      <c r="F353" s="182">
        <v>1500000</v>
      </c>
      <c r="G353" s="182">
        <f>ROUNDDOWN(D353*F353,-3)</f>
        <v>12000000</v>
      </c>
      <c r="H353" s="182" t="b">
        <f>G353='[5]Pvt SP2D Pusdik'!B354</f>
        <v>1</v>
      </c>
      <c r="I353" s="182">
        <f>'[5]Pvt SP2D Pusdik'!C354</f>
        <v>4390000</v>
      </c>
      <c r="J353" s="182">
        <f t="shared" si="209"/>
        <v>7610000</v>
      </c>
      <c r="K353" s="182">
        <v>1500000</v>
      </c>
      <c r="L353" s="182">
        <f t="shared" ref="L353" si="212">SUM(L354:L357)</f>
        <v>0</v>
      </c>
      <c r="M353" s="182" t="e" cm="1">
        <f t="array" ref="M353">SUM(_xlfn._xlws.FILTER([6]!Draft_SPBY[Jumlah],[6]!Draft_SPBY[MAK4]=A353,0))</f>
        <v>#REF!</v>
      </c>
      <c r="N353" s="182" t="e">
        <f>L353-M353</f>
        <v>#REF!</v>
      </c>
      <c r="O353" s="252"/>
      <c r="P353" s="252"/>
      <c r="Q353" s="144"/>
    </row>
    <row r="354" spans="1:17" ht="13.2" x14ac:dyDescent="0.25">
      <c r="A354" s="163" t="s">
        <v>786</v>
      </c>
      <c r="B354" s="178"/>
      <c r="C354" s="179" t="s">
        <v>566</v>
      </c>
      <c r="D354" s="180">
        <v>8</v>
      </c>
      <c r="E354" s="180" t="s">
        <v>120</v>
      </c>
      <c r="F354" s="182">
        <v>1000000</v>
      </c>
      <c r="G354" s="182">
        <f>ROUNDDOWN(D354*F354,-3)</f>
        <v>8000000</v>
      </c>
      <c r="H354" s="182" t="b">
        <f>G354='[5]Pvt SP2D Pusdik'!B355</f>
        <v>1</v>
      </c>
      <c r="I354" s="182">
        <f>'[5]Pvt SP2D Pusdik'!C355</f>
        <v>2963000</v>
      </c>
      <c r="J354" s="182">
        <f t="shared" si="209"/>
        <v>5037000</v>
      </c>
      <c r="K354" s="182">
        <v>1000000</v>
      </c>
      <c r="L354" s="182"/>
      <c r="M354" s="182"/>
      <c r="N354" s="182"/>
      <c r="O354" s="252"/>
      <c r="P354" s="252"/>
      <c r="Q354" s="144"/>
    </row>
    <row r="355" spans="1:17" ht="13.2" hidden="1" x14ac:dyDescent="0.25">
      <c r="A355" s="163" t="s">
        <v>787</v>
      </c>
      <c r="B355" s="178"/>
      <c r="C355" s="179" t="s">
        <v>783</v>
      </c>
      <c r="D355" s="180">
        <v>40</v>
      </c>
      <c r="E355" s="180" t="s">
        <v>59</v>
      </c>
      <c r="F355" s="182">
        <v>250000</v>
      </c>
      <c r="G355" s="182">
        <f>ROUNDDOWN(D355*F355,-3)</f>
        <v>10000000</v>
      </c>
      <c r="H355" s="182" t="b">
        <f>G355='[5]Pvt SP2D Pusdik'!B356</f>
        <v>1</v>
      </c>
      <c r="I355" s="182">
        <f>'[5]Pvt SP2D Pusdik'!C356</f>
        <v>0</v>
      </c>
      <c r="J355" s="182">
        <f t="shared" si="209"/>
        <v>10000000</v>
      </c>
      <c r="K355" s="182"/>
      <c r="L355" s="182"/>
      <c r="M355" s="182"/>
      <c r="N355" s="182"/>
      <c r="O355" s="252"/>
      <c r="P355" s="252"/>
      <c r="Q355" s="144"/>
    </row>
    <row r="356" spans="1:17" ht="13.2" hidden="1" x14ac:dyDescent="0.25">
      <c r="A356" s="163" t="s">
        <v>333</v>
      </c>
      <c r="B356" s="184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/>
      <c r="M356" s="76"/>
      <c r="N356" s="76"/>
      <c r="O356" s="252"/>
      <c r="P356" s="252"/>
      <c r="Q356" s="144"/>
    </row>
    <row r="357" spans="1:17" ht="13.2" hidden="1" x14ac:dyDescent="0.25">
      <c r="A357" s="163" t="s">
        <v>334</v>
      </c>
      <c r="B357" s="178"/>
      <c r="C357" s="179" t="s">
        <v>627</v>
      </c>
      <c r="D357" s="180">
        <v>4</v>
      </c>
      <c r="E357" s="180" t="s">
        <v>120</v>
      </c>
      <c r="F357" s="182">
        <v>250000</v>
      </c>
      <c r="G357" s="182">
        <f>ROUNDDOWN(D357*F357,-3)</f>
        <v>1000000</v>
      </c>
      <c r="H357" s="182" t="b">
        <f>G357='[5]Pvt SP2D Pusdik'!B358</f>
        <v>1</v>
      </c>
      <c r="I357" s="182">
        <f>'[5]Pvt SP2D Pusdik'!C358</f>
        <v>0</v>
      </c>
      <c r="J357" s="182">
        <f>G357-I357</f>
        <v>1000000</v>
      </c>
      <c r="K357" s="182"/>
      <c r="L357" s="182"/>
      <c r="M357" s="182"/>
      <c r="N357" s="182"/>
      <c r="O357" s="252"/>
      <c r="P357" s="252"/>
      <c r="Q357" s="144"/>
    </row>
    <row r="358" spans="1:17" ht="13.2" hidden="1" x14ac:dyDescent="0.25">
      <c r="A358" s="163" t="s">
        <v>335</v>
      </c>
      <c r="B358" s="184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 t="shared" ref="L358" si="213">L359</f>
        <v>0</v>
      </c>
      <c r="M358" s="76" t="e" cm="1">
        <f t="array" ref="M358">SUM(_xlfn._xlws.FILTER([6]!Draft_SPBY[Jumlah],[6]!Draft_SPBY[MAK4]=A358,0))</f>
        <v>#REF!</v>
      </c>
      <c r="N358" s="76" t="e">
        <f>L358-M358</f>
        <v>#REF!</v>
      </c>
      <c r="O358" s="252"/>
      <c r="P358" s="252"/>
      <c r="Q358" s="144"/>
    </row>
    <row r="359" spans="1:17" ht="13.2" hidden="1" x14ac:dyDescent="0.25">
      <c r="A359" s="163" t="s">
        <v>336</v>
      </c>
      <c r="B359" s="178"/>
      <c r="C359" s="179" t="s">
        <v>567</v>
      </c>
      <c r="D359" s="180">
        <v>4</v>
      </c>
      <c r="E359" s="180" t="s">
        <v>33</v>
      </c>
      <c r="F359" s="182">
        <v>1000000</v>
      </c>
      <c r="G359" s="182">
        <f>ROUNDDOWN(D359*F359,-3)</f>
        <v>4000000</v>
      </c>
      <c r="H359" s="182" t="b">
        <f>G359='[5]Pvt SP2D Pusdik'!B360</f>
        <v>1</v>
      </c>
      <c r="I359" s="182">
        <f>'[5]Pvt SP2D Pusdik'!C360</f>
        <v>0</v>
      </c>
      <c r="J359" s="182">
        <f>G359-I359</f>
        <v>4000000</v>
      </c>
      <c r="K359" s="182"/>
      <c r="L359" s="182"/>
      <c r="M359" s="182"/>
      <c r="N359" s="182"/>
      <c r="O359" s="252"/>
      <c r="P359" s="252"/>
      <c r="Q359" s="144"/>
    </row>
    <row r="360" spans="1:17" ht="13.2" hidden="1" x14ac:dyDescent="0.25">
      <c r="A360" s="163" t="s">
        <v>337</v>
      </c>
      <c r="B360" s="241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 t="shared" ref="L360" si="214">SUM(L361,L366)</f>
        <v>0</v>
      </c>
      <c r="M360" s="115" t="e">
        <f t="shared" ref="M360:N360" si="215">SUM(M361,M366)</f>
        <v>#REF!</v>
      </c>
      <c r="N360" s="115" t="e">
        <f t="shared" si="215"/>
        <v>#REF!</v>
      </c>
      <c r="O360" s="252"/>
      <c r="P360" s="252"/>
      <c r="Q360" s="144"/>
    </row>
    <row r="361" spans="1:17" ht="13.2" hidden="1" x14ac:dyDescent="0.25">
      <c r="A361" s="163" t="s">
        <v>338</v>
      </c>
      <c r="B361" s="178"/>
      <c r="C361" s="179" t="s">
        <v>788</v>
      </c>
      <c r="D361" s="180">
        <v>12</v>
      </c>
      <c r="E361" s="180" t="s">
        <v>26</v>
      </c>
      <c r="F361" s="182">
        <v>6500000</v>
      </c>
      <c r="G361" s="182">
        <f>ROUNDDOWN(D361*F361,-3)</f>
        <v>78000000</v>
      </c>
      <c r="H361" s="182" t="b">
        <f>G361='[5]Pvt SP2D Pusdik'!B362</f>
        <v>1</v>
      </c>
      <c r="I361" s="182">
        <f>'[5]Pvt SP2D Pusdik'!C362</f>
        <v>37793440</v>
      </c>
      <c r="J361" s="182">
        <f>G361-I361</f>
        <v>40206560</v>
      </c>
      <c r="K361" s="182"/>
      <c r="L361" s="182">
        <f t="shared" ref="L361" si="216">SUM(L362:L365)</f>
        <v>0</v>
      </c>
      <c r="M361" s="182" t="e" cm="1">
        <f t="array" ref="M361">SUM(_xlfn._xlws.FILTER([6]!Draft_SPBY[Jumlah],[6]!Draft_SPBY[MAK4]=A361,0))</f>
        <v>#REF!</v>
      </c>
      <c r="N361" s="182" t="e">
        <f>L361-M361</f>
        <v>#REF!</v>
      </c>
      <c r="O361" s="252"/>
      <c r="P361" s="252"/>
      <c r="Q361" s="144"/>
    </row>
    <row r="362" spans="1:17" ht="13.2" x14ac:dyDescent="0.25">
      <c r="A362" s="163" t="s">
        <v>339</v>
      </c>
      <c r="B362" s="222" t="s">
        <v>91</v>
      </c>
      <c r="C362" s="223" t="s">
        <v>789</v>
      </c>
      <c r="D362" s="224"/>
      <c r="E362" s="224"/>
      <c r="F362" s="225"/>
      <c r="G362" s="225">
        <f>SUM(G363,G369,G371,G373)</f>
        <v>131699000</v>
      </c>
      <c r="H362" s="225" t="b">
        <f>G362='[5]Pvt SP2D Pusdik'!B363</f>
        <v>1</v>
      </c>
      <c r="I362" s="225">
        <f>'[5]Pvt SP2D Pusdik'!C363</f>
        <v>11831284</v>
      </c>
      <c r="J362" s="225">
        <f>SUM(J363,J369,J371,J373)</f>
        <v>119867716</v>
      </c>
      <c r="K362" s="225">
        <f>SUM(K363,K369,K371,K373)</f>
        <v>4000000</v>
      </c>
      <c r="L362" s="225"/>
      <c r="M362" s="225"/>
      <c r="N362" s="225"/>
      <c r="O362" s="252" t="s">
        <v>505</v>
      </c>
      <c r="P362" s="252" t="s">
        <v>506</v>
      </c>
      <c r="Q362" s="144"/>
    </row>
    <row r="363" spans="1:17" ht="13.2" x14ac:dyDescent="0.25">
      <c r="A363" s="163" t="s">
        <v>340</v>
      </c>
      <c r="B363" s="190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/>
      <c r="M363" s="79"/>
      <c r="N363" s="79"/>
      <c r="O363" s="252"/>
      <c r="P363" s="252"/>
      <c r="Q363" s="144"/>
    </row>
    <row r="364" spans="1:17" ht="13.2" hidden="1" x14ac:dyDescent="0.25">
      <c r="A364" s="163" t="s">
        <v>341</v>
      </c>
      <c r="B364" s="178"/>
      <c r="C364" s="179" t="s">
        <v>563</v>
      </c>
      <c r="D364" s="180">
        <v>200</v>
      </c>
      <c r="E364" s="180" t="s">
        <v>26</v>
      </c>
      <c r="F364" s="182">
        <v>75000</v>
      </c>
      <c r="G364" s="182">
        <f>ROUNDDOWN(D364*F364,-3)</f>
        <v>15000000</v>
      </c>
      <c r="H364" s="182" t="b">
        <f>G364='[5]Pvt SP2D Pusdik'!B365</f>
        <v>1</v>
      </c>
      <c r="I364" s="182">
        <f>'[5]Pvt SP2D Pusdik'!C365</f>
        <v>0</v>
      </c>
      <c r="J364" s="182">
        <f t="shared" ref="J364:J368" si="217">G364-I364</f>
        <v>15000000</v>
      </c>
      <c r="K364" s="182"/>
      <c r="L364" s="182"/>
      <c r="M364" s="182"/>
      <c r="N364" s="182"/>
      <c r="O364" s="252"/>
      <c r="P364" s="252"/>
      <c r="Q364" s="144"/>
    </row>
    <row r="365" spans="1:17" ht="13.2" x14ac:dyDescent="0.25">
      <c r="A365" s="163" t="s">
        <v>342</v>
      </c>
      <c r="B365" s="178"/>
      <c r="C365" s="179" t="s">
        <v>564</v>
      </c>
      <c r="D365" s="180">
        <v>8</v>
      </c>
      <c r="E365" s="180" t="s">
        <v>120</v>
      </c>
      <c r="F365" s="182">
        <v>1500000</v>
      </c>
      <c r="G365" s="182">
        <f>ROUNDDOWN(D365*F365,-3)</f>
        <v>12000000</v>
      </c>
      <c r="H365" s="182" t="b">
        <f>G365='[5]Pvt SP2D Pusdik'!B366</f>
        <v>1</v>
      </c>
      <c r="I365" s="182">
        <f>'[5]Pvt SP2D Pusdik'!C366</f>
        <v>4447200</v>
      </c>
      <c r="J365" s="182">
        <f t="shared" si="217"/>
        <v>7552800</v>
      </c>
      <c r="K365" s="182">
        <v>1500000</v>
      </c>
      <c r="L365" s="182"/>
      <c r="M365" s="182"/>
      <c r="N365" s="182"/>
      <c r="O365" s="252"/>
      <c r="P365" s="252"/>
      <c r="Q365" s="144"/>
    </row>
    <row r="366" spans="1:17" ht="13.2" x14ac:dyDescent="0.25">
      <c r="A366" s="163" t="s">
        <v>790</v>
      </c>
      <c r="B366" s="178"/>
      <c r="C366" s="179" t="s">
        <v>565</v>
      </c>
      <c r="D366" s="180">
        <v>8</v>
      </c>
      <c r="E366" s="180" t="s">
        <v>120</v>
      </c>
      <c r="F366" s="182">
        <v>1500000</v>
      </c>
      <c r="G366" s="182">
        <f>ROUNDDOWN(D366*F366,-3)</f>
        <v>12000000</v>
      </c>
      <c r="H366" s="182" t="b">
        <f>G366='[5]Pvt SP2D Pusdik'!B367</f>
        <v>1</v>
      </c>
      <c r="I366" s="182">
        <f>'[5]Pvt SP2D Pusdik'!C367</f>
        <v>4245000</v>
      </c>
      <c r="J366" s="182">
        <f t="shared" si="217"/>
        <v>7755000</v>
      </c>
      <c r="K366" s="182">
        <v>1500000</v>
      </c>
      <c r="L366" s="182">
        <f t="shared" ref="L366" si="218">L367</f>
        <v>0</v>
      </c>
      <c r="M366" s="182" t="e" cm="1">
        <f t="array" ref="M366">SUM(_xlfn._xlws.FILTER([6]!Draft_SPBY[Jumlah],[6]!Draft_SPBY[MAK4]=A366,0))</f>
        <v>#REF!</v>
      </c>
      <c r="N366" s="182" t="e">
        <f>L366-M366</f>
        <v>#REF!</v>
      </c>
      <c r="O366" s="252"/>
      <c r="P366" s="252"/>
      <c r="Q366" s="144"/>
    </row>
    <row r="367" spans="1:17" ht="13.2" x14ac:dyDescent="0.25">
      <c r="A367" s="163" t="s">
        <v>791</v>
      </c>
      <c r="B367" s="178"/>
      <c r="C367" s="179" t="s">
        <v>566</v>
      </c>
      <c r="D367" s="180">
        <v>8</v>
      </c>
      <c r="E367" s="180" t="s">
        <v>120</v>
      </c>
      <c r="F367" s="182">
        <v>1000000</v>
      </c>
      <c r="G367" s="182">
        <f>ROUNDDOWN(D367*F367,-3)</f>
        <v>8000000</v>
      </c>
      <c r="H367" s="182" t="b">
        <f>G367='[5]Pvt SP2D Pusdik'!B368</f>
        <v>1</v>
      </c>
      <c r="I367" s="182">
        <f>'[5]Pvt SP2D Pusdik'!C368</f>
        <v>1918000</v>
      </c>
      <c r="J367" s="182">
        <f t="shared" si="217"/>
        <v>6082000</v>
      </c>
      <c r="K367" s="182">
        <v>1000000</v>
      </c>
      <c r="L367" s="182"/>
      <c r="M367" s="182"/>
      <c r="N367" s="182"/>
      <c r="O367" s="252"/>
      <c r="P367" s="252"/>
      <c r="Q367" s="144"/>
    </row>
    <row r="368" spans="1:17" ht="13.2" hidden="1" x14ac:dyDescent="0.25">
      <c r="A368" s="163" t="s">
        <v>792</v>
      </c>
      <c r="B368" s="178"/>
      <c r="C368" s="179" t="s">
        <v>783</v>
      </c>
      <c r="D368" s="180">
        <v>20</v>
      </c>
      <c r="E368" s="180" t="s">
        <v>59</v>
      </c>
      <c r="F368" s="182">
        <v>250000</v>
      </c>
      <c r="G368" s="182">
        <f>ROUNDDOWN(D368*F368,-3)</f>
        <v>5000000</v>
      </c>
      <c r="H368" s="182" t="b">
        <f>G368='[5]Pvt SP2D Pusdik'!B369</f>
        <v>1</v>
      </c>
      <c r="I368" s="182">
        <f>'[5]Pvt SP2D Pusdik'!C369</f>
        <v>0</v>
      </c>
      <c r="J368" s="182">
        <f t="shared" si="217"/>
        <v>5000000</v>
      </c>
      <c r="K368" s="182"/>
      <c r="L368" s="182">
        <f t="shared" ref="L368" si="219">SUM(L369,L376,L378,L380)</f>
        <v>0</v>
      </c>
      <c r="M368" s="182" t="e">
        <f t="shared" ref="M368:N368" si="220">SUM(M369,M376,M378,M380)</f>
        <v>#REF!</v>
      </c>
      <c r="N368" s="182" t="e">
        <f t="shared" si="220"/>
        <v>#REF!</v>
      </c>
      <c r="O368" s="252"/>
      <c r="P368" s="252"/>
      <c r="Q368" s="144"/>
    </row>
    <row r="369" spans="1:17" ht="13.2" hidden="1" x14ac:dyDescent="0.25">
      <c r="A369" s="163" t="s">
        <v>793</v>
      </c>
      <c r="B369" s="241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 t="shared" ref="L369" si="221">SUM(L370:L375)</f>
        <v>0</v>
      </c>
      <c r="M369" s="115" t="e" cm="1">
        <f t="array" ref="M369">SUM(_xlfn._xlws.FILTER([6]!Draft_SPBY[Jumlah],[6]!Draft_SPBY[MAK4]=A369,0))</f>
        <v>#REF!</v>
      </c>
      <c r="N369" s="115" t="e">
        <f>L369-M369</f>
        <v>#REF!</v>
      </c>
      <c r="O369" s="252"/>
      <c r="P369" s="252"/>
      <c r="Q369" s="144"/>
    </row>
    <row r="370" spans="1:17" ht="13.2" hidden="1" x14ac:dyDescent="0.25">
      <c r="A370" s="163" t="s">
        <v>794</v>
      </c>
      <c r="B370" s="178"/>
      <c r="C370" s="179" t="s">
        <v>627</v>
      </c>
      <c r="D370" s="180">
        <v>4</v>
      </c>
      <c r="E370" s="180" t="s">
        <v>120</v>
      </c>
      <c r="F370" s="182">
        <v>250000</v>
      </c>
      <c r="G370" s="182">
        <f>ROUNDDOWN(D370*F370,-3)</f>
        <v>1000000</v>
      </c>
      <c r="H370" s="182" t="b">
        <f>G370='[5]Pvt SP2D Pusdik'!B371</f>
        <v>1</v>
      </c>
      <c r="I370" s="182">
        <f>'[5]Pvt SP2D Pusdik'!C371</f>
        <v>181084</v>
      </c>
      <c r="J370" s="182">
        <f>G370-I370</f>
        <v>818916</v>
      </c>
      <c r="K370" s="182"/>
      <c r="L370" s="182"/>
      <c r="M370" s="182"/>
      <c r="N370" s="182"/>
      <c r="O370" s="252"/>
      <c r="P370" s="252"/>
      <c r="Q370" s="144"/>
    </row>
    <row r="371" spans="1:17" ht="13.2" hidden="1" x14ac:dyDescent="0.25">
      <c r="A371" s="163" t="s">
        <v>795</v>
      </c>
      <c r="B371" s="214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/>
      <c r="M371" s="103"/>
      <c r="N371" s="103"/>
      <c r="O371" s="252"/>
      <c r="P371" s="252"/>
      <c r="Q371" s="144"/>
    </row>
    <row r="372" spans="1:17" ht="13.2" hidden="1" x14ac:dyDescent="0.25">
      <c r="A372" s="163" t="s">
        <v>796</v>
      </c>
      <c r="B372" s="178"/>
      <c r="C372" s="179" t="s">
        <v>567</v>
      </c>
      <c r="D372" s="180">
        <v>8</v>
      </c>
      <c r="E372" s="180" t="s">
        <v>33</v>
      </c>
      <c r="F372" s="182">
        <v>1000000</v>
      </c>
      <c r="G372" s="182">
        <f>ROUNDDOWN(D372*F372,-3)</f>
        <v>8000000</v>
      </c>
      <c r="H372" s="182" t="b">
        <f>G372='[5]Pvt SP2D Pusdik'!B373</f>
        <v>1</v>
      </c>
      <c r="I372" s="182">
        <f>'[5]Pvt SP2D Pusdik'!C373</f>
        <v>0</v>
      </c>
      <c r="J372" s="182">
        <f>G372-I372</f>
        <v>8000000</v>
      </c>
      <c r="K372" s="182"/>
      <c r="L372" s="182"/>
      <c r="M372" s="182"/>
      <c r="N372" s="182"/>
      <c r="O372" s="252"/>
      <c r="P372" s="252"/>
      <c r="Q372" s="144"/>
    </row>
    <row r="373" spans="1:17" ht="13.2" hidden="1" x14ac:dyDescent="0.25">
      <c r="A373" s="163" t="s">
        <v>343</v>
      </c>
      <c r="B373" s="177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/>
      <c r="M373" s="71"/>
      <c r="N373" s="71"/>
      <c r="O373" s="252"/>
      <c r="P373" s="252"/>
      <c r="Q373" s="144"/>
    </row>
    <row r="374" spans="1:17" ht="13.2" hidden="1" x14ac:dyDescent="0.25">
      <c r="A374" s="163" t="s">
        <v>344</v>
      </c>
      <c r="B374" s="178"/>
      <c r="C374" s="179" t="s">
        <v>797</v>
      </c>
      <c r="D374" s="180">
        <v>15</v>
      </c>
      <c r="E374" s="180" t="s">
        <v>26</v>
      </c>
      <c r="F374" s="182">
        <v>4713300</v>
      </c>
      <c r="G374" s="182">
        <f>ROUNDDOWN(D374*F374,-3)</f>
        <v>70699000</v>
      </c>
      <c r="H374" s="182" t="b">
        <f>G374='[5]Pvt SP2D Pusdik'!B375</f>
        <v>1</v>
      </c>
      <c r="I374" s="182">
        <f>'[5]Pvt SP2D Pusdik'!C375</f>
        <v>1040000</v>
      </c>
      <c r="J374" s="182">
        <f>G374-I374</f>
        <v>69659000</v>
      </c>
      <c r="K374" s="182"/>
      <c r="L374" s="182"/>
      <c r="M374" s="182"/>
      <c r="N374" s="182"/>
      <c r="O374" s="252"/>
      <c r="P374" s="252"/>
      <c r="Q374" s="144"/>
    </row>
    <row r="375" spans="1:17" ht="13.2" x14ac:dyDescent="0.25">
      <c r="A375" s="163" t="s">
        <v>345</v>
      </c>
      <c r="B375" s="185" t="s">
        <v>167</v>
      </c>
      <c r="C375" s="186" t="s">
        <v>798</v>
      </c>
      <c r="D375" s="187"/>
      <c r="E375" s="187"/>
      <c r="F375" s="188"/>
      <c r="G375" s="188">
        <f>SUM(G376,G381)</f>
        <v>126000000</v>
      </c>
      <c r="H375" s="188" t="b">
        <f>G375='[5]Pvt SP2D Pusdik'!B376</f>
        <v>1</v>
      </c>
      <c r="I375" s="188">
        <f>'[5]Pvt SP2D Pusdik'!C376</f>
        <v>10046550</v>
      </c>
      <c r="J375" s="188">
        <f>SUM(J376,J381)</f>
        <v>115953450</v>
      </c>
      <c r="K375" s="188">
        <f>SUM(K376,K381)</f>
        <v>4000000</v>
      </c>
      <c r="L375" s="188"/>
      <c r="M375" s="188"/>
      <c r="N375" s="188"/>
      <c r="O375" s="252" t="s">
        <v>505</v>
      </c>
      <c r="P375" s="252" t="s">
        <v>506</v>
      </c>
      <c r="Q375" s="144"/>
    </row>
    <row r="376" spans="1:17" ht="13.2" x14ac:dyDescent="0.25">
      <c r="A376" s="163" t="s">
        <v>799</v>
      </c>
      <c r="B376" s="184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 t="shared" ref="L376" si="222">L377</f>
        <v>0</v>
      </c>
      <c r="M376" s="76" t="e" cm="1">
        <f t="array" ref="M376">SUM(_xlfn._xlws.FILTER([6]!Draft_SPBY[Jumlah],[6]!Draft_SPBY[MAK4]=A376,0))</f>
        <v>#REF!</v>
      </c>
      <c r="N376" s="76" t="e">
        <f>L376-M376</f>
        <v>#REF!</v>
      </c>
      <c r="O376" s="252"/>
      <c r="P376" s="252"/>
      <c r="Q376" s="144"/>
    </row>
    <row r="377" spans="1:17" ht="13.2" hidden="1" x14ac:dyDescent="0.25">
      <c r="A377" s="163" t="s">
        <v>800</v>
      </c>
      <c r="B377" s="178"/>
      <c r="C377" s="179" t="s">
        <v>563</v>
      </c>
      <c r="D377" s="180">
        <v>230</v>
      </c>
      <c r="E377" s="180" t="s">
        <v>26</v>
      </c>
      <c r="F377" s="182">
        <v>75000</v>
      </c>
      <c r="G377" s="182">
        <f>ROUNDDOWN(D377*F377,-3)</f>
        <v>17250000</v>
      </c>
      <c r="H377" s="182" t="b">
        <f>G377='[5]Pvt SP2D Pusdik'!B378</f>
        <v>1</v>
      </c>
      <c r="I377" s="182">
        <f>'[5]Pvt SP2D Pusdik'!C378</f>
        <v>0</v>
      </c>
      <c r="J377" s="182">
        <f t="shared" ref="J377:J380" si="223">G377-I377</f>
        <v>17250000</v>
      </c>
      <c r="K377" s="182"/>
      <c r="L377" s="182"/>
      <c r="M377" s="182"/>
      <c r="N377" s="182"/>
      <c r="O377" s="252"/>
      <c r="P377" s="252"/>
      <c r="Q377" s="144"/>
    </row>
    <row r="378" spans="1:17" ht="13.2" x14ac:dyDescent="0.25">
      <c r="A378" s="163" t="s">
        <v>801</v>
      </c>
      <c r="B378" s="178"/>
      <c r="C378" s="179" t="s">
        <v>564</v>
      </c>
      <c r="D378" s="180">
        <v>8</v>
      </c>
      <c r="E378" s="180" t="s">
        <v>120</v>
      </c>
      <c r="F378" s="182">
        <v>1500000</v>
      </c>
      <c r="G378" s="182">
        <f>ROUNDDOWN(D378*F378,-3)</f>
        <v>12000000</v>
      </c>
      <c r="H378" s="182" t="b">
        <f>G378='[5]Pvt SP2D Pusdik'!B379</f>
        <v>1</v>
      </c>
      <c r="I378" s="182">
        <f>'[5]Pvt SP2D Pusdik'!C379</f>
        <v>2988550</v>
      </c>
      <c r="J378" s="182">
        <f t="shared" si="223"/>
        <v>9011450</v>
      </c>
      <c r="K378" s="182">
        <v>1500000</v>
      </c>
      <c r="L378" s="182">
        <f t="shared" ref="L378" si="224">L379</f>
        <v>0</v>
      </c>
      <c r="M378" s="182" t="e" cm="1">
        <f t="array" ref="M378">SUM(_xlfn._xlws.FILTER([6]!Draft_SPBY[Jumlah],[6]!Draft_SPBY[MAK4]=A378,0))</f>
        <v>#REF!</v>
      </c>
      <c r="N378" s="182" t="e">
        <f>L378-M378</f>
        <v>#REF!</v>
      </c>
      <c r="O378" s="252"/>
      <c r="P378" s="252"/>
      <c r="Q378" s="144"/>
    </row>
    <row r="379" spans="1:17" ht="13.2" x14ac:dyDescent="0.25">
      <c r="A379" s="163" t="s">
        <v>802</v>
      </c>
      <c r="B379" s="178"/>
      <c r="C379" s="179" t="s">
        <v>565</v>
      </c>
      <c r="D379" s="180">
        <v>8</v>
      </c>
      <c r="E379" s="180" t="s">
        <v>120</v>
      </c>
      <c r="F379" s="182">
        <v>1500000</v>
      </c>
      <c r="G379" s="182">
        <f>ROUNDDOWN(D379*F379,-3)</f>
        <v>12000000</v>
      </c>
      <c r="H379" s="182" t="b">
        <f>G379='[5]Pvt SP2D Pusdik'!B380</f>
        <v>1</v>
      </c>
      <c r="I379" s="182">
        <f>'[5]Pvt SP2D Pusdik'!C380</f>
        <v>4165000</v>
      </c>
      <c r="J379" s="182">
        <f t="shared" si="223"/>
        <v>7835000</v>
      </c>
      <c r="K379" s="182">
        <v>1500000</v>
      </c>
      <c r="L379" s="182"/>
      <c r="M379" s="182"/>
      <c r="N379" s="182"/>
      <c r="O379" s="252"/>
      <c r="P379" s="252"/>
      <c r="Q379" s="144"/>
    </row>
    <row r="380" spans="1:17" ht="13.2" x14ac:dyDescent="0.25">
      <c r="A380" s="163" t="s">
        <v>803</v>
      </c>
      <c r="B380" s="178"/>
      <c r="C380" s="179" t="s">
        <v>566</v>
      </c>
      <c r="D380" s="180">
        <v>8</v>
      </c>
      <c r="E380" s="180" t="s">
        <v>120</v>
      </c>
      <c r="F380" s="182">
        <v>1000000</v>
      </c>
      <c r="G380" s="182">
        <f>ROUNDDOWN(D380*F380,-3)</f>
        <v>8000000</v>
      </c>
      <c r="H380" s="182" t="b">
        <f>G380='[5]Pvt SP2D Pusdik'!B381</f>
        <v>1</v>
      </c>
      <c r="I380" s="182">
        <f>'[5]Pvt SP2D Pusdik'!C381</f>
        <v>2893000</v>
      </c>
      <c r="J380" s="182">
        <f t="shared" si="223"/>
        <v>5107000</v>
      </c>
      <c r="K380" s="182">
        <v>1000000</v>
      </c>
      <c r="L380" s="182">
        <f t="shared" ref="L380" si="225">SUM(L381:L383)</f>
        <v>0</v>
      </c>
      <c r="M380" s="182" t="e" cm="1">
        <f t="array" ref="M380">SUM(_xlfn._xlws.FILTER([6]!Draft_SPBY[Jumlah],[6]!Draft_SPBY[MAK4]=A380,0))</f>
        <v>#REF!</v>
      </c>
      <c r="N380" s="182" t="e">
        <f>L380-M380</f>
        <v>#REF!</v>
      </c>
      <c r="O380" s="252"/>
      <c r="P380" s="252"/>
      <c r="Q380" s="144"/>
    </row>
    <row r="381" spans="1:17" ht="13.2" hidden="1" x14ac:dyDescent="0.25">
      <c r="A381" s="163" t="s">
        <v>346</v>
      </c>
      <c r="B381" s="184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/>
      <c r="M381" s="76"/>
      <c r="N381" s="76"/>
      <c r="O381" s="252"/>
      <c r="P381" s="252"/>
      <c r="Q381" s="144"/>
    </row>
    <row r="382" spans="1:17" ht="13.2" hidden="1" x14ac:dyDescent="0.25">
      <c r="A382" s="163" t="s">
        <v>347</v>
      </c>
      <c r="B382" s="178"/>
      <c r="C382" s="179" t="s">
        <v>804</v>
      </c>
      <c r="D382" s="180">
        <v>20</v>
      </c>
      <c r="E382" s="180" t="s">
        <v>26</v>
      </c>
      <c r="F382" s="182">
        <v>3837500</v>
      </c>
      <c r="G382" s="182">
        <f>ROUNDDOWN(D382*F382,-3)</f>
        <v>76750000</v>
      </c>
      <c r="H382" s="182" t="b">
        <f>G382='[5]Pvt SP2D Pusdik'!B383</f>
        <v>1</v>
      </c>
      <c r="I382" s="182">
        <f>'[5]Pvt SP2D Pusdik'!C383</f>
        <v>0</v>
      </c>
      <c r="J382" s="182">
        <f>G382-I382</f>
        <v>76750000</v>
      </c>
      <c r="K382" s="182"/>
      <c r="L382" s="182"/>
      <c r="M382" s="182"/>
      <c r="N382" s="182"/>
      <c r="O382" s="252"/>
      <c r="P382" s="252"/>
      <c r="Q382" s="144"/>
    </row>
    <row r="383" spans="1:17" ht="13.2" x14ac:dyDescent="0.25">
      <c r="A383" s="163" t="s">
        <v>805</v>
      </c>
      <c r="B383" s="185" t="s">
        <v>177</v>
      </c>
      <c r="C383" s="186" t="s">
        <v>806</v>
      </c>
      <c r="D383" s="187"/>
      <c r="E383" s="187"/>
      <c r="F383" s="188"/>
      <c r="G383" s="188">
        <f>SUM(G384,G389)</f>
        <v>165187000</v>
      </c>
      <c r="H383" s="188" t="b">
        <f>G383='[5]Pvt SP2D Pusdik'!B384</f>
        <v>1</v>
      </c>
      <c r="I383" s="188">
        <f>'[5]Pvt SP2D Pusdik'!C384</f>
        <v>13106950</v>
      </c>
      <c r="J383" s="188">
        <f>SUM(J384,J389)</f>
        <v>152080050</v>
      </c>
      <c r="K383" s="188">
        <f>SUM(K384,K389)</f>
        <v>4000000</v>
      </c>
      <c r="L383" s="188"/>
      <c r="M383" s="188"/>
      <c r="N383" s="188"/>
      <c r="O383" s="252" t="s">
        <v>505</v>
      </c>
      <c r="P383" s="252" t="s">
        <v>506</v>
      </c>
      <c r="Q383" s="144"/>
    </row>
    <row r="384" spans="1:17" ht="13.2" x14ac:dyDescent="0.25">
      <c r="A384" s="163" t="s">
        <v>807</v>
      </c>
      <c r="B384" s="184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 t="shared" ref="L384" si="226">SUM(L385,L422)</f>
        <v>0</v>
      </c>
      <c r="M384" s="76" t="e">
        <f t="shared" ref="M384:N384" si="227">SUM(M385,M422)</f>
        <v>#REF!</v>
      </c>
      <c r="N384" s="76" t="e">
        <f t="shared" si="227"/>
        <v>#REF!</v>
      </c>
      <c r="O384" s="252"/>
      <c r="P384" s="252"/>
      <c r="Q384" s="144"/>
    </row>
    <row r="385" spans="1:17" ht="13.2" hidden="1" x14ac:dyDescent="0.25">
      <c r="A385" s="163" t="s">
        <v>808</v>
      </c>
      <c r="B385" s="178"/>
      <c r="C385" s="179" t="s">
        <v>563</v>
      </c>
      <c r="D385" s="180">
        <v>70</v>
      </c>
      <c r="E385" s="180" t="s">
        <v>26</v>
      </c>
      <c r="F385" s="182">
        <v>75000</v>
      </c>
      <c r="G385" s="182">
        <f>ROUNDDOWN(D385*F385,-3)</f>
        <v>5250000</v>
      </c>
      <c r="H385" s="182" t="b">
        <f>G385='[5]Pvt SP2D Pusdik'!B386</f>
        <v>1</v>
      </c>
      <c r="I385" s="182">
        <f>'[5]Pvt SP2D Pusdik'!C386</f>
        <v>0</v>
      </c>
      <c r="J385" s="182">
        <f t="shared" ref="J385:J388" si="228">G385-I385</f>
        <v>5250000</v>
      </c>
      <c r="K385" s="182"/>
      <c r="L385" s="182">
        <f t="shared" ref="L385" si="229">SUM(L386,L397,L411)</f>
        <v>0</v>
      </c>
      <c r="M385" s="182" t="e">
        <f t="shared" ref="M385:N385" si="230">SUM(M386,M397,M411)</f>
        <v>#REF!</v>
      </c>
      <c r="N385" s="182" t="e">
        <f t="shared" si="230"/>
        <v>#REF!</v>
      </c>
      <c r="O385" s="252"/>
      <c r="P385" s="252"/>
      <c r="Q385" s="144"/>
    </row>
    <row r="386" spans="1:17" ht="13.2" x14ac:dyDescent="0.25">
      <c r="A386" s="163" t="s">
        <v>809</v>
      </c>
      <c r="B386" s="178"/>
      <c r="C386" s="179" t="s">
        <v>564</v>
      </c>
      <c r="D386" s="180">
        <v>6</v>
      </c>
      <c r="E386" s="180" t="s">
        <v>120</v>
      </c>
      <c r="F386" s="182">
        <v>1500000</v>
      </c>
      <c r="G386" s="182">
        <f>ROUNDDOWN(D386*F386,-3)</f>
        <v>9000000</v>
      </c>
      <c r="H386" s="182" t="b">
        <f>G386='[5]Pvt SP2D Pusdik'!B387</f>
        <v>1</v>
      </c>
      <c r="I386" s="182">
        <f>'[5]Pvt SP2D Pusdik'!C387</f>
        <v>2968950</v>
      </c>
      <c r="J386" s="182">
        <f t="shared" si="228"/>
        <v>6031050</v>
      </c>
      <c r="K386" s="182">
        <v>1500000</v>
      </c>
      <c r="L386" s="182">
        <f t="shared" ref="L386" si="231">SUM(L387,L393,L395)</f>
        <v>0</v>
      </c>
      <c r="M386" s="182" t="e">
        <f t="shared" ref="M386:N386" si="232">SUM(M387,M393,M395)</f>
        <v>#REF!</v>
      </c>
      <c r="N386" s="182" t="e">
        <f t="shared" si="232"/>
        <v>#REF!</v>
      </c>
      <c r="O386" s="252"/>
      <c r="P386" s="252"/>
      <c r="Q386" s="144"/>
    </row>
    <row r="387" spans="1:17" ht="13.2" x14ac:dyDescent="0.25">
      <c r="A387" s="163" t="s">
        <v>810</v>
      </c>
      <c r="B387" s="178"/>
      <c r="C387" s="179" t="s">
        <v>565</v>
      </c>
      <c r="D387" s="180">
        <v>6</v>
      </c>
      <c r="E387" s="180" t="s">
        <v>120</v>
      </c>
      <c r="F387" s="182">
        <v>1500000</v>
      </c>
      <c r="G387" s="182">
        <f>ROUNDDOWN(D387*F387,-3)</f>
        <v>9000000</v>
      </c>
      <c r="H387" s="182" t="b">
        <f>G387='[5]Pvt SP2D Pusdik'!B388</f>
        <v>1</v>
      </c>
      <c r="I387" s="182">
        <f>'[5]Pvt SP2D Pusdik'!C388</f>
        <v>4110000</v>
      </c>
      <c r="J387" s="182">
        <f t="shared" si="228"/>
        <v>4890000</v>
      </c>
      <c r="K387" s="182">
        <v>1500000</v>
      </c>
      <c r="L387" s="182">
        <f t="shared" ref="L387" si="233">SUM(L388:L392)</f>
        <v>0</v>
      </c>
      <c r="M387" s="182" t="e" cm="1">
        <f t="array" ref="M387">SUM(_xlfn._xlws.FILTER([6]!Draft_SPBY[Jumlah],[6]!Draft_SPBY[MAK4]=A387,0))</f>
        <v>#REF!</v>
      </c>
      <c r="N387" s="182" t="e">
        <f>L387-M387</f>
        <v>#REF!</v>
      </c>
      <c r="O387" s="252"/>
      <c r="P387" s="252"/>
      <c r="Q387" s="144"/>
    </row>
    <row r="388" spans="1:17" ht="13.2" x14ac:dyDescent="0.25">
      <c r="A388" s="163" t="s">
        <v>811</v>
      </c>
      <c r="B388" s="178"/>
      <c r="C388" s="179" t="s">
        <v>566</v>
      </c>
      <c r="D388" s="180">
        <v>6</v>
      </c>
      <c r="E388" s="180" t="s">
        <v>120</v>
      </c>
      <c r="F388" s="182">
        <v>1000000</v>
      </c>
      <c r="G388" s="182">
        <f>ROUNDDOWN(D388*F388,-3)</f>
        <v>6000000</v>
      </c>
      <c r="H388" s="182" t="b">
        <f>G388='[5]Pvt SP2D Pusdik'!B389</f>
        <v>1</v>
      </c>
      <c r="I388" s="182">
        <f>'[5]Pvt SP2D Pusdik'!C389</f>
        <v>2895000</v>
      </c>
      <c r="J388" s="182">
        <f t="shared" si="228"/>
        <v>3105000</v>
      </c>
      <c r="K388" s="182">
        <v>1000000</v>
      </c>
      <c r="L388" s="182"/>
      <c r="M388" s="182"/>
      <c r="N388" s="182"/>
      <c r="O388" s="252"/>
      <c r="P388" s="252"/>
      <c r="Q388" s="144"/>
    </row>
    <row r="389" spans="1:17" ht="13.2" hidden="1" x14ac:dyDescent="0.25">
      <c r="A389" s="163" t="s">
        <v>812</v>
      </c>
      <c r="B389" s="184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3133000</v>
      </c>
      <c r="J389" s="76">
        <f>J390</f>
        <v>132804000</v>
      </c>
      <c r="K389" s="76">
        <f>K390</f>
        <v>0</v>
      </c>
      <c r="L389" s="76"/>
      <c r="M389" s="76"/>
      <c r="N389" s="76"/>
      <c r="O389" s="252"/>
      <c r="P389" s="252"/>
      <c r="Q389" s="144"/>
    </row>
    <row r="390" spans="1:17" ht="13.2" hidden="1" x14ac:dyDescent="0.25">
      <c r="A390" s="163" t="s">
        <v>813</v>
      </c>
      <c r="B390" s="178"/>
      <c r="C390" s="179" t="s">
        <v>814</v>
      </c>
      <c r="D390" s="180">
        <v>25</v>
      </c>
      <c r="E390" s="180" t="s">
        <v>26</v>
      </c>
      <c r="F390" s="182">
        <v>5437480</v>
      </c>
      <c r="G390" s="182">
        <f>ROUNDDOWN(D390*F390,-3)</f>
        <v>135937000</v>
      </c>
      <c r="H390" s="182" t="b">
        <f>G390='[5]Pvt SP2D Pusdik'!B391</f>
        <v>1</v>
      </c>
      <c r="I390" s="182">
        <f>'[5]Pvt SP2D Pusdik'!C391</f>
        <v>3133000</v>
      </c>
      <c r="J390" s="182">
        <f>G390-I390</f>
        <v>132804000</v>
      </c>
      <c r="K390" s="182"/>
      <c r="L390" s="182"/>
      <c r="M390" s="182"/>
      <c r="N390" s="182"/>
      <c r="O390" s="252"/>
      <c r="P390" s="252"/>
      <c r="Q390" s="144"/>
    </row>
    <row r="391" spans="1:17" ht="13.2" hidden="1" x14ac:dyDescent="0.25">
      <c r="A391" s="163" t="s">
        <v>815</v>
      </c>
      <c r="B391" s="185" t="s">
        <v>191</v>
      </c>
      <c r="C391" s="186" t="s">
        <v>995</v>
      </c>
      <c r="D391" s="187"/>
      <c r="E391" s="187"/>
      <c r="F391" s="188"/>
      <c r="G391" s="188">
        <f>SUM(G392,G399,G401,G403)</f>
        <v>623614000</v>
      </c>
      <c r="H391" s="188" t="b">
        <f>G391='[5]Pvt SP2D Pusdik'!B392</f>
        <v>1</v>
      </c>
      <c r="I391" s="188">
        <f>'[5]Pvt SP2D Pusdik'!C392</f>
        <v>377322946</v>
      </c>
      <c r="J391" s="188">
        <f>SUM(J392,J399,J401,J403)</f>
        <v>246291054</v>
      </c>
      <c r="K391" s="188">
        <f>SUM(K392,K399,K401,K403)</f>
        <v>0</v>
      </c>
      <c r="L391" s="188"/>
      <c r="M391" s="188"/>
      <c r="N391" s="188"/>
      <c r="O391" s="252" t="s">
        <v>505</v>
      </c>
      <c r="P391" s="252" t="s">
        <v>506</v>
      </c>
      <c r="Q391" s="144"/>
    </row>
    <row r="392" spans="1:17" ht="13.2" hidden="1" x14ac:dyDescent="0.25">
      <c r="A392" s="163" t="s">
        <v>816</v>
      </c>
      <c r="B392" s="184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/>
      <c r="M392" s="76"/>
      <c r="N392" s="76"/>
      <c r="O392" s="252"/>
      <c r="P392" s="252"/>
      <c r="Q392" s="144"/>
    </row>
    <row r="393" spans="1:17" ht="13.2" hidden="1" x14ac:dyDescent="0.25">
      <c r="A393" s="163" t="s">
        <v>817</v>
      </c>
      <c r="B393" s="178"/>
      <c r="C393" s="179" t="s">
        <v>563</v>
      </c>
      <c r="D393" s="180">
        <v>300</v>
      </c>
      <c r="E393" s="180" t="s">
        <v>26</v>
      </c>
      <c r="F393" s="182">
        <v>75000</v>
      </c>
      <c r="G393" s="182">
        <f t="shared" ref="G393:G398" si="234">ROUNDDOWN(D393*F393,-3)</f>
        <v>22500000</v>
      </c>
      <c r="H393" s="182" t="b">
        <f>G393='[5]Pvt SP2D Pusdik'!B394</f>
        <v>1</v>
      </c>
      <c r="I393" s="182">
        <f>'[5]Pvt SP2D Pusdik'!C394</f>
        <v>18540000</v>
      </c>
      <c r="J393" s="182">
        <f t="shared" ref="J393:J398" si="235">G393-I393</f>
        <v>3960000</v>
      </c>
      <c r="K393" s="182"/>
      <c r="L393" s="182">
        <f t="shared" ref="L393" si="236">L394</f>
        <v>0</v>
      </c>
      <c r="M393" s="182" t="e" cm="1">
        <f t="array" ref="M393">SUM(_xlfn._xlws.FILTER([6]!Draft_SPBY[Jumlah],[6]!Draft_SPBY[MAK4]=A393,0))</f>
        <v>#REF!</v>
      </c>
      <c r="N393" s="182" t="e">
        <f>L393-M393</f>
        <v>#REF!</v>
      </c>
      <c r="O393" s="252"/>
      <c r="P393" s="252"/>
      <c r="Q393" s="144"/>
    </row>
    <row r="394" spans="1:17" ht="13.2" hidden="1" x14ac:dyDescent="0.25">
      <c r="A394" s="163" t="s">
        <v>818</v>
      </c>
      <c r="B394" s="178"/>
      <c r="C394" s="179" t="s">
        <v>564</v>
      </c>
      <c r="D394" s="180">
        <v>2</v>
      </c>
      <c r="E394" s="180" t="s">
        <v>120</v>
      </c>
      <c r="F394" s="182">
        <v>1500000</v>
      </c>
      <c r="G394" s="182">
        <f t="shared" si="234"/>
        <v>3000000</v>
      </c>
      <c r="H394" s="182" t="b">
        <f>G394='[5]Pvt SP2D Pusdik'!B395</f>
        <v>1</v>
      </c>
      <c r="I394" s="182">
        <f>'[5]Pvt SP2D Pusdik'!C395</f>
        <v>2899200</v>
      </c>
      <c r="J394" s="182">
        <f t="shared" si="235"/>
        <v>100800</v>
      </c>
      <c r="K394" s="182"/>
      <c r="L394" s="182"/>
      <c r="M394" s="182"/>
      <c r="N394" s="182"/>
      <c r="O394" s="252"/>
      <c r="P394" s="252"/>
      <c r="Q394" s="144"/>
    </row>
    <row r="395" spans="1:17" ht="13.2" hidden="1" x14ac:dyDescent="0.25">
      <c r="A395" s="163" t="s">
        <v>819</v>
      </c>
      <c r="B395" s="178"/>
      <c r="C395" s="179" t="s">
        <v>565</v>
      </c>
      <c r="D395" s="180">
        <v>2</v>
      </c>
      <c r="E395" s="180" t="s">
        <v>120</v>
      </c>
      <c r="F395" s="182">
        <v>1500000</v>
      </c>
      <c r="G395" s="182">
        <f t="shared" si="234"/>
        <v>3000000</v>
      </c>
      <c r="H395" s="182" t="b">
        <f>G395='[5]Pvt SP2D Pusdik'!B396</f>
        <v>1</v>
      </c>
      <c r="I395" s="182">
        <f>'[5]Pvt SP2D Pusdik'!C396</f>
        <v>2965000</v>
      </c>
      <c r="J395" s="182">
        <f t="shared" si="235"/>
        <v>35000</v>
      </c>
      <c r="K395" s="182"/>
      <c r="L395" s="182">
        <f t="shared" ref="L395" si="237">L396</f>
        <v>0</v>
      </c>
      <c r="M395" s="182" t="e" cm="1">
        <f t="array" ref="M395">SUM(_xlfn._xlws.FILTER([6]!Draft_SPBY[Jumlah],[6]!Draft_SPBY[MAK4]=A395,0))</f>
        <v>#REF!</v>
      </c>
      <c r="N395" s="182" t="e">
        <f>L395-M395</f>
        <v>#REF!</v>
      </c>
      <c r="O395" s="252"/>
      <c r="P395" s="252"/>
      <c r="Q395" s="144"/>
    </row>
    <row r="396" spans="1:17" ht="13.2" hidden="1" x14ac:dyDescent="0.25">
      <c r="A396" s="163" t="s">
        <v>820</v>
      </c>
      <c r="B396" s="178"/>
      <c r="C396" s="179" t="s">
        <v>566</v>
      </c>
      <c r="D396" s="180">
        <v>2</v>
      </c>
      <c r="E396" s="180" t="s">
        <v>120</v>
      </c>
      <c r="F396" s="182">
        <v>1000000</v>
      </c>
      <c r="G396" s="182">
        <f t="shared" si="234"/>
        <v>2000000</v>
      </c>
      <c r="H396" s="182" t="b">
        <f>G396='[5]Pvt SP2D Pusdik'!B397</f>
        <v>1</v>
      </c>
      <c r="I396" s="182">
        <f>'[5]Pvt SP2D Pusdik'!C397</f>
        <v>1950000</v>
      </c>
      <c r="J396" s="182">
        <f t="shared" si="235"/>
        <v>50000</v>
      </c>
      <c r="K396" s="182"/>
      <c r="L396" s="182"/>
      <c r="M396" s="182"/>
      <c r="N396" s="182"/>
      <c r="O396" s="252"/>
      <c r="P396" s="252"/>
      <c r="Q396" s="144"/>
    </row>
    <row r="397" spans="1:17" ht="13.2" hidden="1" x14ac:dyDescent="0.25">
      <c r="A397" s="163" t="s">
        <v>821</v>
      </c>
      <c r="B397" s="178"/>
      <c r="C397" s="179" t="s">
        <v>822</v>
      </c>
      <c r="D397" s="180">
        <v>20</v>
      </c>
      <c r="E397" s="180" t="s">
        <v>59</v>
      </c>
      <c r="F397" s="182">
        <v>255000</v>
      </c>
      <c r="G397" s="182">
        <f t="shared" si="234"/>
        <v>5100000</v>
      </c>
      <c r="H397" s="182" t="b">
        <f>G397='[5]Pvt SP2D Pusdik'!B398</f>
        <v>1</v>
      </c>
      <c r="I397" s="182">
        <f>'[5]Pvt SP2D Pusdik'!C398</f>
        <v>0</v>
      </c>
      <c r="J397" s="182">
        <f t="shared" si="235"/>
        <v>5100000</v>
      </c>
      <c r="K397" s="182"/>
      <c r="L397" s="182">
        <f t="shared" ref="L397" si="238">SUM(L398,L404,L407,L409)</f>
        <v>0</v>
      </c>
      <c r="M397" s="182" t="e">
        <f t="shared" ref="M397:N397" si="239">SUM(M398,M404,M407,M409)</f>
        <v>#REF!</v>
      </c>
      <c r="N397" s="182" t="e">
        <f t="shared" si="239"/>
        <v>#REF!</v>
      </c>
      <c r="O397" s="252"/>
      <c r="P397" s="252"/>
      <c r="Q397" s="144"/>
    </row>
    <row r="398" spans="1:17" ht="13.2" hidden="1" x14ac:dyDescent="0.25">
      <c r="A398" s="163" t="s">
        <v>823</v>
      </c>
      <c r="B398" s="178"/>
      <c r="C398" s="179" t="s">
        <v>824</v>
      </c>
      <c r="D398" s="180">
        <v>120</v>
      </c>
      <c r="E398" s="180" t="s">
        <v>26</v>
      </c>
      <c r="F398" s="182">
        <v>311250</v>
      </c>
      <c r="G398" s="182">
        <f t="shared" si="234"/>
        <v>37350000</v>
      </c>
      <c r="H398" s="182" t="b">
        <f>G398='[5]Pvt SP2D Pusdik'!B399</f>
        <v>1</v>
      </c>
      <c r="I398" s="182">
        <f>'[5]Pvt SP2D Pusdik'!C399</f>
        <v>33600000</v>
      </c>
      <c r="J398" s="182">
        <f t="shared" si="235"/>
        <v>3750000</v>
      </c>
      <c r="K398" s="182"/>
      <c r="L398" s="182">
        <f t="shared" ref="L398" si="240">SUM(L399:L403)</f>
        <v>0</v>
      </c>
      <c r="M398" s="182" t="e" cm="1">
        <f t="array" ref="M398">SUM(_xlfn._xlws.FILTER([6]!Draft_SPBY[Jumlah],[6]!Draft_SPBY[MAK4]=A398,0))</f>
        <v>#REF!</v>
      </c>
      <c r="N398" s="182" t="e">
        <f>L398-M398</f>
        <v>#REF!</v>
      </c>
      <c r="O398" s="252"/>
      <c r="P398" s="252"/>
      <c r="Q398" s="144"/>
    </row>
    <row r="399" spans="1:17" ht="13.2" hidden="1" x14ac:dyDescent="0.25">
      <c r="A399" s="163" t="s">
        <v>825</v>
      </c>
      <c r="B399" s="177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/>
      <c r="M399" s="71"/>
      <c r="N399" s="71"/>
      <c r="O399" s="252"/>
      <c r="P399" s="252"/>
      <c r="Q399" s="144"/>
    </row>
    <row r="400" spans="1:17" ht="13.2" hidden="1" x14ac:dyDescent="0.25">
      <c r="A400" s="163" t="s">
        <v>826</v>
      </c>
      <c r="B400" s="178"/>
      <c r="C400" s="179" t="s">
        <v>567</v>
      </c>
      <c r="D400" s="180">
        <v>16</v>
      </c>
      <c r="E400" s="180" t="s">
        <v>33</v>
      </c>
      <c r="F400" s="182">
        <v>1000000</v>
      </c>
      <c r="G400" s="182">
        <f>ROUNDDOWN(D400*F400,-3)</f>
        <v>16000000</v>
      </c>
      <c r="H400" s="182" t="b">
        <f>G400='[5]Pvt SP2D Pusdik'!B401</f>
        <v>1</v>
      </c>
      <c r="I400" s="182">
        <f>'[5]Pvt SP2D Pusdik'!C401</f>
        <v>6000000</v>
      </c>
      <c r="J400" s="182">
        <f>G400-I400</f>
        <v>10000000</v>
      </c>
      <c r="K400" s="182"/>
      <c r="L400" s="182"/>
      <c r="M400" s="182"/>
      <c r="N400" s="182"/>
      <c r="O400" s="252"/>
      <c r="P400" s="252"/>
      <c r="Q400" s="144"/>
    </row>
    <row r="401" spans="1:17" ht="13.2" hidden="1" x14ac:dyDescent="0.25">
      <c r="A401" s="163" t="s">
        <v>827</v>
      </c>
      <c r="B401" s="184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64517746</v>
      </c>
      <c r="J401" s="76">
        <f>J402</f>
        <v>25482254</v>
      </c>
      <c r="K401" s="76">
        <f>K402</f>
        <v>0</v>
      </c>
      <c r="L401" s="76"/>
      <c r="M401" s="76"/>
      <c r="N401" s="76"/>
      <c r="O401" s="252"/>
      <c r="P401" s="252"/>
      <c r="Q401" s="144"/>
    </row>
    <row r="402" spans="1:17" ht="14.4" hidden="1" x14ac:dyDescent="0.3">
      <c r="A402" s="163" t="s">
        <v>828</v>
      </c>
      <c r="B402" s="178"/>
      <c r="C402" s="179" t="s">
        <v>996</v>
      </c>
      <c r="D402" s="242">
        <v>12</v>
      </c>
      <c r="E402" s="242" t="s">
        <v>26</v>
      </c>
      <c r="F402" s="243">
        <v>7500000</v>
      </c>
      <c r="G402" s="182">
        <f>ROUNDDOWN(D402*F402,-3)</f>
        <v>90000000</v>
      </c>
      <c r="H402" s="182" t="b">
        <f>G402='[5]Pvt SP2D Pusdik'!B403</f>
        <v>1</v>
      </c>
      <c r="I402" s="182">
        <f>'[5]Pvt SP2D Pusdik'!C403</f>
        <v>64517746</v>
      </c>
      <c r="J402" s="182">
        <f>G402-I402</f>
        <v>25482254</v>
      </c>
      <c r="K402" s="182"/>
      <c r="L402" s="182"/>
      <c r="M402" s="182"/>
      <c r="N402" s="182"/>
      <c r="O402" s="252"/>
      <c r="P402" s="252"/>
      <c r="Q402" s="144"/>
    </row>
    <row r="403" spans="1:17" ht="13.2" hidden="1" x14ac:dyDescent="0.25">
      <c r="A403" s="163" t="s">
        <v>829</v>
      </c>
      <c r="B403" s="184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/>
      <c r="M403" s="76"/>
      <c r="N403" s="76"/>
      <c r="O403" s="252"/>
      <c r="P403" s="252"/>
      <c r="Q403" s="144"/>
    </row>
    <row r="404" spans="1:17" ht="13.2" hidden="1" x14ac:dyDescent="0.25">
      <c r="A404" s="163" t="s">
        <v>830</v>
      </c>
      <c r="B404" s="178"/>
      <c r="C404" s="179" t="s">
        <v>997</v>
      </c>
      <c r="D404" s="180">
        <v>240</v>
      </c>
      <c r="E404" s="180" t="s">
        <v>477</v>
      </c>
      <c r="F404" s="182">
        <v>933000</v>
      </c>
      <c r="G404" s="182">
        <f>ROUNDDOWN(D404*F404,-3)</f>
        <v>223920000</v>
      </c>
      <c r="H404" s="182" t="b">
        <f>G404='[5]Pvt SP2D Pusdik'!B405</f>
        <v>1</v>
      </c>
      <c r="I404" s="182">
        <f>'[5]Pvt SP2D Pusdik'!C405</f>
        <v>148140000</v>
      </c>
      <c r="J404" s="182">
        <f t="shared" ref="J404:J405" si="241">G404-I404</f>
        <v>75780000</v>
      </c>
      <c r="K404" s="182"/>
      <c r="L404" s="182">
        <f t="shared" ref="L404" si="242">SUM(L405:L406)</f>
        <v>0</v>
      </c>
      <c r="M404" s="182" t="e" cm="1">
        <f t="array" ref="M404">SUM(_xlfn._xlws.FILTER([6]!Draft_SPBY[Jumlah],[6]!Draft_SPBY[MAK4]=A404,0))</f>
        <v>#REF!</v>
      </c>
      <c r="N404" s="182" t="e">
        <f>L404-M404</f>
        <v>#REF!</v>
      </c>
      <c r="O404" s="252"/>
      <c r="P404" s="252"/>
      <c r="Q404" s="144"/>
    </row>
    <row r="405" spans="1:17" ht="13.2" hidden="1" x14ac:dyDescent="0.25">
      <c r="A405" s="163" t="s">
        <v>831</v>
      </c>
      <c r="B405" s="178"/>
      <c r="C405" s="179" t="s">
        <v>998</v>
      </c>
      <c r="D405" s="180">
        <v>35</v>
      </c>
      <c r="E405" s="180" t="s">
        <v>26</v>
      </c>
      <c r="F405" s="182">
        <v>6306971.4285714282</v>
      </c>
      <c r="G405" s="182">
        <f>ROUNDDOWN(D405*F405,-3)</f>
        <v>220744000</v>
      </c>
      <c r="H405" s="182" t="b">
        <f>G405='[5]Pvt SP2D Pusdik'!B406</f>
        <v>1</v>
      </c>
      <c r="I405" s="182">
        <f>'[5]Pvt SP2D Pusdik'!C406</f>
        <v>98711000</v>
      </c>
      <c r="J405" s="182">
        <f t="shared" si="241"/>
        <v>122033000</v>
      </c>
      <c r="K405" s="182"/>
      <c r="L405" s="182"/>
      <c r="M405" s="182"/>
      <c r="N405" s="182"/>
      <c r="O405" s="252"/>
      <c r="P405" s="252"/>
      <c r="Q405" s="144"/>
    </row>
    <row r="406" spans="1:17" ht="13.2" x14ac:dyDescent="0.25">
      <c r="A406" s="163" t="s">
        <v>348</v>
      </c>
      <c r="B406" s="168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153184257</v>
      </c>
      <c r="J406" s="65">
        <f>SUM(J407,J444)</f>
        <v>597979743</v>
      </c>
      <c r="K406" s="65">
        <f>SUM(K407,K444)</f>
        <v>40600000</v>
      </c>
      <c r="L406" s="65"/>
      <c r="M406" s="65"/>
      <c r="N406" s="65"/>
      <c r="O406" s="252"/>
      <c r="P406" s="252"/>
      <c r="Q406" s="144"/>
    </row>
    <row r="407" spans="1:17" ht="13.2" x14ac:dyDescent="0.25">
      <c r="A407" s="163" t="s">
        <v>351</v>
      </c>
      <c r="B407" s="169" t="s">
        <v>611</v>
      </c>
      <c r="C407" s="170" t="s">
        <v>352</v>
      </c>
      <c r="D407" s="171"/>
      <c r="E407" s="171" t="s">
        <v>562</v>
      </c>
      <c r="F407" s="172"/>
      <c r="G407" s="172">
        <f>SUM(G408,G419,G433)</f>
        <v>646853000</v>
      </c>
      <c r="H407" s="172" t="b">
        <f>G407='[5]Pvt SP2D Pusdik'!B408</f>
        <v>1</v>
      </c>
      <c r="I407" s="172">
        <f>'[5]Pvt SP2D Pusdik'!C408</f>
        <v>117218557</v>
      </c>
      <c r="J407" s="172">
        <f>SUM(J408,J419,J433)</f>
        <v>529634443</v>
      </c>
      <c r="K407" s="172">
        <f>SUM(K408,K419,K433)</f>
        <v>29930000</v>
      </c>
      <c r="L407" s="172">
        <f t="shared" ref="L407" si="243">L408</f>
        <v>0</v>
      </c>
      <c r="M407" s="172" t="e" cm="1">
        <f t="array" ref="M407">SUM(_xlfn._xlws.FILTER([6]!Draft_SPBY[Jumlah],[6]!Draft_SPBY[MAK4]=A407,0))</f>
        <v>#REF!</v>
      </c>
      <c r="N407" s="172" t="e">
        <f>L407-M407</f>
        <v>#REF!</v>
      </c>
      <c r="O407" s="252"/>
      <c r="P407" s="252"/>
      <c r="Q407" s="144"/>
    </row>
    <row r="408" spans="1:17" ht="13.2" x14ac:dyDescent="0.25">
      <c r="A408" s="163" t="s">
        <v>353</v>
      </c>
      <c r="B408" s="173" t="s">
        <v>21</v>
      </c>
      <c r="C408" s="174" t="s">
        <v>832</v>
      </c>
      <c r="D408" s="175"/>
      <c r="E408" s="175"/>
      <c r="F408" s="176"/>
      <c r="G408" s="176">
        <f>SUM(G409,G415,G417)</f>
        <v>150075000</v>
      </c>
      <c r="H408" s="176" t="b">
        <f>G408='[5]Pvt SP2D Pusdik'!B409</f>
        <v>1</v>
      </c>
      <c r="I408" s="176">
        <f>'[5]Pvt SP2D Pusdik'!C409</f>
        <v>57222125</v>
      </c>
      <c r="J408" s="176">
        <f>SUM(J409,J415,J417)</f>
        <v>92852875</v>
      </c>
      <c r="K408" s="176">
        <f>SUM(K409,K415,K417)</f>
        <v>10850000</v>
      </c>
      <c r="L408" s="176"/>
      <c r="M408" s="176"/>
      <c r="N408" s="176"/>
      <c r="O408" s="252" t="s">
        <v>505</v>
      </c>
      <c r="P408" s="252" t="s">
        <v>507</v>
      </c>
      <c r="Q408" s="144"/>
    </row>
    <row r="409" spans="1:17" ht="13.2" x14ac:dyDescent="0.25">
      <c r="A409" s="163" t="s">
        <v>354</v>
      </c>
      <c r="B409" s="177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 t="shared" ref="L409" si="244">L410</f>
        <v>0</v>
      </c>
      <c r="M409" s="71" t="e" cm="1">
        <f t="array" ref="M409">SUM(_xlfn._xlws.FILTER([6]!Draft_SPBY[Jumlah],[6]!Draft_SPBY[MAK4]=A409,0))</f>
        <v>#REF!</v>
      </c>
      <c r="N409" s="71" t="e">
        <f>L409-M409</f>
        <v>#REF!</v>
      </c>
      <c r="O409" s="252"/>
      <c r="P409" s="252"/>
      <c r="Q409" s="144"/>
    </row>
    <row r="410" spans="1:17" ht="13.2" x14ac:dyDescent="0.25">
      <c r="A410" s="163" t="s">
        <v>355</v>
      </c>
      <c r="B410" s="178"/>
      <c r="C410" s="179" t="s">
        <v>563</v>
      </c>
      <c r="D410" s="180">
        <v>280</v>
      </c>
      <c r="E410" s="180" t="s">
        <v>26</v>
      </c>
      <c r="F410" s="182">
        <v>75000</v>
      </c>
      <c r="G410" s="182">
        <f>ROUNDDOWN(D410*F410,-3)</f>
        <v>21000000</v>
      </c>
      <c r="H410" s="182" t="b">
        <f>G410='[5]Pvt SP2D Pusdik'!B411</f>
        <v>1</v>
      </c>
      <c r="I410" s="182">
        <f>'[5]Pvt SP2D Pusdik'!C411</f>
        <v>0</v>
      </c>
      <c r="J410" s="182">
        <f t="shared" ref="J410:J414" si="245">G410-I410</f>
        <v>21000000</v>
      </c>
      <c r="K410" s="182">
        <v>750000</v>
      </c>
      <c r="L410" s="182"/>
      <c r="M410" s="182"/>
      <c r="N410" s="182"/>
      <c r="O410" s="252"/>
      <c r="P410" s="252"/>
      <c r="Q410" s="144"/>
    </row>
    <row r="411" spans="1:17" ht="13.2" x14ac:dyDescent="0.25">
      <c r="A411" s="163" t="s">
        <v>356</v>
      </c>
      <c r="B411" s="178"/>
      <c r="C411" s="179" t="s">
        <v>564</v>
      </c>
      <c r="D411" s="180">
        <v>4</v>
      </c>
      <c r="E411" s="180" t="s">
        <v>120</v>
      </c>
      <c r="F411" s="182">
        <v>1500000</v>
      </c>
      <c r="G411" s="182">
        <f>ROUNDDOWN(D411*F411,-3)</f>
        <v>6000000</v>
      </c>
      <c r="H411" s="182" t="b">
        <f>G411='[5]Pvt SP2D Pusdik'!B412</f>
        <v>1</v>
      </c>
      <c r="I411" s="182">
        <f>'[5]Pvt SP2D Pusdik'!C412</f>
        <v>1487100</v>
      </c>
      <c r="J411" s="182">
        <f t="shared" si="245"/>
        <v>4512900</v>
      </c>
      <c r="K411" s="182">
        <v>1500000</v>
      </c>
      <c r="L411" s="182">
        <f t="shared" ref="L411" si="246">SUM(L412,L418,L420)</f>
        <v>0</v>
      </c>
      <c r="M411" s="182" t="e">
        <f t="shared" ref="M411:N411" si="247">SUM(M412,M418,M420)</f>
        <v>#REF!</v>
      </c>
      <c r="N411" s="182" t="e">
        <f t="shared" si="247"/>
        <v>#REF!</v>
      </c>
      <c r="O411" s="252"/>
      <c r="P411" s="252"/>
      <c r="Q411" s="144"/>
    </row>
    <row r="412" spans="1:17" ht="13.2" x14ac:dyDescent="0.25">
      <c r="A412" s="163" t="s">
        <v>357</v>
      </c>
      <c r="B412" s="178"/>
      <c r="C412" s="179" t="s">
        <v>565</v>
      </c>
      <c r="D412" s="180">
        <v>4</v>
      </c>
      <c r="E412" s="180" t="s">
        <v>120</v>
      </c>
      <c r="F412" s="182">
        <v>1500000</v>
      </c>
      <c r="G412" s="182">
        <f>ROUNDDOWN(D412*F412,-3)</f>
        <v>6000000</v>
      </c>
      <c r="H412" s="182" t="b">
        <f>G412='[5]Pvt SP2D Pusdik'!B413</f>
        <v>1</v>
      </c>
      <c r="I412" s="182">
        <f>'[5]Pvt SP2D Pusdik'!C413</f>
        <v>1500000</v>
      </c>
      <c r="J412" s="182">
        <f t="shared" si="245"/>
        <v>4500000</v>
      </c>
      <c r="K412" s="182">
        <v>1500000</v>
      </c>
      <c r="L412" s="182">
        <f t="shared" ref="L412" si="248">SUM(L413:L417)</f>
        <v>0</v>
      </c>
      <c r="M412" s="182" t="e" cm="1">
        <f t="array" ref="M412">SUM(_xlfn._xlws.FILTER([6]!Draft_SPBY[Jumlah],[6]!Draft_SPBY[MAK4]=A412,0))</f>
        <v>#REF!</v>
      </c>
      <c r="N412" s="182" t="e">
        <f>L412-M412</f>
        <v>#REF!</v>
      </c>
      <c r="O412" s="252"/>
      <c r="P412" s="252"/>
      <c r="Q412" s="144"/>
    </row>
    <row r="413" spans="1:17" ht="13.2" x14ac:dyDescent="0.25">
      <c r="A413" s="163" t="s">
        <v>358</v>
      </c>
      <c r="B413" s="178"/>
      <c r="C413" s="179" t="s">
        <v>566</v>
      </c>
      <c r="D413" s="180">
        <v>4</v>
      </c>
      <c r="E413" s="180" t="s">
        <v>120</v>
      </c>
      <c r="F413" s="182">
        <v>1000000</v>
      </c>
      <c r="G413" s="182">
        <f>ROUNDDOWN(D413*F413,-3)</f>
        <v>4000000</v>
      </c>
      <c r="H413" s="182" t="b">
        <f>G413='[5]Pvt SP2D Pusdik'!B414</f>
        <v>1</v>
      </c>
      <c r="I413" s="182">
        <f>'[5]Pvt SP2D Pusdik'!C414</f>
        <v>980000</v>
      </c>
      <c r="J413" s="182">
        <f t="shared" si="245"/>
        <v>3020000</v>
      </c>
      <c r="K413" s="182">
        <v>1000000</v>
      </c>
      <c r="L413" s="182"/>
      <c r="M413" s="182"/>
      <c r="N413" s="182"/>
      <c r="O413" s="252"/>
      <c r="P413" s="252"/>
      <c r="Q413" s="144"/>
    </row>
    <row r="414" spans="1:17" ht="13.2" hidden="1" x14ac:dyDescent="0.25">
      <c r="A414" s="163" t="s">
        <v>833</v>
      </c>
      <c r="B414" s="178"/>
      <c r="C414" s="179" t="s">
        <v>783</v>
      </c>
      <c r="D414" s="180">
        <v>12</v>
      </c>
      <c r="E414" s="180" t="s">
        <v>59</v>
      </c>
      <c r="F414" s="182">
        <v>250000</v>
      </c>
      <c r="G414" s="182">
        <f>ROUNDDOWN(D414*F414,-3)</f>
        <v>3000000</v>
      </c>
      <c r="H414" s="182" t="b">
        <f>G414='[5]Pvt SP2D Pusdik'!B415</f>
        <v>1</v>
      </c>
      <c r="I414" s="182">
        <f>'[5]Pvt SP2D Pusdik'!C415</f>
        <v>0</v>
      </c>
      <c r="J414" s="182">
        <f t="shared" si="245"/>
        <v>3000000</v>
      </c>
      <c r="K414" s="182"/>
      <c r="L414" s="182"/>
      <c r="M414" s="182"/>
      <c r="N414" s="182"/>
      <c r="O414" s="252"/>
      <c r="P414" s="252"/>
      <c r="Q414" s="144"/>
    </row>
    <row r="415" spans="1:17" ht="13.2" x14ac:dyDescent="0.25">
      <c r="A415" s="163" t="s">
        <v>359</v>
      </c>
      <c r="B415" s="184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/>
      <c r="M415" s="76"/>
      <c r="N415" s="76"/>
      <c r="O415" s="252"/>
      <c r="P415" s="252"/>
      <c r="Q415" s="144"/>
    </row>
    <row r="416" spans="1:17" ht="13.2" x14ac:dyDescent="0.25">
      <c r="A416" s="163" t="s">
        <v>360</v>
      </c>
      <c r="B416" s="178"/>
      <c r="C416" s="179" t="s">
        <v>834</v>
      </c>
      <c r="D416" s="180">
        <v>4</v>
      </c>
      <c r="E416" s="180" t="s">
        <v>120</v>
      </c>
      <c r="F416" s="182">
        <v>250000</v>
      </c>
      <c r="G416" s="182">
        <f>ROUNDDOWN(D416*F416,-3)</f>
        <v>1000000</v>
      </c>
      <c r="H416" s="182" t="b">
        <f>G416='[5]Pvt SP2D Pusdik'!B417</f>
        <v>1</v>
      </c>
      <c r="I416" s="182">
        <f>'[5]Pvt SP2D Pusdik'!C417</f>
        <v>831320</v>
      </c>
      <c r="J416" s="182">
        <f>G416-I416</f>
        <v>168680</v>
      </c>
      <c r="K416" s="182">
        <v>50000</v>
      </c>
      <c r="L416" s="182"/>
      <c r="M416" s="182"/>
      <c r="N416" s="182"/>
      <c r="O416" s="252"/>
      <c r="P416" s="252"/>
      <c r="Q416" s="144"/>
    </row>
    <row r="417" spans="1:17" ht="13.2" x14ac:dyDescent="0.25">
      <c r="A417" s="163" t="s">
        <v>361</v>
      </c>
      <c r="B417" s="184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52423705</v>
      </c>
      <c r="J417" s="76">
        <f>J418</f>
        <v>56651295</v>
      </c>
      <c r="K417" s="76">
        <f>K418</f>
        <v>6050000</v>
      </c>
      <c r="L417" s="76"/>
      <c r="M417" s="76"/>
      <c r="N417" s="76"/>
      <c r="O417" s="252"/>
      <c r="P417" s="252"/>
      <c r="Q417" s="144"/>
    </row>
    <row r="418" spans="1:17" ht="13.2" x14ac:dyDescent="0.25">
      <c r="A418" s="163" t="s">
        <v>362</v>
      </c>
      <c r="B418" s="178"/>
      <c r="C418" s="179" t="s">
        <v>835</v>
      </c>
      <c r="D418" s="180">
        <v>18</v>
      </c>
      <c r="E418" s="180" t="s">
        <v>26</v>
      </c>
      <c r="F418" s="182">
        <v>6059723</v>
      </c>
      <c r="G418" s="182">
        <f>ROUNDDOWN(D418*F418,-3)</f>
        <v>109075000</v>
      </c>
      <c r="H418" s="182" t="b">
        <f>G418='[5]Pvt SP2D Pusdik'!B419</f>
        <v>1</v>
      </c>
      <c r="I418" s="182">
        <f>'[5]Pvt SP2D Pusdik'!C419</f>
        <v>52423705</v>
      </c>
      <c r="J418" s="182">
        <f>G418-I418</f>
        <v>56651295</v>
      </c>
      <c r="K418" s="182">
        <v>6050000</v>
      </c>
      <c r="L418" s="182">
        <f t="shared" ref="L418" si="249">L419</f>
        <v>0</v>
      </c>
      <c r="M418" s="182" t="e" cm="1">
        <f t="array" ref="M418">SUM(_xlfn._xlws.FILTER([6]!Draft_SPBY[Jumlah],[6]!Draft_SPBY[MAK4]=A418,0))</f>
        <v>#REF!</v>
      </c>
      <c r="N418" s="182" t="e">
        <f>L418-M418</f>
        <v>#REF!</v>
      </c>
      <c r="O418" s="252"/>
      <c r="P418" s="252"/>
      <c r="Q418" s="144"/>
    </row>
    <row r="419" spans="1:17" ht="13.2" x14ac:dyDescent="0.25">
      <c r="A419" s="163" t="s">
        <v>363</v>
      </c>
      <c r="B419" s="185" t="s">
        <v>38</v>
      </c>
      <c r="C419" s="186" t="s">
        <v>836</v>
      </c>
      <c r="D419" s="187"/>
      <c r="E419" s="187"/>
      <c r="F419" s="188"/>
      <c r="G419" s="188">
        <f>SUM(G420,G426,G429,G431)</f>
        <v>166238000</v>
      </c>
      <c r="H419" s="188" t="b">
        <f>G419='[5]Pvt SP2D Pusdik'!B420</f>
        <v>1</v>
      </c>
      <c r="I419" s="188">
        <f>'[5]Pvt SP2D Pusdik'!C420</f>
        <v>59996432</v>
      </c>
      <c r="J419" s="188">
        <f>SUM(J420,J426,J429,J431)</f>
        <v>106241568</v>
      </c>
      <c r="K419" s="188">
        <f>SUM(K420,K426,K429,K431)</f>
        <v>5330000</v>
      </c>
      <c r="L419" s="188"/>
      <c r="M419" s="188"/>
      <c r="N419" s="188"/>
      <c r="O419" s="252" t="s">
        <v>505</v>
      </c>
      <c r="P419" s="252" t="s">
        <v>507</v>
      </c>
      <c r="Q419" s="144"/>
    </row>
    <row r="420" spans="1:17" ht="13.2" x14ac:dyDescent="0.25">
      <c r="A420" s="163" t="s">
        <v>364</v>
      </c>
      <c r="B420" s="184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 t="shared" ref="L420" si="250">L421</f>
        <v>0</v>
      </c>
      <c r="M420" s="76" t="e" cm="1">
        <f t="array" ref="M420">SUM(_xlfn._xlws.FILTER([6]!Draft_SPBY[Jumlah],[6]!Draft_SPBY[MAK4]=A420,0))</f>
        <v>#REF!</v>
      </c>
      <c r="N420" s="76" t="e">
        <f>L420-M420</f>
        <v>#REF!</v>
      </c>
      <c r="O420" s="252"/>
      <c r="P420" s="252"/>
      <c r="Q420" s="144"/>
    </row>
    <row r="421" spans="1:17" ht="13.2" x14ac:dyDescent="0.25">
      <c r="A421" s="163" t="s">
        <v>365</v>
      </c>
      <c r="B421" s="178"/>
      <c r="C421" s="179" t="s">
        <v>563</v>
      </c>
      <c r="D421" s="180">
        <v>180</v>
      </c>
      <c r="E421" s="180" t="s">
        <v>26</v>
      </c>
      <c r="F421" s="182">
        <v>75000</v>
      </c>
      <c r="G421" s="182">
        <f>ROUNDDOWN(D421*F421,-3)</f>
        <v>13500000</v>
      </c>
      <c r="H421" s="182" t="b">
        <f>G421='[5]Pvt SP2D Pusdik'!B422</f>
        <v>1</v>
      </c>
      <c r="I421" s="182">
        <f>'[5]Pvt SP2D Pusdik'!C422</f>
        <v>3228000</v>
      </c>
      <c r="J421" s="182">
        <f t="shared" ref="J421:J425" si="251">G421-I421</f>
        <v>10272000</v>
      </c>
      <c r="K421" s="182">
        <v>750000</v>
      </c>
      <c r="L421" s="182"/>
      <c r="M421" s="182"/>
      <c r="N421" s="182"/>
      <c r="O421" s="252"/>
      <c r="P421" s="252"/>
      <c r="Q421" s="144"/>
    </row>
    <row r="422" spans="1:17" ht="13.2" hidden="1" x14ac:dyDescent="0.25">
      <c r="A422" s="163" t="s">
        <v>366</v>
      </c>
      <c r="B422" s="178"/>
      <c r="C422" s="179" t="s">
        <v>564</v>
      </c>
      <c r="D422" s="180">
        <v>4</v>
      </c>
      <c r="E422" s="180" t="s">
        <v>120</v>
      </c>
      <c r="F422" s="182">
        <v>1500000</v>
      </c>
      <c r="G422" s="182">
        <f>ROUNDDOWN(D422*F422,-3)</f>
        <v>6000000</v>
      </c>
      <c r="H422" s="182" t="b">
        <f>G422='[5]Pvt SP2D Pusdik'!B423</f>
        <v>1</v>
      </c>
      <c r="I422" s="182">
        <f>'[5]Pvt SP2D Pusdik'!C423</f>
        <v>2981300</v>
      </c>
      <c r="J422" s="182">
        <f t="shared" si="251"/>
        <v>3018700</v>
      </c>
      <c r="K422" s="182"/>
      <c r="L422" s="182">
        <f t="shared" ref="L422:N422" si="252">L423</f>
        <v>0</v>
      </c>
      <c r="M422" s="182" t="e">
        <f t="shared" si="252"/>
        <v>#REF!</v>
      </c>
      <c r="N422" s="182" t="e">
        <f t="shared" si="252"/>
        <v>#REF!</v>
      </c>
      <c r="O422" s="252"/>
      <c r="P422" s="252"/>
      <c r="Q422" s="144"/>
    </row>
    <row r="423" spans="1:17" ht="13.2" hidden="1" x14ac:dyDescent="0.25">
      <c r="A423" s="163" t="s">
        <v>367</v>
      </c>
      <c r="B423" s="178"/>
      <c r="C423" s="179" t="s">
        <v>565</v>
      </c>
      <c r="D423" s="180">
        <v>4</v>
      </c>
      <c r="E423" s="180" t="s">
        <v>120</v>
      </c>
      <c r="F423" s="182">
        <v>1500000</v>
      </c>
      <c r="G423" s="182">
        <f>ROUNDDOWN(D423*F423,-3)</f>
        <v>6000000</v>
      </c>
      <c r="H423" s="182" t="b">
        <f>G423='[5]Pvt SP2D Pusdik'!B424</f>
        <v>1</v>
      </c>
      <c r="I423" s="182">
        <f>'[5]Pvt SP2D Pusdik'!C424</f>
        <v>3000000</v>
      </c>
      <c r="J423" s="182">
        <f t="shared" si="251"/>
        <v>3000000</v>
      </c>
      <c r="K423" s="182"/>
      <c r="L423" s="182">
        <f t="shared" ref="L423" si="253">SUM(L424,L430)</f>
        <v>0</v>
      </c>
      <c r="M423" s="182" t="e">
        <f t="shared" ref="M423:N423" si="254">SUM(M424,M430)</f>
        <v>#REF!</v>
      </c>
      <c r="N423" s="182" t="e">
        <f t="shared" si="254"/>
        <v>#REF!</v>
      </c>
      <c r="O423" s="252"/>
      <c r="P423" s="252"/>
      <c r="Q423" s="144"/>
    </row>
    <row r="424" spans="1:17" ht="13.2" hidden="1" x14ac:dyDescent="0.25">
      <c r="A424" s="163" t="s">
        <v>368</v>
      </c>
      <c r="B424" s="178"/>
      <c r="C424" s="179" t="s">
        <v>566</v>
      </c>
      <c r="D424" s="180">
        <v>4</v>
      </c>
      <c r="E424" s="180" t="s">
        <v>120</v>
      </c>
      <c r="F424" s="182">
        <v>1000000</v>
      </c>
      <c r="G424" s="182">
        <f>ROUNDDOWN(D424*F424,-3)</f>
        <v>4000000</v>
      </c>
      <c r="H424" s="182" t="b">
        <f>G424='[5]Pvt SP2D Pusdik'!B425</f>
        <v>1</v>
      </c>
      <c r="I424" s="182">
        <f>'[5]Pvt SP2D Pusdik'!C425</f>
        <v>1916000</v>
      </c>
      <c r="J424" s="182">
        <f t="shared" si="251"/>
        <v>2084000</v>
      </c>
      <c r="K424" s="182"/>
      <c r="L424" s="182">
        <f t="shared" ref="L424" si="255">SUM(L425:L429)</f>
        <v>0</v>
      </c>
      <c r="M424" s="182" t="e" cm="1">
        <f t="array" ref="M424">SUM(_xlfn._xlws.FILTER([6]!Draft_SPBY[Jumlah],[6]!Draft_SPBY[MAK4]=A424,0))</f>
        <v>#REF!</v>
      </c>
      <c r="N424" s="182" t="e">
        <f>L424-M424</f>
        <v>#REF!</v>
      </c>
      <c r="O424" s="252"/>
      <c r="P424" s="252"/>
      <c r="Q424" s="144"/>
    </row>
    <row r="425" spans="1:17" ht="13.2" hidden="1" x14ac:dyDescent="0.25">
      <c r="A425" s="163" t="s">
        <v>369</v>
      </c>
      <c r="B425" s="178"/>
      <c r="C425" s="179" t="s">
        <v>837</v>
      </c>
      <c r="D425" s="180">
        <v>8</v>
      </c>
      <c r="E425" s="180" t="s">
        <v>59</v>
      </c>
      <c r="F425" s="182">
        <v>500000</v>
      </c>
      <c r="G425" s="182">
        <f>ROUNDDOWN(D425*F425,-3)</f>
        <v>4000000</v>
      </c>
      <c r="H425" s="182" t="b">
        <f>G425='[5]Pvt SP2D Pusdik'!B426</f>
        <v>1</v>
      </c>
      <c r="I425" s="182">
        <f>'[5]Pvt SP2D Pusdik'!C426</f>
        <v>0</v>
      </c>
      <c r="J425" s="182">
        <f t="shared" si="251"/>
        <v>4000000</v>
      </c>
      <c r="K425" s="182"/>
      <c r="L425" s="182"/>
      <c r="M425" s="182"/>
      <c r="N425" s="182"/>
      <c r="O425" s="252"/>
      <c r="P425" s="252"/>
      <c r="Q425" s="144"/>
    </row>
    <row r="426" spans="1:17" ht="13.2" hidden="1" x14ac:dyDescent="0.25">
      <c r="A426" s="163" t="s">
        <v>370</v>
      </c>
      <c r="B426" s="184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/>
      <c r="M426" s="76"/>
      <c r="N426" s="76"/>
      <c r="O426" s="252"/>
      <c r="P426" s="252"/>
      <c r="Q426" s="144"/>
    </row>
    <row r="427" spans="1:17" ht="13.2" hidden="1" x14ac:dyDescent="0.25">
      <c r="A427" s="163" t="s">
        <v>371</v>
      </c>
      <c r="B427" s="178"/>
      <c r="C427" s="179" t="s">
        <v>834</v>
      </c>
      <c r="D427" s="180">
        <v>4</v>
      </c>
      <c r="E427" s="180" t="s">
        <v>120</v>
      </c>
      <c r="F427" s="182">
        <v>250000</v>
      </c>
      <c r="G427" s="182">
        <f>ROUNDDOWN(D427*F427,-3)</f>
        <v>1000000</v>
      </c>
      <c r="H427" s="182" t="b">
        <f>G427='[5]Pvt SP2D Pusdik'!B428</f>
        <v>1</v>
      </c>
      <c r="I427" s="182">
        <f>'[5]Pvt SP2D Pusdik'!C428</f>
        <v>994372</v>
      </c>
      <c r="J427" s="182">
        <f t="shared" ref="J427:J428" si="256">G427-I427</f>
        <v>5628</v>
      </c>
      <c r="K427" s="182"/>
      <c r="L427" s="182"/>
      <c r="M427" s="182"/>
      <c r="N427" s="182"/>
      <c r="O427" s="252"/>
      <c r="P427" s="252"/>
      <c r="Q427" s="144"/>
    </row>
    <row r="428" spans="1:17" ht="13.2" hidden="1" x14ac:dyDescent="0.25">
      <c r="A428" s="163" t="s">
        <v>838</v>
      </c>
      <c r="B428" s="178"/>
      <c r="C428" s="179" t="s">
        <v>839</v>
      </c>
      <c r="D428" s="180">
        <v>2</v>
      </c>
      <c r="E428" s="180" t="s">
        <v>120</v>
      </c>
      <c r="F428" s="182">
        <v>15000000</v>
      </c>
      <c r="G428" s="182">
        <f>ROUNDDOWN(D428*F428,-3)</f>
        <v>30000000</v>
      </c>
      <c r="H428" s="182" t="b">
        <f>G428='[5]Pvt SP2D Pusdik'!B429</f>
        <v>1</v>
      </c>
      <c r="I428" s="182">
        <f>'[5]Pvt SP2D Pusdik'!C429</f>
        <v>0</v>
      </c>
      <c r="J428" s="182">
        <f t="shared" si="256"/>
        <v>30000000</v>
      </c>
      <c r="K428" s="182"/>
      <c r="L428" s="182"/>
      <c r="M428" s="182"/>
      <c r="N428" s="182"/>
      <c r="O428" s="252"/>
      <c r="P428" s="252"/>
      <c r="Q428" s="144"/>
    </row>
    <row r="429" spans="1:17" ht="13.2" hidden="1" x14ac:dyDescent="0.25">
      <c r="A429" s="163" t="s">
        <v>840</v>
      </c>
      <c r="B429" s="190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/>
      <c r="M429" s="79"/>
      <c r="N429" s="79"/>
      <c r="O429" s="252"/>
      <c r="P429" s="252"/>
      <c r="Q429" s="144"/>
    </row>
    <row r="430" spans="1:17" ht="13.2" hidden="1" x14ac:dyDescent="0.25">
      <c r="A430" s="163" t="s">
        <v>841</v>
      </c>
      <c r="B430" s="178"/>
      <c r="C430" s="179" t="s">
        <v>567</v>
      </c>
      <c r="D430" s="180">
        <v>10</v>
      </c>
      <c r="E430" s="180" t="s">
        <v>33</v>
      </c>
      <c r="F430" s="182">
        <v>1000000</v>
      </c>
      <c r="G430" s="182">
        <f>ROUNDDOWN(D430*F430,-3)</f>
        <v>10000000</v>
      </c>
      <c r="H430" s="182" t="b">
        <f>G430='[5]Pvt SP2D Pusdik'!B431</f>
        <v>1</v>
      </c>
      <c r="I430" s="182">
        <f>'[5]Pvt SP2D Pusdik'!C431</f>
        <v>0</v>
      </c>
      <c r="J430" s="182">
        <f>G430-I430</f>
        <v>10000000</v>
      </c>
      <c r="K430" s="182"/>
      <c r="L430" s="182">
        <f t="shared" ref="L430" si="257">L431</f>
        <v>0</v>
      </c>
      <c r="M430" s="182" t="e" cm="1">
        <f t="array" ref="M430">SUM(_xlfn._xlws.FILTER([6]!Draft_SPBY[Jumlah],[6]!Draft_SPBY[MAK4]=A430,0))</f>
        <v>#REF!</v>
      </c>
      <c r="N430" s="182" t="e">
        <f>L430-M430</f>
        <v>#REF!</v>
      </c>
      <c r="O430" s="252"/>
      <c r="P430" s="252"/>
      <c r="Q430" s="144"/>
    </row>
    <row r="431" spans="1:17" ht="13.2" x14ac:dyDescent="0.25">
      <c r="A431" s="163" t="s">
        <v>372</v>
      </c>
      <c r="B431" s="184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/>
      <c r="M431" s="76"/>
      <c r="N431" s="76"/>
      <c r="O431" s="252"/>
      <c r="P431" s="252"/>
      <c r="Q431" s="144"/>
    </row>
    <row r="432" spans="1:17" ht="13.2" x14ac:dyDescent="0.25">
      <c r="A432" s="163" t="s">
        <v>373</v>
      </c>
      <c r="B432" s="178"/>
      <c r="C432" s="179" t="s">
        <v>842</v>
      </c>
      <c r="D432" s="180">
        <v>20</v>
      </c>
      <c r="E432" s="180" t="s">
        <v>26</v>
      </c>
      <c r="F432" s="182">
        <v>4586900</v>
      </c>
      <c r="G432" s="182">
        <f>ROUNDDOWN(D432*F432,-3)</f>
        <v>91738000</v>
      </c>
      <c r="H432" s="182" t="b">
        <f>G432='[5]Pvt SP2D Pusdik'!B433</f>
        <v>1</v>
      </c>
      <c r="I432" s="182">
        <f>'[5]Pvt SP2D Pusdik'!C433</f>
        <v>47876760</v>
      </c>
      <c r="J432" s="182">
        <f>G432-I432</f>
        <v>43861240</v>
      </c>
      <c r="K432" s="182">
        <v>4580000</v>
      </c>
      <c r="L432" s="182">
        <f t="shared" ref="L432:N432" si="258">L433</f>
        <v>0</v>
      </c>
      <c r="M432" s="182" t="e">
        <f t="shared" si="258"/>
        <v>#REF!</v>
      </c>
      <c r="N432" s="182" t="e">
        <f t="shared" si="258"/>
        <v>#REF!</v>
      </c>
      <c r="O432" s="252"/>
      <c r="P432" s="252"/>
      <c r="Q432" s="144"/>
    </row>
    <row r="433" spans="1:17" ht="13.2" x14ac:dyDescent="0.25">
      <c r="A433" s="163" t="s">
        <v>374</v>
      </c>
      <c r="B433" s="173" t="s">
        <v>91</v>
      </c>
      <c r="C433" s="174" t="s">
        <v>843</v>
      </c>
      <c r="D433" s="175"/>
      <c r="E433" s="175"/>
      <c r="F433" s="176"/>
      <c r="G433" s="176">
        <f>SUM(G434,G440,G442)</f>
        <v>330540000</v>
      </c>
      <c r="H433" s="176" t="b">
        <f>G433='[5]Pvt SP2D Pusdik'!B434</f>
        <v>1</v>
      </c>
      <c r="I433" s="176">
        <f>'[5]Pvt SP2D Pusdik'!C434</f>
        <v>0</v>
      </c>
      <c r="J433" s="176">
        <f>SUM(J434,J440,J442)</f>
        <v>330540000</v>
      </c>
      <c r="K433" s="176">
        <f>SUM(K434,K440,K442)</f>
        <v>13750000</v>
      </c>
      <c r="L433" s="176">
        <f t="shared" ref="L433" si="259">SUM(L434,L444,L454,L465,L475,L485,L495)</f>
        <v>0</v>
      </c>
      <c r="M433" s="176" t="e">
        <f t="shared" ref="M433:N433" si="260">SUM(M434,M444,M454,M465,M475,M485,M495)</f>
        <v>#REF!</v>
      </c>
      <c r="N433" s="176" t="e">
        <f t="shared" si="260"/>
        <v>#REF!</v>
      </c>
      <c r="O433" s="252" t="s">
        <v>505</v>
      </c>
      <c r="P433" s="252" t="s">
        <v>507</v>
      </c>
      <c r="Q433" s="144"/>
    </row>
    <row r="434" spans="1:17" ht="13.2" x14ac:dyDescent="0.25">
      <c r="A434" s="163" t="s">
        <v>844</v>
      </c>
      <c r="B434" s="177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 t="shared" ref="L434" si="261">SUM(L435,L440,L442)</f>
        <v>0</v>
      </c>
      <c r="M434" s="71" t="e">
        <f t="shared" ref="M434:N434" si="262">SUM(M435,M440,M442)</f>
        <v>#REF!</v>
      </c>
      <c r="N434" s="71" t="e">
        <f t="shared" si="262"/>
        <v>#REF!</v>
      </c>
      <c r="O434" s="252"/>
      <c r="P434" s="252"/>
      <c r="Q434" s="144"/>
    </row>
    <row r="435" spans="1:17" ht="13.2" x14ac:dyDescent="0.25">
      <c r="A435" s="163" t="s">
        <v>845</v>
      </c>
      <c r="B435" s="178"/>
      <c r="C435" s="179" t="s">
        <v>563</v>
      </c>
      <c r="D435" s="180">
        <v>280</v>
      </c>
      <c r="E435" s="180" t="s">
        <v>26</v>
      </c>
      <c r="F435" s="182">
        <v>75000</v>
      </c>
      <c r="G435" s="182">
        <f>ROUNDDOWN(D435*F435,-3)</f>
        <v>21000000</v>
      </c>
      <c r="H435" s="182" t="b">
        <f>G435='[5]Pvt SP2D Pusdik'!B436</f>
        <v>1</v>
      </c>
      <c r="I435" s="182">
        <f>'[5]Pvt SP2D Pusdik'!C436</f>
        <v>0</v>
      </c>
      <c r="J435" s="182">
        <f t="shared" ref="J435:J439" si="263">G435-I435</f>
        <v>21000000</v>
      </c>
      <c r="K435" s="182">
        <v>750000</v>
      </c>
      <c r="L435" s="182">
        <f t="shared" ref="L435" si="264">SUM(L436:L439)</f>
        <v>0</v>
      </c>
      <c r="M435" s="182" t="e" cm="1">
        <f t="array" ref="M435">SUM(_xlfn._xlws.FILTER([6]!Draft_SPBY[Jumlah],[6]!Draft_SPBY[MAK4]=A435,0))</f>
        <v>#REF!</v>
      </c>
      <c r="N435" s="182" t="e">
        <f>L435-M435</f>
        <v>#REF!</v>
      </c>
      <c r="O435" s="252"/>
      <c r="P435" s="252"/>
      <c r="Q435" s="144"/>
    </row>
    <row r="436" spans="1:17" ht="13.2" hidden="1" x14ac:dyDescent="0.25">
      <c r="A436" s="163" t="s">
        <v>846</v>
      </c>
      <c r="B436" s="178"/>
      <c r="C436" s="179" t="s">
        <v>564</v>
      </c>
      <c r="D436" s="180">
        <v>5</v>
      </c>
      <c r="E436" s="180" t="s">
        <v>120</v>
      </c>
      <c r="F436" s="182">
        <v>1500000</v>
      </c>
      <c r="G436" s="182">
        <f>ROUNDDOWN(D436*F436,-3)</f>
        <v>7500000</v>
      </c>
      <c r="H436" s="182" t="b">
        <f>G436='[5]Pvt SP2D Pusdik'!B437</f>
        <v>1</v>
      </c>
      <c r="I436" s="182">
        <f>'[5]Pvt SP2D Pusdik'!C437</f>
        <v>0</v>
      </c>
      <c r="J436" s="182">
        <f t="shared" si="263"/>
        <v>7500000</v>
      </c>
      <c r="K436" s="182"/>
      <c r="L436" s="182"/>
      <c r="M436" s="182"/>
      <c r="N436" s="182"/>
      <c r="O436" s="252"/>
      <c r="P436" s="252"/>
      <c r="Q436" s="144"/>
    </row>
    <row r="437" spans="1:17" ht="13.2" hidden="1" x14ac:dyDescent="0.25">
      <c r="A437" s="163" t="s">
        <v>847</v>
      </c>
      <c r="B437" s="178"/>
      <c r="C437" s="179" t="s">
        <v>565</v>
      </c>
      <c r="D437" s="180">
        <v>4</v>
      </c>
      <c r="E437" s="180" t="s">
        <v>120</v>
      </c>
      <c r="F437" s="182">
        <v>1500000</v>
      </c>
      <c r="G437" s="182">
        <f>ROUNDDOWN(D437*F437,-3)</f>
        <v>6000000</v>
      </c>
      <c r="H437" s="182" t="b">
        <f>G437='[5]Pvt SP2D Pusdik'!B438</f>
        <v>1</v>
      </c>
      <c r="I437" s="182">
        <f>'[5]Pvt SP2D Pusdik'!C438</f>
        <v>0</v>
      </c>
      <c r="J437" s="182">
        <f t="shared" si="263"/>
        <v>6000000</v>
      </c>
      <c r="K437" s="182"/>
      <c r="L437" s="182"/>
      <c r="M437" s="182"/>
      <c r="N437" s="182"/>
      <c r="O437" s="252"/>
      <c r="P437" s="252"/>
      <c r="Q437" s="144"/>
    </row>
    <row r="438" spans="1:17" ht="13.2" hidden="1" x14ac:dyDescent="0.25">
      <c r="A438" s="163" t="s">
        <v>848</v>
      </c>
      <c r="B438" s="178"/>
      <c r="C438" s="179" t="s">
        <v>566</v>
      </c>
      <c r="D438" s="180">
        <v>4</v>
      </c>
      <c r="E438" s="180" t="s">
        <v>120</v>
      </c>
      <c r="F438" s="182">
        <v>1000000</v>
      </c>
      <c r="G438" s="182">
        <f>ROUNDDOWN(D438*F438,-3)</f>
        <v>4000000</v>
      </c>
      <c r="H438" s="182" t="b">
        <f>G438='[5]Pvt SP2D Pusdik'!B439</f>
        <v>1</v>
      </c>
      <c r="I438" s="182">
        <f>'[5]Pvt SP2D Pusdik'!C439</f>
        <v>0</v>
      </c>
      <c r="J438" s="182">
        <f t="shared" si="263"/>
        <v>4000000</v>
      </c>
      <c r="K438" s="182"/>
      <c r="L438" s="182"/>
      <c r="M438" s="182"/>
      <c r="N438" s="182"/>
      <c r="O438" s="252"/>
      <c r="P438" s="252"/>
      <c r="Q438" s="144"/>
    </row>
    <row r="439" spans="1:17" ht="13.2" hidden="1" x14ac:dyDescent="0.25">
      <c r="A439" s="163" t="s">
        <v>849</v>
      </c>
      <c r="B439" s="178"/>
      <c r="C439" s="179" t="s">
        <v>783</v>
      </c>
      <c r="D439" s="180">
        <v>30</v>
      </c>
      <c r="E439" s="180" t="s">
        <v>59</v>
      </c>
      <c r="F439" s="182">
        <v>250000</v>
      </c>
      <c r="G439" s="182">
        <f>ROUNDDOWN(D439*F439,-3)</f>
        <v>7500000</v>
      </c>
      <c r="H439" s="182" t="b">
        <f>G439='[5]Pvt SP2D Pusdik'!B440</f>
        <v>1</v>
      </c>
      <c r="I439" s="182">
        <f>'[5]Pvt SP2D Pusdik'!C440</f>
        <v>0</v>
      </c>
      <c r="J439" s="182">
        <f t="shared" si="263"/>
        <v>7500000</v>
      </c>
      <c r="K439" s="182"/>
      <c r="L439" s="182"/>
      <c r="M439" s="182"/>
      <c r="N439" s="182"/>
      <c r="O439" s="252"/>
      <c r="P439" s="252"/>
      <c r="Q439" s="144"/>
    </row>
    <row r="440" spans="1:17" ht="13.2" x14ac:dyDescent="0.25">
      <c r="A440" s="163" t="s">
        <v>850</v>
      </c>
      <c r="B440" s="177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0</v>
      </c>
      <c r="J440" s="71">
        <f>J441</f>
        <v>1000000</v>
      </c>
      <c r="K440" s="71">
        <f>K441</f>
        <v>400000</v>
      </c>
      <c r="L440" s="71">
        <f t="shared" ref="L440" si="265">L441</f>
        <v>0</v>
      </c>
      <c r="M440" s="71" t="e" cm="1">
        <f t="array" ref="M440">SUM(_xlfn._xlws.FILTER([6]!Draft_SPBY[Jumlah],[6]!Draft_SPBY[MAK4]=A440,0))</f>
        <v>#REF!</v>
      </c>
      <c r="N440" s="71" t="e">
        <f>L440-M440</f>
        <v>#REF!</v>
      </c>
      <c r="O440" s="252"/>
      <c r="P440" s="252"/>
      <c r="Q440" s="144"/>
    </row>
    <row r="441" spans="1:17" ht="13.2" x14ac:dyDescent="0.25">
      <c r="A441" s="163" t="s">
        <v>851</v>
      </c>
      <c r="B441" s="178"/>
      <c r="C441" s="179" t="s">
        <v>834</v>
      </c>
      <c r="D441" s="180">
        <v>4</v>
      </c>
      <c r="E441" s="180" t="s">
        <v>120</v>
      </c>
      <c r="F441" s="182">
        <v>250000</v>
      </c>
      <c r="G441" s="182">
        <f>ROUNDDOWN(D441*F441,-3)</f>
        <v>1000000</v>
      </c>
      <c r="H441" s="182" t="b">
        <f>G441='[5]Pvt SP2D Pusdik'!B442</f>
        <v>1</v>
      </c>
      <c r="I441" s="182">
        <f>'[5]Pvt SP2D Pusdik'!C442</f>
        <v>0</v>
      </c>
      <c r="J441" s="182">
        <f>G441-I441</f>
        <v>1000000</v>
      </c>
      <c r="K441" s="182">
        <v>400000</v>
      </c>
      <c r="L441" s="182"/>
      <c r="M441" s="182"/>
      <c r="N441" s="182"/>
      <c r="O441" s="252"/>
      <c r="P441" s="252"/>
      <c r="Q441" s="144"/>
    </row>
    <row r="442" spans="1:17" ht="13.2" x14ac:dyDescent="0.25">
      <c r="A442" s="163" t="s">
        <v>375</v>
      </c>
      <c r="B442" s="177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 t="shared" ref="L442" si="266">L443</f>
        <v>0</v>
      </c>
      <c r="M442" s="71" t="e" cm="1">
        <f t="array" ref="M442">SUM(_xlfn._xlws.FILTER([6]!Draft_SPBY[Jumlah],[6]!Draft_SPBY[MAK4]=A442,0))</f>
        <v>#REF!</v>
      </c>
      <c r="N442" s="71" t="e">
        <f>L442-M442</f>
        <v>#REF!</v>
      </c>
      <c r="O442" s="252"/>
      <c r="P442" s="252"/>
      <c r="Q442" s="144"/>
    </row>
    <row r="443" spans="1:17" ht="13.2" x14ac:dyDescent="0.25">
      <c r="A443" s="163" t="s">
        <v>376</v>
      </c>
      <c r="B443" s="178"/>
      <c r="C443" s="179" t="s">
        <v>852</v>
      </c>
      <c r="D443" s="180">
        <v>45</v>
      </c>
      <c r="E443" s="180" t="s">
        <v>26</v>
      </c>
      <c r="F443" s="182">
        <v>6300889</v>
      </c>
      <c r="G443" s="182">
        <f>ROUNDDOWN(D443*F443,-3)</f>
        <v>283540000</v>
      </c>
      <c r="H443" s="182" t="b">
        <f>G443='[5]Pvt SP2D Pusdik'!B444</f>
        <v>1</v>
      </c>
      <c r="I443" s="182">
        <f>'[5]Pvt SP2D Pusdik'!C444</f>
        <v>0</v>
      </c>
      <c r="J443" s="182">
        <f>G443-I443</f>
        <v>283540000</v>
      </c>
      <c r="K443" s="182">
        <v>12600000</v>
      </c>
      <c r="L443" s="182"/>
      <c r="M443" s="182"/>
      <c r="N443" s="182"/>
      <c r="O443" s="252"/>
      <c r="P443" s="252"/>
      <c r="Q443" s="144"/>
    </row>
    <row r="444" spans="1:17" ht="13.2" x14ac:dyDescent="0.25">
      <c r="A444" s="163" t="s">
        <v>377</v>
      </c>
      <c r="B444" s="244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 t="shared" ref="L444" si="267">SUM(L445,L450,L452)</f>
        <v>0</v>
      </c>
      <c r="M444" s="118" t="e">
        <f t="shared" ref="M444:N444" si="268">SUM(M445,M450,M452)</f>
        <v>#REF!</v>
      </c>
      <c r="N444" s="118" t="e">
        <f t="shared" si="268"/>
        <v>#REF!</v>
      </c>
      <c r="O444" s="252"/>
      <c r="P444" s="252"/>
      <c r="Q444" s="144"/>
    </row>
    <row r="445" spans="1:17" ht="13.2" x14ac:dyDescent="0.25">
      <c r="A445" s="163" t="s">
        <v>379</v>
      </c>
      <c r="B445" s="185" t="s">
        <v>21</v>
      </c>
      <c r="C445" s="186" t="s">
        <v>854</v>
      </c>
      <c r="D445" s="187"/>
      <c r="E445" s="187"/>
      <c r="F445" s="188"/>
      <c r="G445" s="188">
        <f>SUM(G446,G452)</f>
        <v>104311000</v>
      </c>
      <c r="H445" s="188" t="b">
        <f>G445='[5]Pvt SP2D Pusdik'!B446</f>
        <v>1</v>
      </c>
      <c r="I445" s="188">
        <f>'[5]Pvt SP2D Pusdik'!C446</f>
        <v>35965700</v>
      </c>
      <c r="J445" s="188">
        <f>SUM(J446,J452)</f>
        <v>68345300</v>
      </c>
      <c r="K445" s="188">
        <f>SUM(K446,K452)</f>
        <v>10670000</v>
      </c>
      <c r="L445" s="188">
        <f t="shared" ref="L445" si="269">SUM(L446:L449)</f>
        <v>0</v>
      </c>
      <c r="M445" s="188" t="e" cm="1">
        <f t="array" ref="M445">SUM(_xlfn._xlws.FILTER([6]!Draft_SPBY[Jumlah],[6]!Draft_SPBY[MAK4]=A445,0))</f>
        <v>#REF!</v>
      </c>
      <c r="N445" s="188" t="e">
        <f>L445-M445</f>
        <v>#REF!</v>
      </c>
      <c r="O445" s="252" t="s">
        <v>505</v>
      </c>
      <c r="P445" s="252" t="s">
        <v>507</v>
      </c>
      <c r="Q445" s="144"/>
    </row>
    <row r="446" spans="1:17" ht="13.2" x14ac:dyDescent="0.25">
      <c r="A446" s="163" t="s">
        <v>380</v>
      </c>
      <c r="B446" s="184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/>
      <c r="M446" s="76"/>
      <c r="N446" s="76"/>
      <c r="O446" s="252"/>
      <c r="P446" s="252"/>
      <c r="Q446" s="144"/>
    </row>
    <row r="447" spans="1:17" ht="13.2" x14ac:dyDescent="0.25">
      <c r="A447" s="163" t="s">
        <v>381</v>
      </c>
      <c r="B447" s="178"/>
      <c r="C447" s="179" t="s">
        <v>563</v>
      </c>
      <c r="D447" s="180">
        <v>180</v>
      </c>
      <c r="E447" s="180" t="s">
        <v>26</v>
      </c>
      <c r="F447" s="182">
        <v>75000</v>
      </c>
      <c r="G447" s="182">
        <f>ROUNDDOWN(D447*F447,-3)</f>
        <v>13500000</v>
      </c>
      <c r="H447" s="182" t="b">
        <f>G447='[5]Pvt SP2D Pusdik'!B448</f>
        <v>1</v>
      </c>
      <c r="I447" s="182">
        <f>'[5]Pvt SP2D Pusdik'!C448</f>
        <v>1560000</v>
      </c>
      <c r="J447" s="182">
        <f t="shared" ref="J447:J451" si="270">G447-I447</f>
        <v>11940000</v>
      </c>
      <c r="K447" s="182">
        <v>1500000</v>
      </c>
      <c r="L447" s="182"/>
      <c r="M447" s="182"/>
      <c r="N447" s="182"/>
      <c r="O447" s="252"/>
      <c r="P447" s="252"/>
      <c r="Q447" s="144"/>
    </row>
    <row r="448" spans="1:17" ht="13.2" hidden="1" x14ac:dyDescent="0.25">
      <c r="A448" s="189" t="s">
        <v>382</v>
      </c>
      <c r="B448" s="178"/>
      <c r="C448" s="179" t="s">
        <v>564</v>
      </c>
      <c r="D448" s="180">
        <v>4</v>
      </c>
      <c r="E448" s="180" t="s">
        <v>120</v>
      </c>
      <c r="F448" s="182">
        <v>1500000</v>
      </c>
      <c r="G448" s="182">
        <f>ROUNDDOWN(D448*F448,-3)</f>
        <v>6000000</v>
      </c>
      <c r="H448" s="182" t="b">
        <f>G448='[5]Pvt SP2D Pusdik'!B449</f>
        <v>1</v>
      </c>
      <c r="I448" s="182">
        <f>'[5]Pvt SP2D Pusdik'!C449</f>
        <v>2997000</v>
      </c>
      <c r="J448" s="182">
        <f t="shared" si="270"/>
        <v>3003000</v>
      </c>
      <c r="K448" s="182"/>
      <c r="L448" s="182"/>
      <c r="M448" s="182"/>
      <c r="N448" s="182"/>
      <c r="O448" s="252"/>
      <c r="P448" s="252"/>
      <c r="Q448" s="144"/>
    </row>
    <row r="449" spans="1:17" ht="13.2" hidden="1" x14ac:dyDescent="0.25">
      <c r="A449" s="163" t="s">
        <v>383</v>
      </c>
      <c r="B449" s="178"/>
      <c r="C449" s="179" t="s">
        <v>565</v>
      </c>
      <c r="D449" s="180">
        <v>4</v>
      </c>
      <c r="E449" s="180" t="s">
        <v>120</v>
      </c>
      <c r="F449" s="182">
        <v>1500000</v>
      </c>
      <c r="G449" s="182">
        <f>ROUNDDOWN(D449*F449,-3)</f>
        <v>6000000</v>
      </c>
      <c r="H449" s="182" t="b">
        <f>G449='[5]Pvt SP2D Pusdik'!B450</f>
        <v>1</v>
      </c>
      <c r="I449" s="182">
        <f>'[5]Pvt SP2D Pusdik'!C450</f>
        <v>2900000</v>
      </c>
      <c r="J449" s="182">
        <f t="shared" si="270"/>
        <v>3100000</v>
      </c>
      <c r="K449" s="182"/>
      <c r="L449" s="182"/>
      <c r="M449" s="182"/>
      <c r="N449" s="182"/>
      <c r="O449" s="252"/>
      <c r="P449" s="252"/>
      <c r="Q449" s="144"/>
    </row>
    <row r="450" spans="1:17" ht="13.2" hidden="1" x14ac:dyDescent="0.25">
      <c r="A450" s="163" t="s">
        <v>384</v>
      </c>
      <c r="B450" s="178"/>
      <c r="C450" s="179" t="s">
        <v>566</v>
      </c>
      <c r="D450" s="180">
        <v>4</v>
      </c>
      <c r="E450" s="180" t="s">
        <v>120</v>
      </c>
      <c r="F450" s="182">
        <v>1000000</v>
      </c>
      <c r="G450" s="182">
        <f>ROUNDDOWN(D450*F450,-3)</f>
        <v>4000000</v>
      </c>
      <c r="H450" s="182" t="b">
        <f>G450='[5]Pvt SP2D Pusdik'!B451</f>
        <v>1</v>
      </c>
      <c r="I450" s="182">
        <f>'[5]Pvt SP2D Pusdik'!C451</f>
        <v>1956000</v>
      </c>
      <c r="J450" s="182">
        <f t="shared" si="270"/>
        <v>2044000</v>
      </c>
      <c r="K450" s="182"/>
      <c r="L450" s="182">
        <f t="shared" ref="L450" si="271">L451</f>
        <v>0</v>
      </c>
      <c r="M450" s="182" t="e" cm="1">
        <f t="array" ref="M450">SUM(_xlfn._xlws.FILTER([6]!Draft_SPBY[Jumlah],[6]!Draft_SPBY[MAK4]=A450,0))</f>
        <v>#REF!</v>
      </c>
      <c r="N450" s="182" t="e">
        <f>L450-M450</f>
        <v>#REF!</v>
      </c>
      <c r="O450" s="252"/>
      <c r="P450" s="252"/>
      <c r="Q450" s="144"/>
    </row>
    <row r="451" spans="1:17" ht="13.2" hidden="1" x14ac:dyDescent="0.25">
      <c r="A451" s="163" t="s">
        <v>385</v>
      </c>
      <c r="B451" s="178"/>
      <c r="C451" s="179" t="s">
        <v>822</v>
      </c>
      <c r="D451" s="180">
        <v>12</v>
      </c>
      <c r="E451" s="180" t="s">
        <v>59</v>
      </c>
      <c r="F451" s="182">
        <v>500000</v>
      </c>
      <c r="G451" s="182">
        <f>ROUNDDOWN(D451*F451,-3)</f>
        <v>6000000</v>
      </c>
      <c r="H451" s="182" t="b">
        <f>G451='[5]Pvt SP2D Pusdik'!B452</f>
        <v>1</v>
      </c>
      <c r="I451" s="182">
        <f>'[5]Pvt SP2D Pusdik'!C452</f>
        <v>3000000</v>
      </c>
      <c r="J451" s="182">
        <f t="shared" si="270"/>
        <v>3000000</v>
      </c>
      <c r="K451" s="182"/>
      <c r="L451" s="182"/>
      <c r="M451" s="182"/>
      <c r="N451" s="182"/>
      <c r="O451" s="252"/>
      <c r="P451" s="252"/>
      <c r="Q451" s="144"/>
    </row>
    <row r="452" spans="1:17" ht="13.2" x14ac:dyDescent="0.25">
      <c r="A452" s="163" t="s">
        <v>387</v>
      </c>
      <c r="B452" s="184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 t="shared" ref="L452" si="272">L453</f>
        <v>0</v>
      </c>
      <c r="M452" s="76" t="e" cm="1">
        <f t="array" ref="M452">SUM(_xlfn._xlws.FILTER([6]!Draft_SPBY[Jumlah],[6]!Draft_SPBY[MAK4]=A452,0))</f>
        <v>#REF!</v>
      </c>
      <c r="N452" s="76" t="e">
        <f>L452-M452</f>
        <v>#REF!</v>
      </c>
      <c r="O452" s="252"/>
      <c r="P452" s="252"/>
      <c r="Q452" s="144"/>
    </row>
    <row r="453" spans="1:17" ht="13.2" x14ac:dyDescent="0.25">
      <c r="A453" s="163" t="s">
        <v>388</v>
      </c>
      <c r="B453" s="178"/>
      <c r="C453" s="179" t="s">
        <v>855</v>
      </c>
      <c r="D453" s="180">
        <v>15</v>
      </c>
      <c r="E453" s="180" t="s">
        <v>26</v>
      </c>
      <c r="F453" s="182">
        <v>4587400</v>
      </c>
      <c r="G453" s="182">
        <f>ROUNDDOWN(D453*F453,-3)</f>
        <v>68811000</v>
      </c>
      <c r="H453" s="182" t="b">
        <f>G453='[5]Pvt SP2D Pusdik'!B454</f>
        <v>1</v>
      </c>
      <c r="I453" s="182">
        <f>'[5]Pvt SP2D Pusdik'!C454</f>
        <v>23552700</v>
      </c>
      <c r="J453" s="182">
        <f>G453-I453</f>
        <v>45258300</v>
      </c>
      <c r="K453" s="182">
        <v>9170000</v>
      </c>
      <c r="L453" s="182"/>
      <c r="M453" s="182"/>
      <c r="N453" s="182"/>
      <c r="O453" s="252"/>
      <c r="P453" s="252"/>
      <c r="Q453" s="144"/>
    </row>
    <row r="454" spans="1:17" ht="13.2" x14ac:dyDescent="0.25">
      <c r="A454" s="163" t="s">
        <v>389</v>
      </c>
      <c r="B454" s="236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138895850</v>
      </c>
      <c r="J454" s="94">
        <f>J455</f>
        <v>429225150</v>
      </c>
      <c r="K454" s="94">
        <f>K455</f>
        <v>42058000</v>
      </c>
      <c r="L454" s="94">
        <f t="shared" ref="L454" si="273">SUM(L455,L461,L463)</f>
        <v>0</v>
      </c>
      <c r="M454" s="94" t="e">
        <f t="shared" ref="M454:N454" si="274">SUM(M455,M461,M463)</f>
        <v>#REF!</v>
      </c>
      <c r="N454" s="94" t="e">
        <f t="shared" si="274"/>
        <v>#REF!</v>
      </c>
      <c r="O454" s="252"/>
      <c r="P454" s="252"/>
      <c r="Q454" s="144"/>
    </row>
    <row r="455" spans="1:17" ht="13.2" x14ac:dyDescent="0.25">
      <c r="A455" s="163" t="s">
        <v>392</v>
      </c>
      <c r="B455" s="199" t="s">
        <v>611</v>
      </c>
      <c r="C455" s="200" t="s">
        <v>393</v>
      </c>
      <c r="D455" s="201"/>
      <c r="E455" s="201" t="s">
        <v>562</v>
      </c>
      <c r="F455" s="202"/>
      <c r="G455" s="202">
        <f>SUM(G456,G466,G476,G487,G497,G505,G515,G525)</f>
        <v>568121000</v>
      </c>
      <c r="H455" s="202" t="b">
        <f>G455='[5]Pvt SP2D Pusdik'!B456</f>
        <v>1</v>
      </c>
      <c r="I455" s="202">
        <f>'[5]Pvt SP2D Pusdik'!C456</f>
        <v>138895850</v>
      </c>
      <c r="J455" s="202">
        <f>SUM(J456,J466,J476,J487,J497,J505,J515,J525)</f>
        <v>429225150</v>
      </c>
      <c r="K455" s="202">
        <f>SUM(K456,K466,K476,K487,K497,K505,K515,K525)</f>
        <v>42058000</v>
      </c>
      <c r="L455" s="202">
        <f t="shared" ref="L455" si="275">SUM(L456:L460)</f>
        <v>0</v>
      </c>
      <c r="M455" s="202" t="e" cm="1">
        <f t="array" ref="M455">SUM(_xlfn._xlws.FILTER([6]!Draft_SPBY[Jumlah],[6]!Draft_SPBY[MAK4]=A455,0))</f>
        <v>#REF!</v>
      </c>
      <c r="N455" s="202" t="e">
        <f>L455-M455</f>
        <v>#REF!</v>
      </c>
      <c r="O455" s="252"/>
      <c r="P455" s="252"/>
      <c r="Q455" s="144"/>
    </row>
    <row r="456" spans="1:17" ht="13.2" x14ac:dyDescent="0.25">
      <c r="A456" s="163" t="s">
        <v>394</v>
      </c>
      <c r="B456" s="192" t="s">
        <v>21</v>
      </c>
      <c r="C456" s="193" t="s">
        <v>856</v>
      </c>
      <c r="D456" s="194"/>
      <c r="E456" s="194"/>
      <c r="F456" s="195"/>
      <c r="G456" s="195">
        <f>SUM(G457,G462,G464)</f>
        <v>48160000</v>
      </c>
      <c r="H456" s="195" t="b">
        <f>G456='[5]Pvt SP2D Pusdik'!B457</f>
        <v>1</v>
      </c>
      <c r="I456" s="195">
        <f>'[5]Pvt SP2D Pusdik'!C457</f>
        <v>18860000</v>
      </c>
      <c r="J456" s="195">
        <f>SUM(J457,J462,J464)</f>
        <v>29300000</v>
      </c>
      <c r="K456" s="195">
        <f>SUM(K457,K462,K464)</f>
        <v>3450000</v>
      </c>
      <c r="L456" s="195"/>
      <c r="M456" s="195"/>
      <c r="N456" s="195"/>
      <c r="O456" s="252" t="s">
        <v>503</v>
      </c>
      <c r="P456" s="252" t="s">
        <v>508</v>
      </c>
      <c r="Q456" s="144"/>
    </row>
    <row r="457" spans="1:17" ht="13.2" hidden="1" x14ac:dyDescent="0.25">
      <c r="A457" s="163" t="s">
        <v>395</v>
      </c>
      <c r="B457" s="190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/>
      <c r="M457" s="79"/>
      <c r="N457" s="79"/>
      <c r="O457" s="252"/>
      <c r="P457" s="252"/>
      <c r="Q457" s="144"/>
    </row>
    <row r="458" spans="1:17" ht="13.2" hidden="1" x14ac:dyDescent="0.25">
      <c r="A458" s="163" t="s">
        <v>396</v>
      </c>
      <c r="B458" s="178"/>
      <c r="C458" s="179" t="s">
        <v>563</v>
      </c>
      <c r="D458" s="180">
        <v>50</v>
      </c>
      <c r="E458" s="180" t="s">
        <v>26</v>
      </c>
      <c r="F458" s="182">
        <v>75000</v>
      </c>
      <c r="G458" s="182">
        <f>ROUNDDOWN(D458*F458,-3)</f>
        <v>3750000</v>
      </c>
      <c r="H458" s="182" t="b">
        <f>G458='[5]Pvt SP2D Pusdik'!B459</f>
        <v>1</v>
      </c>
      <c r="I458" s="182">
        <f>'[5]Pvt SP2D Pusdik'!C459</f>
        <v>0</v>
      </c>
      <c r="J458" s="182">
        <f t="shared" ref="J458:J461" si="276">G458-I458</f>
        <v>3750000</v>
      </c>
      <c r="K458" s="182"/>
      <c r="L458" s="182"/>
      <c r="M458" s="182"/>
      <c r="N458" s="182"/>
      <c r="O458" s="252"/>
      <c r="P458" s="252"/>
      <c r="Q458" s="144"/>
    </row>
    <row r="459" spans="1:17" ht="13.2" hidden="1" x14ac:dyDescent="0.25">
      <c r="A459" s="163" t="s">
        <v>397</v>
      </c>
      <c r="B459" s="178"/>
      <c r="C459" s="179" t="s">
        <v>564</v>
      </c>
      <c r="D459" s="180">
        <v>4</v>
      </c>
      <c r="E459" s="180" t="s">
        <v>120</v>
      </c>
      <c r="F459" s="182">
        <v>1500000</v>
      </c>
      <c r="G459" s="182">
        <f>ROUNDDOWN(D459*F459,-3)</f>
        <v>6000000</v>
      </c>
      <c r="H459" s="182" t="b">
        <f>G459='[5]Pvt SP2D Pusdik'!B460</f>
        <v>1</v>
      </c>
      <c r="I459" s="182">
        <f>'[5]Pvt SP2D Pusdik'!C460</f>
        <v>2970000</v>
      </c>
      <c r="J459" s="182">
        <f t="shared" si="276"/>
        <v>3030000</v>
      </c>
      <c r="K459" s="182"/>
      <c r="L459" s="182"/>
      <c r="M459" s="182"/>
      <c r="N459" s="182"/>
      <c r="O459" s="252"/>
      <c r="P459" s="252"/>
      <c r="Q459" s="144"/>
    </row>
    <row r="460" spans="1:17" ht="13.2" hidden="1" x14ac:dyDescent="0.25">
      <c r="A460" s="163" t="s">
        <v>398</v>
      </c>
      <c r="B460" s="178"/>
      <c r="C460" s="179" t="s">
        <v>565</v>
      </c>
      <c r="D460" s="180">
        <v>4</v>
      </c>
      <c r="E460" s="180" t="s">
        <v>120</v>
      </c>
      <c r="F460" s="182">
        <v>1500000</v>
      </c>
      <c r="G460" s="182">
        <f>ROUNDDOWN(D460*F460,-3)</f>
        <v>6000000</v>
      </c>
      <c r="H460" s="182" t="b">
        <f>G460='[5]Pvt SP2D Pusdik'!B461</f>
        <v>1</v>
      </c>
      <c r="I460" s="182">
        <f>'[5]Pvt SP2D Pusdik'!C461</f>
        <v>2900000</v>
      </c>
      <c r="J460" s="182">
        <f t="shared" si="276"/>
        <v>3100000</v>
      </c>
      <c r="K460" s="182"/>
      <c r="L460" s="182"/>
      <c r="M460" s="182"/>
      <c r="N460" s="182"/>
      <c r="O460" s="252"/>
      <c r="P460" s="252"/>
      <c r="Q460" s="144"/>
    </row>
    <row r="461" spans="1:17" ht="13.2" hidden="1" x14ac:dyDescent="0.25">
      <c r="A461" s="163" t="s">
        <v>399</v>
      </c>
      <c r="B461" s="178"/>
      <c r="C461" s="179" t="s">
        <v>566</v>
      </c>
      <c r="D461" s="180">
        <v>4</v>
      </c>
      <c r="E461" s="180" t="s">
        <v>120</v>
      </c>
      <c r="F461" s="182">
        <v>1000000</v>
      </c>
      <c r="G461" s="182">
        <f>ROUNDDOWN(D461*F461,-3)</f>
        <v>4000000</v>
      </c>
      <c r="H461" s="182" t="b">
        <f>G461='[5]Pvt SP2D Pusdik'!B462</f>
        <v>1</v>
      </c>
      <c r="I461" s="182">
        <f>'[5]Pvt SP2D Pusdik'!C462</f>
        <v>1995000</v>
      </c>
      <c r="J461" s="182">
        <f t="shared" si="276"/>
        <v>2005000</v>
      </c>
      <c r="K461" s="182"/>
      <c r="L461" s="182">
        <f t="shared" ref="L461" si="277">L462</f>
        <v>0</v>
      </c>
      <c r="M461" s="182" t="e" cm="1">
        <f t="array" ref="M461">SUM(_xlfn._xlws.FILTER([6]!Draft_SPBY[Jumlah],[6]!Draft_SPBY[MAK4]=A461,0))</f>
        <v>#REF!</v>
      </c>
      <c r="N461" s="182" t="e">
        <f>L461-M461</f>
        <v>#REF!</v>
      </c>
      <c r="O461" s="252"/>
      <c r="P461" s="252"/>
      <c r="Q461" s="144"/>
    </row>
    <row r="462" spans="1:17" ht="13.2" x14ac:dyDescent="0.25">
      <c r="A462" s="163" t="s">
        <v>400</v>
      </c>
      <c r="B462" s="184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/>
      <c r="M462" s="76"/>
      <c r="N462" s="76"/>
      <c r="O462" s="252"/>
      <c r="P462" s="252"/>
      <c r="Q462" s="144"/>
    </row>
    <row r="463" spans="1:17" ht="13.2" x14ac:dyDescent="0.25">
      <c r="A463" s="163" t="s">
        <v>401</v>
      </c>
      <c r="B463" s="178"/>
      <c r="C463" s="179" t="s">
        <v>999</v>
      </c>
      <c r="D463" s="180">
        <v>6</v>
      </c>
      <c r="E463" s="180" t="s">
        <v>26</v>
      </c>
      <c r="F463" s="182">
        <v>4135000</v>
      </c>
      <c r="G463" s="182">
        <f>ROUNDDOWN(D463*F463,-3)</f>
        <v>24810000</v>
      </c>
      <c r="H463" s="182" t="b">
        <f>G463='[5]Pvt SP2D Pusdik'!B464</f>
        <v>1</v>
      </c>
      <c r="I463" s="182">
        <f>'[5]Pvt SP2D Pusdik'!C464</f>
        <v>10995000</v>
      </c>
      <c r="J463" s="182">
        <f>G463-I463</f>
        <v>13815000</v>
      </c>
      <c r="K463" s="182">
        <v>3000000</v>
      </c>
      <c r="L463" s="182">
        <f t="shared" ref="L463" si="278">L464</f>
        <v>0</v>
      </c>
      <c r="M463" s="182" t="e" cm="1">
        <f t="array" ref="M463">SUM(_xlfn._xlws.FILTER([6]!Draft_SPBY[Jumlah],[6]!Draft_SPBY[MAK4]=A463,0))</f>
        <v>#REF!</v>
      </c>
      <c r="N463" s="182" t="e">
        <f>L463-M463</f>
        <v>#REF!</v>
      </c>
      <c r="O463" s="252"/>
      <c r="P463" s="252"/>
      <c r="Q463" s="144"/>
    </row>
    <row r="464" spans="1:17" ht="13.2" x14ac:dyDescent="0.25">
      <c r="A464" s="163" t="s">
        <v>857</v>
      </c>
      <c r="B464" s="177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/>
      <c r="M464" s="71"/>
      <c r="N464" s="71"/>
      <c r="O464" s="252"/>
      <c r="P464" s="252"/>
      <c r="Q464" s="144"/>
    </row>
    <row r="465" spans="1:17" ht="13.2" x14ac:dyDescent="0.25">
      <c r="A465" s="163" t="s">
        <v>858</v>
      </c>
      <c r="B465" s="178"/>
      <c r="C465" s="179" t="s">
        <v>859</v>
      </c>
      <c r="D465" s="180">
        <v>24</v>
      </c>
      <c r="E465" s="180" t="s">
        <v>26</v>
      </c>
      <c r="F465" s="182">
        <v>150000</v>
      </c>
      <c r="G465" s="182">
        <f>ROUNDDOWN(D465*F465,-3)</f>
        <v>3600000</v>
      </c>
      <c r="H465" s="182" t="b">
        <f>G465='[5]Pvt SP2D Pusdik'!B466</f>
        <v>1</v>
      </c>
      <c r="I465" s="182">
        <f>'[5]Pvt SP2D Pusdik'!C466</f>
        <v>0</v>
      </c>
      <c r="J465" s="182">
        <f>G465-I465</f>
        <v>3600000</v>
      </c>
      <c r="K465" s="182">
        <v>450000</v>
      </c>
      <c r="L465" s="182">
        <f t="shared" ref="L465" si="279">SUM(L466,L471,L473)</f>
        <v>0</v>
      </c>
      <c r="M465" s="182" t="e">
        <f t="shared" ref="M465:N465" si="280">SUM(M466,M471,M473)</f>
        <v>#REF!</v>
      </c>
      <c r="N465" s="182" t="e">
        <f t="shared" si="280"/>
        <v>#REF!</v>
      </c>
      <c r="O465" s="252"/>
      <c r="P465" s="252"/>
      <c r="Q465" s="144"/>
    </row>
    <row r="466" spans="1:17" ht="13.2" x14ac:dyDescent="0.25">
      <c r="A466" s="163" t="s">
        <v>402</v>
      </c>
      <c r="B466" s="192" t="s">
        <v>38</v>
      </c>
      <c r="C466" s="193" t="s">
        <v>860</v>
      </c>
      <c r="D466" s="194"/>
      <c r="E466" s="194"/>
      <c r="F466" s="195"/>
      <c r="G466" s="195">
        <f>SUM(G467,G472,G474)</f>
        <v>46450000</v>
      </c>
      <c r="H466" s="195" t="b">
        <f>G466='[5]Pvt SP2D Pusdik'!B467</f>
        <v>1</v>
      </c>
      <c r="I466" s="195">
        <f>'[5]Pvt SP2D Pusdik'!C467</f>
        <v>16094100</v>
      </c>
      <c r="J466" s="195">
        <f>SUM(J467,J472,J474)</f>
        <v>30355900</v>
      </c>
      <c r="K466" s="195">
        <f>SUM(K467,K472,K474)</f>
        <v>6000000</v>
      </c>
      <c r="L466" s="195">
        <f t="shared" ref="L466" si="281">SUM(L467:L470)</f>
        <v>0</v>
      </c>
      <c r="M466" s="195" t="e" cm="1">
        <f t="array" ref="M466">SUM(_xlfn._xlws.FILTER([6]!Draft_SPBY[Jumlah],[6]!Draft_SPBY[MAK4]=A466,0))</f>
        <v>#REF!</v>
      </c>
      <c r="N466" s="195" t="e">
        <f>L466-M466</f>
        <v>#REF!</v>
      </c>
      <c r="O466" s="252" t="s">
        <v>503</v>
      </c>
      <c r="P466" s="252" t="s">
        <v>508</v>
      </c>
      <c r="Q466" s="144"/>
    </row>
    <row r="467" spans="1:17" ht="13.2" hidden="1" x14ac:dyDescent="0.25">
      <c r="A467" s="163" t="s">
        <v>403</v>
      </c>
      <c r="B467" s="190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/>
      <c r="M467" s="79"/>
      <c r="N467" s="79"/>
      <c r="O467" s="252"/>
      <c r="P467" s="252"/>
      <c r="Q467" s="144"/>
    </row>
    <row r="468" spans="1:17" ht="13.2" hidden="1" x14ac:dyDescent="0.25">
      <c r="A468" s="163" t="s">
        <v>404</v>
      </c>
      <c r="B468" s="178"/>
      <c r="C468" s="179" t="s">
        <v>563</v>
      </c>
      <c r="D468" s="180">
        <v>40</v>
      </c>
      <c r="E468" s="180" t="s">
        <v>26</v>
      </c>
      <c r="F468" s="182">
        <v>75000</v>
      </c>
      <c r="G468" s="182">
        <f>ROUNDDOWN(D468*F468,-3)</f>
        <v>3000000</v>
      </c>
      <c r="H468" s="182" t="b">
        <f>G468='[5]Pvt SP2D Pusdik'!B469</f>
        <v>1</v>
      </c>
      <c r="I468" s="182">
        <f>'[5]Pvt SP2D Pusdik'!C469</f>
        <v>935100</v>
      </c>
      <c r="J468" s="182">
        <f t="shared" ref="J468:J471" si="282">G468-I468</f>
        <v>2064900</v>
      </c>
      <c r="K468" s="182"/>
      <c r="L468" s="182"/>
      <c r="M468" s="182"/>
      <c r="N468" s="182"/>
      <c r="O468" s="252"/>
      <c r="P468" s="252"/>
      <c r="Q468" s="144"/>
    </row>
    <row r="469" spans="1:17" ht="13.2" hidden="1" x14ac:dyDescent="0.25">
      <c r="A469" s="163" t="s">
        <v>405</v>
      </c>
      <c r="B469" s="178"/>
      <c r="C469" s="179" t="s">
        <v>564</v>
      </c>
      <c r="D469" s="180">
        <v>4</v>
      </c>
      <c r="E469" s="180" t="s">
        <v>120</v>
      </c>
      <c r="F469" s="182">
        <v>1500000</v>
      </c>
      <c r="G469" s="182">
        <f>ROUNDDOWN(D469*F469,-3)</f>
        <v>6000000</v>
      </c>
      <c r="H469" s="182" t="b">
        <f>G469='[5]Pvt SP2D Pusdik'!B470</f>
        <v>1</v>
      </c>
      <c r="I469" s="182">
        <f>'[5]Pvt SP2D Pusdik'!C470</f>
        <v>3755000</v>
      </c>
      <c r="J469" s="182">
        <f t="shared" si="282"/>
        <v>2245000</v>
      </c>
      <c r="K469" s="182"/>
      <c r="L469" s="182"/>
      <c r="M469" s="182"/>
      <c r="N469" s="182"/>
      <c r="O469" s="252"/>
      <c r="P469" s="252"/>
      <c r="Q469" s="144"/>
    </row>
    <row r="470" spans="1:17" ht="13.2" hidden="1" x14ac:dyDescent="0.25">
      <c r="A470" s="163" t="s">
        <v>861</v>
      </c>
      <c r="B470" s="178"/>
      <c r="C470" s="179" t="s">
        <v>565</v>
      </c>
      <c r="D470" s="180">
        <v>4</v>
      </c>
      <c r="E470" s="180" t="s">
        <v>120</v>
      </c>
      <c r="F470" s="182">
        <v>1500000</v>
      </c>
      <c r="G470" s="182">
        <f>ROUNDDOWN(D470*F470,-3)</f>
        <v>6000000</v>
      </c>
      <c r="H470" s="182" t="b">
        <f>G470='[5]Pvt SP2D Pusdik'!B471</f>
        <v>1</v>
      </c>
      <c r="I470" s="182">
        <f>'[5]Pvt SP2D Pusdik'!C471</f>
        <v>2995000</v>
      </c>
      <c r="J470" s="182">
        <f t="shared" si="282"/>
        <v>3005000</v>
      </c>
      <c r="K470" s="182"/>
      <c r="L470" s="182"/>
      <c r="M470" s="182"/>
      <c r="N470" s="182"/>
      <c r="O470" s="252"/>
      <c r="P470" s="252"/>
      <c r="Q470" s="144"/>
    </row>
    <row r="471" spans="1:17" ht="13.2" hidden="1" x14ac:dyDescent="0.25">
      <c r="A471" s="163" t="s">
        <v>862</v>
      </c>
      <c r="B471" s="178"/>
      <c r="C471" s="179" t="s">
        <v>566</v>
      </c>
      <c r="D471" s="180">
        <v>4</v>
      </c>
      <c r="E471" s="180" t="s">
        <v>120</v>
      </c>
      <c r="F471" s="182">
        <v>1000000</v>
      </c>
      <c r="G471" s="182">
        <f>ROUNDDOWN(D471*F471,-3)</f>
        <v>4000000</v>
      </c>
      <c r="H471" s="182" t="b">
        <f>G471='[5]Pvt SP2D Pusdik'!B472</f>
        <v>1</v>
      </c>
      <c r="I471" s="182">
        <f>'[5]Pvt SP2D Pusdik'!C472</f>
        <v>1989000</v>
      </c>
      <c r="J471" s="182">
        <f t="shared" si="282"/>
        <v>2011000</v>
      </c>
      <c r="K471" s="182"/>
      <c r="L471" s="182">
        <f t="shared" ref="L471" si="283">L472</f>
        <v>0</v>
      </c>
      <c r="M471" s="182" t="e" cm="1">
        <f t="array" ref="M471">SUM(_xlfn._xlws.FILTER([6]!Draft_SPBY[Jumlah],[6]!Draft_SPBY[MAK4]=A471,0))</f>
        <v>#REF!</v>
      </c>
      <c r="N471" s="182" t="e">
        <f>L471-M471</f>
        <v>#REF!</v>
      </c>
      <c r="O471" s="252"/>
      <c r="P471" s="252"/>
      <c r="Q471" s="144"/>
    </row>
    <row r="472" spans="1:17" ht="13.2" x14ac:dyDescent="0.25">
      <c r="A472" s="163" t="s">
        <v>406</v>
      </c>
      <c r="B472" s="177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6420000</v>
      </c>
      <c r="J472" s="71">
        <f>J473</f>
        <v>19830000</v>
      </c>
      <c r="K472" s="71">
        <f>K473</f>
        <v>6000000</v>
      </c>
      <c r="L472" s="71"/>
      <c r="M472" s="71"/>
      <c r="N472" s="71"/>
      <c r="O472" s="252"/>
      <c r="P472" s="252"/>
      <c r="Q472" s="144"/>
    </row>
    <row r="473" spans="1:17" ht="13.2" x14ac:dyDescent="0.25">
      <c r="A473" s="163" t="s">
        <v>407</v>
      </c>
      <c r="B473" s="178"/>
      <c r="C473" s="179" t="s">
        <v>1000</v>
      </c>
      <c r="D473" s="180">
        <v>15</v>
      </c>
      <c r="E473" s="180" t="s">
        <v>26</v>
      </c>
      <c r="F473" s="182">
        <v>1750000</v>
      </c>
      <c r="G473" s="182">
        <f>ROUNDDOWN(D473*F473,-3)</f>
        <v>26250000</v>
      </c>
      <c r="H473" s="182" t="b">
        <f>G473='[5]Pvt SP2D Pusdik'!B474</f>
        <v>1</v>
      </c>
      <c r="I473" s="182">
        <f>'[5]Pvt SP2D Pusdik'!C474</f>
        <v>6420000</v>
      </c>
      <c r="J473" s="182">
        <f>G473-I473</f>
        <v>19830000</v>
      </c>
      <c r="K473" s="182">
        <v>6000000</v>
      </c>
      <c r="L473" s="182">
        <f t="shared" ref="L473" si="284">L474</f>
        <v>0</v>
      </c>
      <c r="M473" s="182" t="e" cm="1">
        <f t="array" ref="M473">SUM(_xlfn._xlws.FILTER([6]!Draft_SPBY[Jumlah],[6]!Draft_SPBY[MAK4]=A473,0))</f>
        <v>#REF!</v>
      </c>
      <c r="N473" s="182" t="e">
        <f>L473-M473</f>
        <v>#REF!</v>
      </c>
      <c r="O473" s="252"/>
      <c r="P473" s="252"/>
      <c r="Q473" s="144"/>
    </row>
    <row r="474" spans="1:17" ht="13.2" hidden="1" x14ac:dyDescent="0.25">
      <c r="A474" s="163" t="s">
        <v>863</v>
      </c>
      <c r="B474" s="190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/>
      <c r="M474" s="79"/>
      <c r="N474" s="79"/>
      <c r="O474" s="252"/>
      <c r="P474" s="252"/>
      <c r="Q474" s="144"/>
    </row>
    <row r="475" spans="1:17" ht="13.2" hidden="1" x14ac:dyDescent="0.25">
      <c r="A475" s="163" t="s">
        <v>864</v>
      </c>
      <c r="B475" s="178"/>
      <c r="C475" s="179" t="s">
        <v>859</v>
      </c>
      <c r="D475" s="180">
        <v>8</v>
      </c>
      <c r="E475" s="180" t="s">
        <v>26</v>
      </c>
      <c r="F475" s="182">
        <v>150000</v>
      </c>
      <c r="G475" s="182">
        <f>ROUNDDOWN(D475*F475,-3)</f>
        <v>1200000</v>
      </c>
      <c r="H475" s="182" t="b">
        <f>G475='[5]Pvt SP2D Pusdik'!B476</f>
        <v>1</v>
      </c>
      <c r="I475" s="182">
        <f>'[5]Pvt SP2D Pusdik'!C476</f>
        <v>0</v>
      </c>
      <c r="J475" s="182">
        <f>G475-I475</f>
        <v>1200000</v>
      </c>
      <c r="K475" s="182"/>
      <c r="L475" s="182">
        <f t="shared" ref="L475" si="285">SUM(L476,L481,L483)</f>
        <v>0</v>
      </c>
      <c r="M475" s="182" t="e">
        <f t="shared" ref="M475:N475" si="286">SUM(M476,M481,M483)</f>
        <v>#REF!</v>
      </c>
      <c r="N475" s="182" t="e">
        <f t="shared" si="286"/>
        <v>#REF!</v>
      </c>
      <c r="O475" s="252"/>
      <c r="P475" s="252"/>
      <c r="Q475" s="144"/>
    </row>
    <row r="476" spans="1:17" ht="13.2" x14ac:dyDescent="0.25">
      <c r="A476" s="163" t="s">
        <v>408</v>
      </c>
      <c r="B476" s="192" t="s">
        <v>91</v>
      </c>
      <c r="C476" s="193" t="s">
        <v>424</v>
      </c>
      <c r="D476" s="194"/>
      <c r="E476" s="194"/>
      <c r="F476" s="195"/>
      <c r="G476" s="195">
        <f>SUM(G477,G483,G485)</f>
        <v>74300000</v>
      </c>
      <c r="H476" s="195" t="b">
        <f>G476='[5]Pvt SP2D Pusdik'!B477</f>
        <v>1</v>
      </c>
      <c r="I476" s="195">
        <f>'[5]Pvt SP2D Pusdik'!C477</f>
        <v>27385500</v>
      </c>
      <c r="J476" s="195">
        <f>SUM(J477,J483,J485)</f>
        <v>46914500</v>
      </c>
      <c r="K476" s="195">
        <f>SUM(K477,K483,K485)</f>
        <v>4828000</v>
      </c>
      <c r="L476" s="195">
        <f t="shared" ref="L476" si="287">SUM(L477:L480)</f>
        <v>0</v>
      </c>
      <c r="M476" s="195" t="e" cm="1">
        <f t="array" ref="M476">SUM(_xlfn._xlws.FILTER([6]!Draft_SPBY[Jumlah],[6]!Draft_SPBY[MAK4]=A476,0))</f>
        <v>#REF!</v>
      </c>
      <c r="N476" s="195" t="e">
        <f>L476-M476</f>
        <v>#REF!</v>
      </c>
      <c r="O476" s="252" t="s">
        <v>503</v>
      </c>
      <c r="P476" s="252" t="s">
        <v>508</v>
      </c>
      <c r="Q476" s="144"/>
    </row>
    <row r="477" spans="1:17" ht="13.2" x14ac:dyDescent="0.25">
      <c r="A477" s="163" t="s">
        <v>409</v>
      </c>
      <c r="B477" s="184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10887000</v>
      </c>
      <c r="J477" s="76">
        <f>SUM(J478:J482)</f>
        <v>17863000</v>
      </c>
      <c r="K477" s="76">
        <f>SUM(K478:K482)</f>
        <v>528000</v>
      </c>
      <c r="L477" s="76"/>
      <c r="M477" s="76"/>
      <c r="N477" s="76"/>
      <c r="O477" s="252"/>
      <c r="P477" s="252"/>
      <c r="Q477" s="144"/>
    </row>
    <row r="478" spans="1:17" ht="13.2" x14ac:dyDescent="0.25">
      <c r="A478" s="163" t="s">
        <v>410</v>
      </c>
      <c r="B478" s="178"/>
      <c r="C478" s="179" t="s">
        <v>563</v>
      </c>
      <c r="D478" s="180">
        <v>50</v>
      </c>
      <c r="E478" s="180" t="s">
        <v>26</v>
      </c>
      <c r="F478" s="182">
        <v>75000</v>
      </c>
      <c r="G478" s="182">
        <f>ROUNDDOWN(D478*F478,-3)</f>
        <v>3750000</v>
      </c>
      <c r="H478" s="182" t="b">
        <f>G478='[5]Pvt SP2D Pusdik'!B479</f>
        <v>1</v>
      </c>
      <c r="I478" s="182">
        <f>'[5]Pvt SP2D Pusdik'!C479</f>
        <v>2921000</v>
      </c>
      <c r="J478" s="182">
        <f t="shared" ref="J478:J482" si="288">G478-I478</f>
        <v>829000</v>
      </c>
      <c r="K478" s="182">
        <v>528000</v>
      </c>
      <c r="L478" s="182"/>
      <c r="M478" s="182"/>
      <c r="N478" s="182"/>
      <c r="O478" s="252"/>
      <c r="P478" s="252"/>
      <c r="Q478" s="144"/>
    </row>
    <row r="479" spans="1:17" ht="13.2" hidden="1" x14ac:dyDescent="0.25">
      <c r="A479" s="163" t="s">
        <v>411</v>
      </c>
      <c r="B479" s="178"/>
      <c r="C479" s="179" t="s">
        <v>865</v>
      </c>
      <c r="D479" s="180">
        <v>6</v>
      </c>
      <c r="E479" s="180" t="s">
        <v>120</v>
      </c>
      <c r="F479" s="182">
        <v>1500000</v>
      </c>
      <c r="G479" s="182">
        <f>ROUNDDOWN(D479*F479,-3)</f>
        <v>9000000</v>
      </c>
      <c r="H479" s="182" t="b">
        <f>G479='[5]Pvt SP2D Pusdik'!B480</f>
        <v>1</v>
      </c>
      <c r="I479" s="182">
        <f>'[5]Pvt SP2D Pusdik'!C480</f>
        <v>0</v>
      </c>
      <c r="J479" s="182">
        <f t="shared" si="288"/>
        <v>9000000</v>
      </c>
      <c r="K479" s="182"/>
      <c r="L479" s="182"/>
      <c r="M479" s="182"/>
      <c r="N479" s="182"/>
      <c r="O479" s="252"/>
      <c r="P479" s="252"/>
      <c r="Q479" s="144"/>
    </row>
    <row r="480" spans="1:17" ht="13.2" hidden="1" x14ac:dyDescent="0.25">
      <c r="A480" s="163" t="s">
        <v>866</v>
      </c>
      <c r="B480" s="178"/>
      <c r="C480" s="179" t="s">
        <v>867</v>
      </c>
      <c r="D480" s="180">
        <v>4</v>
      </c>
      <c r="E480" s="180" t="s">
        <v>120</v>
      </c>
      <c r="F480" s="182">
        <v>1500000</v>
      </c>
      <c r="G480" s="182">
        <f>ROUNDDOWN(D480*F480,-3)</f>
        <v>6000000</v>
      </c>
      <c r="H480" s="182" t="b">
        <f>G480='[5]Pvt SP2D Pusdik'!B481</f>
        <v>1</v>
      </c>
      <c r="I480" s="182">
        <f>'[5]Pvt SP2D Pusdik'!C481</f>
        <v>2985000</v>
      </c>
      <c r="J480" s="182">
        <f t="shared" si="288"/>
        <v>3015000</v>
      </c>
      <c r="K480" s="182"/>
      <c r="L480" s="182"/>
      <c r="M480" s="182"/>
      <c r="N480" s="182"/>
      <c r="O480" s="252"/>
      <c r="P480" s="252"/>
      <c r="Q480" s="144"/>
    </row>
    <row r="481" spans="1:17" ht="13.2" hidden="1" x14ac:dyDescent="0.25">
      <c r="A481" s="163" t="s">
        <v>868</v>
      </c>
      <c r="B481" s="178"/>
      <c r="C481" s="179" t="s">
        <v>869</v>
      </c>
      <c r="D481" s="180">
        <v>4</v>
      </c>
      <c r="E481" s="180" t="s">
        <v>120</v>
      </c>
      <c r="F481" s="182">
        <v>1500000</v>
      </c>
      <c r="G481" s="182">
        <f>ROUNDDOWN(D481*F481,-3)</f>
        <v>6000000</v>
      </c>
      <c r="H481" s="182" t="b">
        <f>G481='[5]Pvt SP2D Pusdik'!B482</f>
        <v>1</v>
      </c>
      <c r="I481" s="182">
        <f>'[5]Pvt SP2D Pusdik'!C482</f>
        <v>2985000</v>
      </c>
      <c r="J481" s="182">
        <f t="shared" si="288"/>
        <v>3015000</v>
      </c>
      <c r="K481" s="182"/>
      <c r="L481" s="182">
        <f t="shared" ref="L481" si="289">L482</f>
        <v>0</v>
      </c>
      <c r="M481" s="182" t="e" cm="1">
        <f t="array" ref="M481">SUM(_xlfn._xlws.FILTER([6]!Draft_SPBY[Jumlah],[6]!Draft_SPBY[MAK4]=A481,0))</f>
        <v>#REF!</v>
      </c>
      <c r="N481" s="182" t="e">
        <f>L481-M481</f>
        <v>#REF!</v>
      </c>
      <c r="O481" s="252"/>
      <c r="P481" s="252"/>
      <c r="Q481" s="144"/>
    </row>
    <row r="482" spans="1:17" ht="13.2" hidden="1" x14ac:dyDescent="0.25">
      <c r="A482" s="163" t="s">
        <v>870</v>
      </c>
      <c r="B482" s="178"/>
      <c r="C482" s="179" t="s">
        <v>871</v>
      </c>
      <c r="D482" s="180">
        <v>4</v>
      </c>
      <c r="E482" s="180" t="s">
        <v>120</v>
      </c>
      <c r="F482" s="182">
        <v>1000000</v>
      </c>
      <c r="G482" s="182">
        <f>ROUNDDOWN(D482*F482,-3)</f>
        <v>4000000</v>
      </c>
      <c r="H482" s="182" t="b">
        <f>G482='[5]Pvt SP2D Pusdik'!B483</f>
        <v>1</v>
      </c>
      <c r="I482" s="182">
        <f>'[5]Pvt SP2D Pusdik'!C483</f>
        <v>1996000</v>
      </c>
      <c r="J482" s="182">
        <f t="shared" si="288"/>
        <v>2004000</v>
      </c>
      <c r="K482" s="182"/>
      <c r="L482" s="182"/>
      <c r="M482" s="182"/>
      <c r="N482" s="182"/>
      <c r="O482" s="252"/>
      <c r="P482" s="252"/>
      <c r="Q482" s="144"/>
    </row>
    <row r="483" spans="1:17" ht="13.2" x14ac:dyDescent="0.25">
      <c r="A483" s="163" t="s">
        <v>872</v>
      </c>
      <c r="B483" s="184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16348500</v>
      </c>
      <c r="J483" s="76">
        <f>J484</f>
        <v>27401500</v>
      </c>
      <c r="K483" s="76">
        <f>K484</f>
        <v>4000000</v>
      </c>
      <c r="L483" s="76">
        <f t="shared" ref="L483" si="290">L484</f>
        <v>0</v>
      </c>
      <c r="M483" s="76" t="e" cm="1">
        <f t="array" ref="M483">SUM(_xlfn._xlws.FILTER([6]!Draft_SPBY[Jumlah],[6]!Draft_SPBY[MAK4]=A483,0))</f>
        <v>#REF!</v>
      </c>
      <c r="N483" s="76" t="e">
        <f>L483-M483</f>
        <v>#REF!</v>
      </c>
      <c r="O483" s="252"/>
      <c r="P483" s="252"/>
      <c r="Q483" s="144"/>
    </row>
    <row r="484" spans="1:17" ht="13.2" x14ac:dyDescent="0.25">
      <c r="A484" s="163" t="s">
        <v>873</v>
      </c>
      <c r="B484" s="178"/>
      <c r="C484" s="179" t="s">
        <v>874</v>
      </c>
      <c r="D484" s="180">
        <v>25</v>
      </c>
      <c r="E484" s="180" t="s">
        <v>26</v>
      </c>
      <c r="F484" s="182">
        <v>1750000</v>
      </c>
      <c r="G484" s="182">
        <f>ROUNDDOWN(D484*F484,-3)</f>
        <v>43750000</v>
      </c>
      <c r="H484" s="182" t="b">
        <f>G484='[5]Pvt SP2D Pusdik'!B485</f>
        <v>1</v>
      </c>
      <c r="I484" s="182">
        <f>'[5]Pvt SP2D Pusdik'!C485</f>
        <v>16348500</v>
      </c>
      <c r="J484" s="182">
        <f>G484-I484</f>
        <v>27401500</v>
      </c>
      <c r="K484" s="182">
        <v>4000000</v>
      </c>
      <c r="L484" s="182"/>
      <c r="M484" s="182"/>
      <c r="N484" s="182"/>
      <c r="O484" s="252"/>
      <c r="P484" s="252"/>
      <c r="Q484" s="144"/>
    </row>
    <row r="485" spans="1:17" ht="13.2" x14ac:dyDescent="0.25">
      <c r="A485" s="163" t="s">
        <v>875</v>
      </c>
      <c r="B485" s="184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 t="shared" ref="L485" si="291">SUM(L486,L491,L493)</f>
        <v>0</v>
      </c>
      <c r="M485" s="76" t="e">
        <f t="shared" ref="M485:N485" si="292">SUM(M486,M491,M493)</f>
        <v>#REF!</v>
      </c>
      <c r="N485" s="76" t="e">
        <f t="shared" si="292"/>
        <v>#REF!</v>
      </c>
      <c r="O485" s="252"/>
      <c r="P485" s="252"/>
      <c r="Q485" s="144"/>
    </row>
    <row r="486" spans="1:17" ht="13.2" x14ac:dyDescent="0.25">
      <c r="A486" s="163" t="s">
        <v>876</v>
      </c>
      <c r="B486" s="178"/>
      <c r="C486" s="179" t="s">
        <v>859</v>
      </c>
      <c r="D486" s="180">
        <v>12</v>
      </c>
      <c r="E486" s="180" t="s">
        <v>26</v>
      </c>
      <c r="F486" s="182">
        <v>150000</v>
      </c>
      <c r="G486" s="182">
        <f>ROUNDDOWN(D486*F486,-3)</f>
        <v>1800000</v>
      </c>
      <c r="H486" s="182" t="b">
        <f>G486='[5]Pvt SP2D Pusdik'!B487</f>
        <v>1</v>
      </c>
      <c r="I486" s="182">
        <f>'[5]Pvt SP2D Pusdik'!C487</f>
        <v>150000</v>
      </c>
      <c r="J486" s="182">
        <f>G486-I486</f>
        <v>1650000</v>
      </c>
      <c r="K486" s="182">
        <v>300000</v>
      </c>
      <c r="L486" s="182">
        <f t="shared" ref="L486" si="293">SUM(L487:L490)</f>
        <v>0</v>
      </c>
      <c r="M486" s="182" t="e" cm="1">
        <f t="array" ref="M486">SUM(_xlfn._xlws.FILTER([6]!Draft_SPBY[Jumlah],[6]!Draft_SPBY[MAK4]=A486,0))</f>
        <v>#REF!</v>
      </c>
      <c r="N486" s="182" t="e">
        <f>L486-M486</f>
        <v>#REF!</v>
      </c>
      <c r="O486" s="252"/>
      <c r="P486" s="252"/>
      <c r="Q486" s="144"/>
    </row>
    <row r="487" spans="1:17" ht="13.2" x14ac:dyDescent="0.25">
      <c r="A487" s="163" t="s">
        <v>412</v>
      </c>
      <c r="B487" s="185" t="s">
        <v>167</v>
      </c>
      <c r="C487" s="186" t="s">
        <v>877</v>
      </c>
      <c r="D487" s="187"/>
      <c r="E487" s="187"/>
      <c r="F487" s="188"/>
      <c r="G487" s="188">
        <f>SUM(G488,G493,G495)</f>
        <v>64758000</v>
      </c>
      <c r="H487" s="188" t="b">
        <f>G487='[5]Pvt SP2D Pusdik'!B488</f>
        <v>1</v>
      </c>
      <c r="I487" s="188">
        <f>'[5]Pvt SP2D Pusdik'!C488</f>
        <v>12210000</v>
      </c>
      <c r="J487" s="188">
        <f>SUM(J488,J493,J495)</f>
        <v>52548000</v>
      </c>
      <c r="K487" s="188">
        <f>SUM(K488,K493,K495)</f>
        <v>15900000</v>
      </c>
      <c r="L487" s="188"/>
      <c r="M487" s="188"/>
      <c r="N487" s="188"/>
      <c r="O487" s="252" t="s">
        <v>503</v>
      </c>
      <c r="P487" s="252" t="s">
        <v>508</v>
      </c>
      <c r="Q487" s="144"/>
    </row>
    <row r="488" spans="1:17" ht="13.2" x14ac:dyDescent="0.25">
      <c r="A488" s="163" t="s">
        <v>413</v>
      </c>
      <c r="B488" s="184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/>
      <c r="M488" s="76"/>
      <c r="N488" s="76"/>
      <c r="O488" s="252"/>
      <c r="P488" s="252"/>
      <c r="Q488" s="144"/>
    </row>
    <row r="489" spans="1:17" ht="13.2" x14ac:dyDescent="0.25">
      <c r="A489" s="189" t="s">
        <v>414</v>
      </c>
      <c r="B489" s="178"/>
      <c r="C489" s="179" t="s">
        <v>563</v>
      </c>
      <c r="D489" s="180">
        <v>60</v>
      </c>
      <c r="E489" s="180" t="s">
        <v>26</v>
      </c>
      <c r="F489" s="182">
        <v>75000</v>
      </c>
      <c r="G489" s="182">
        <f>ROUNDDOWN(D489*F489,-3)</f>
        <v>4500000</v>
      </c>
      <c r="H489" s="182" t="b">
        <f>G489='[5]Pvt SP2D Pusdik'!B490</f>
        <v>1</v>
      </c>
      <c r="I489" s="182">
        <f>'[5]Pvt SP2D Pusdik'!C490</f>
        <v>0</v>
      </c>
      <c r="J489" s="182">
        <f t="shared" ref="J489:J492" si="294">G489-I489</f>
        <v>4500000</v>
      </c>
      <c r="K489" s="182">
        <v>600000</v>
      </c>
      <c r="L489" s="182"/>
      <c r="M489" s="182"/>
      <c r="N489" s="182"/>
      <c r="O489" s="252"/>
      <c r="P489" s="252"/>
      <c r="Q489" s="144"/>
    </row>
    <row r="490" spans="1:17" ht="13.2" hidden="1" x14ac:dyDescent="0.25">
      <c r="A490" s="189" t="s">
        <v>415</v>
      </c>
      <c r="B490" s="178"/>
      <c r="C490" s="179" t="s">
        <v>878</v>
      </c>
      <c r="D490" s="180">
        <v>4</v>
      </c>
      <c r="E490" s="180" t="s">
        <v>120</v>
      </c>
      <c r="F490" s="182">
        <v>1500000</v>
      </c>
      <c r="G490" s="182">
        <f>ROUNDDOWN(D490*F490,-3)</f>
        <v>6000000</v>
      </c>
      <c r="H490" s="182" t="b">
        <f>G490='[5]Pvt SP2D Pusdik'!B491</f>
        <v>1</v>
      </c>
      <c r="I490" s="182">
        <f>'[5]Pvt SP2D Pusdik'!C491</f>
        <v>2995000</v>
      </c>
      <c r="J490" s="182">
        <f t="shared" si="294"/>
        <v>3005000</v>
      </c>
      <c r="K490" s="182"/>
      <c r="L490" s="182"/>
      <c r="M490" s="182"/>
      <c r="N490" s="182"/>
      <c r="O490" s="252"/>
      <c r="P490" s="252"/>
      <c r="Q490" s="144"/>
    </row>
    <row r="491" spans="1:17" ht="13.2" hidden="1" x14ac:dyDescent="0.25">
      <c r="A491" s="189" t="s">
        <v>416</v>
      </c>
      <c r="B491" s="178"/>
      <c r="C491" s="179" t="s">
        <v>565</v>
      </c>
      <c r="D491" s="180">
        <v>4</v>
      </c>
      <c r="E491" s="180" t="s">
        <v>120</v>
      </c>
      <c r="F491" s="182">
        <v>1500000</v>
      </c>
      <c r="G491" s="182">
        <f>ROUNDDOWN(D491*F491,-3)</f>
        <v>6000000</v>
      </c>
      <c r="H491" s="182" t="b">
        <f>G491='[5]Pvt SP2D Pusdik'!B492</f>
        <v>1</v>
      </c>
      <c r="I491" s="182">
        <f>'[5]Pvt SP2D Pusdik'!C492</f>
        <v>2945000</v>
      </c>
      <c r="J491" s="182">
        <f t="shared" si="294"/>
        <v>3055000</v>
      </c>
      <c r="K491" s="182"/>
      <c r="L491" s="182">
        <f t="shared" ref="L491" si="295">L492</f>
        <v>0</v>
      </c>
      <c r="M491" s="182" t="e" cm="1">
        <f t="array" ref="M491">SUM(_xlfn._xlws.FILTER([6]!Draft_SPBY[Jumlah],[6]!Draft_SPBY[MAK4]=A491,0))</f>
        <v>#REF!</v>
      </c>
      <c r="N491" s="182" t="e">
        <f>L491-M491</f>
        <v>#REF!</v>
      </c>
      <c r="O491" s="252"/>
      <c r="P491" s="252"/>
      <c r="Q491" s="144"/>
    </row>
    <row r="492" spans="1:17" ht="13.2" hidden="1" x14ac:dyDescent="0.25">
      <c r="A492" s="189" t="s">
        <v>879</v>
      </c>
      <c r="B492" s="178"/>
      <c r="C492" s="179" t="s">
        <v>566</v>
      </c>
      <c r="D492" s="180">
        <v>4</v>
      </c>
      <c r="E492" s="180" t="s">
        <v>120</v>
      </c>
      <c r="F492" s="182">
        <v>1000000</v>
      </c>
      <c r="G492" s="182">
        <f>ROUNDDOWN(D492*F492,-3)</f>
        <v>4000000</v>
      </c>
      <c r="H492" s="182" t="b">
        <f>G492='[5]Pvt SP2D Pusdik'!B493</f>
        <v>1</v>
      </c>
      <c r="I492" s="182">
        <f>'[5]Pvt SP2D Pusdik'!C493</f>
        <v>1990000</v>
      </c>
      <c r="J492" s="182">
        <f t="shared" si="294"/>
        <v>2010000</v>
      </c>
      <c r="K492" s="182"/>
      <c r="L492" s="182"/>
      <c r="M492" s="182"/>
      <c r="N492" s="182"/>
      <c r="O492" s="252"/>
      <c r="P492" s="252"/>
      <c r="Q492" s="144"/>
    </row>
    <row r="493" spans="1:17" ht="13.2" x14ac:dyDescent="0.25">
      <c r="A493" s="163" t="s">
        <v>417</v>
      </c>
      <c r="B493" s="190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4280000</v>
      </c>
      <c r="J493" s="79">
        <f>J494</f>
        <v>38478000</v>
      </c>
      <c r="K493" s="79">
        <f>K494</f>
        <v>15000000</v>
      </c>
      <c r="L493" s="79">
        <f t="shared" ref="L493" si="296">L494</f>
        <v>0</v>
      </c>
      <c r="M493" s="79" t="e" cm="1">
        <f t="array" ref="M493">SUM(_xlfn._xlws.FILTER([6]!Draft_SPBY[Jumlah],[6]!Draft_SPBY[MAK4]=A493,0))</f>
        <v>#REF!</v>
      </c>
      <c r="N493" s="79" t="e">
        <f>L493-M493</f>
        <v>#REF!</v>
      </c>
      <c r="O493" s="252"/>
      <c r="P493" s="252"/>
      <c r="Q493" s="144"/>
    </row>
    <row r="494" spans="1:17" ht="13.2" x14ac:dyDescent="0.25">
      <c r="A494" s="163" t="s">
        <v>418</v>
      </c>
      <c r="B494" s="178"/>
      <c r="C494" s="179" t="s">
        <v>880</v>
      </c>
      <c r="D494" s="180">
        <v>8</v>
      </c>
      <c r="E494" s="180" t="s">
        <v>26</v>
      </c>
      <c r="F494" s="182">
        <v>5344800</v>
      </c>
      <c r="G494" s="182">
        <f>ROUNDDOWN(D494*F494,-3)</f>
        <v>42758000</v>
      </c>
      <c r="H494" s="182" t="b">
        <f>G494='[5]Pvt SP2D Pusdik'!B495</f>
        <v>1</v>
      </c>
      <c r="I494" s="182">
        <f>'[5]Pvt SP2D Pusdik'!C495</f>
        <v>4280000</v>
      </c>
      <c r="J494" s="182">
        <f>G494-I494</f>
        <v>38478000</v>
      </c>
      <c r="K494" s="182">
        <f>7000000+8000000</f>
        <v>15000000</v>
      </c>
      <c r="L494" s="182"/>
      <c r="M494" s="182"/>
      <c r="N494" s="182"/>
      <c r="O494" s="252"/>
      <c r="P494" s="252"/>
      <c r="Q494" s="144"/>
    </row>
    <row r="495" spans="1:17" ht="13.2" x14ac:dyDescent="0.25">
      <c r="A495" s="163" t="s">
        <v>881</v>
      </c>
      <c r="B495" s="184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 t="shared" ref="L495" si="297">SUM(L496,L501,L503)</f>
        <v>0</v>
      </c>
      <c r="M495" s="76" t="e">
        <f t="shared" ref="M495:N495" si="298">SUM(M496,M501,M503)</f>
        <v>#REF!</v>
      </c>
      <c r="N495" s="76" t="e">
        <f t="shared" si="298"/>
        <v>#REF!</v>
      </c>
      <c r="O495" s="252"/>
      <c r="P495" s="252"/>
      <c r="Q495" s="144"/>
    </row>
    <row r="496" spans="1:17" ht="13.2" x14ac:dyDescent="0.25">
      <c r="A496" s="163" t="s">
        <v>882</v>
      </c>
      <c r="B496" s="178"/>
      <c r="C496" s="179" t="s">
        <v>859</v>
      </c>
      <c r="D496" s="180">
        <v>10</v>
      </c>
      <c r="E496" s="180" t="s">
        <v>26</v>
      </c>
      <c r="F496" s="182">
        <v>150000</v>
      </c>
      <c r="G496" s="182">
        <f>ROUNDDOWN(D496*F496,-3)</f>
        <v>1500000</v>
      </c>
      <c r="H496" s="182" t="b">
        <f>G496='[5]Pvt SP2D Pusdik'!B497</f>
        <v>1</v>
      </c>
      <c r="I496" s="182">
        <f>'[5]Pvt SP2D Pusdik'!C497</f>
        <v>0</v>
      </c>
      <c r="J496" s="182">
        <f>G496-I496</f>
        <v>1500000</v>
      </c>
      <c r="K496" s="182">
        <v>300000</v>
      </c>
      <c r="L496" s="182">
        <f t="shared" ref="L496" si="299">SUM(L497:L500)</f>
        <v>0</v>
      </c>
      <c r="M496" s="182" t="e" cm="1">
        <f t="array" ref="M496">SUM(_xlfn._xlws.FILTER([6]!Draft_SPBY[Jumlah],[6]!Draft_SPBY[MAK4]=A496,0))</f>
        <v>#REF!</v>
      </c>
      <c r="N496" s="182" t="e">
        <f>L496-M496</f>
        <v>#REF!</v>
      </c>
      <c r="O496" s="252"/>
      <c r="P496" s="252"/>
      <c r="Q496" s="144"/>
    </row>
    <row r="497" spans="1:17" ht="13.2" x14ac:dyDescent="0.25">
      <c r="A497" s="163" t="s">
        <v>419</v>
      </c>
      <c r="B497" s="192" t="s">
        <v>177</v>
      </c>
      <c r="C497" s="193" t="s">
        <v>883</v>
      </c>
      <c r="D497" s="194"/>
      <c r="E497" s="194"/>
      <c r="F497" s="195"/>
      <c r="G497" s="195">
        <f>SUM(G498,G503)</f>
        <v>49250000</v>
      </c>
      <c r="H497" s="195" t="b">
        <f>G497='[5]Pvt SP2D Pusdik'!B498</f>
        <v>1</v>
      </c>
      <c r="I497" s="195">
        <f>'[5]Pvt SP2D Pusdik'!C498</f>
        <v>19848500</v>
      </c>
      <c r="J497" s="195">
        <f>SUM(J498,J503)</f>
        <v>29401500</v>
      </c>
      <c r="K497" s="195">
        <f>SUM(K498,K503)</f>
        <v>6000000</v>
      </c>
      <c r="L497" s="195"/>
      <c r="M497" s="195"/>
      <c r="N497" s="195"/>
      <c r="O497" s="252" t="s">
        <v>503</v>
      </c>
      <c r="P497" s="252" t="s">
        <v>508</v>
      </c>
      <c r="Q497" s="144"/>
    </row>
    <row r="498" spans="1:17" ht="13.2" hidden="1" x14ac:dyDescent="0.25">
      <c r="A498" s="163" t="s">
        <v>420</v>
      </c>
      <c r="B498" s="184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/>
      <c r="M498" s="76"/>
      <c r="N498" s="76"/>
      <c r="O498" s="252"/>
      <c r="P498" s="252"/>
      <c r="Q498" s="144"/>
    </row>
    <row r="499" spans="1:17" ht="13.2" hidden="1" x14ac:dyDescent="0.25">
      <c r="A499" s="163" t="s">
        <v>421</v>
      </c>
      <c r="B499" s="178"/>
      <c r="C499" s="179" t="s">
        <v>563</v>
      </c>
      <c r="D499" s="180">
        <v>50</v>
      </c>
      <c r="E499" s="180" t="s">
        <v>26</v>
      </c>
      <c r="F499" s="182">
        <v>75000</v>
      </c>
      <c r="G499" s="182">
        <f>ROUNDDOWN(D499*F499,-3)</f>
        <v>3750000</v>
      </c>
      <c r="H499" s="182" t="b">
        <f>G499='[5]Pvt SP2D Pusdik'!B500</f>
        <v>1</v>
      </c>
      <c r="I499" s="182">
        <f>'[5]Pvt SP2D Pusdik'!C500</f>
        <v>2307000</v>
      </c>
      <c r="J499" s="182">
        <f t="shared" ref="J499:J502" si="300">G499-I499</f>
        <v>1443000</v>
      </c>
      <c r="K499" s="182"/>
      <c r="L499" s="182"/>
      <c r="M499" s="182"/>
      <c r="N499" s="182"/>
      <c r="O499" s="252"/>
      <c r="P499" s="252"/>
      <c r="Q499" s="144"/>
    </row>
    <row r="500" spans="1:17" ht="13.2" hidden="1" x14ac:dyDescent="0.25">
      <c r="A500" s="163" t="s">
        <v>422</v>
      </c>
      <c r="B500" s="178"/>
      <c r="C500" s="179" t="s">
        <v>878</v>
      </c>
      <c r="D500" s="180">
        <v>4</v>
      </c>
      <c r="E500" s="180" t="s">
        <v>120</v>
      </c>
      <c r="F500" s="182">
        <v>1500000</v>
      </c>
      <c r="G500" s="182">
        <f>ROUNDDOWN(D500*F500,-3)</f>
        <v>6000000</v>
      </c>
      <c r="H500" s="182" t="b">
        <f>G500='[5]Pvt SP2D Pusdik'!B501</f>
        <v>1</v>
      </c>
      <c r="I500" s="182">
        <f>'[5]Pvt SP2D Pusdik'!C501</f>
        <v>4904500</v>
      </c>
      <c r="J500" s="182">
        <f t="shared" si="300"/>
        <v>1095500</v>
      </c>
      <c r="K500" s="182"/>
      <c r="L500" s="182"/>
      <c r="M500" s="182"/>
      <c r="N500" s="182"/>
      <c r="O500" s="252"/>
      <c r="P500" s="252"/>
      <c r="Q500" s="144"/>
    </row>
    <row r="501" spans="1:17" ht="13.2" hidden="1" x14ac:dyDescent="0.25">
      <c r="A501" s="163" t="s">
        <v>884</v>
      </c>
      <c r="B501" s="178"/>
      <c r="C501" s="179" t="s">
        <v>565</v>
      </c>
      <c r="D501" s="180">
        <v>4</v>
      </c>
      <c r="E501" s="180" t="s">
        <v>120</v>
      </c>
      <c r="F501" s="182">
        <v>1500000</v>
      </c>
      <c r="G501" s="182">
        <f>ROUNDDOWN(D501*F501,-3)</f>
        <v>6000000</v>
      </c>
      <c r="H501" s="182" t="b">
        <f>G501='[5]Pvt SP2D Pusdik'!B502</f>
        <v>1</v>
      </c>
      <c r="I501" s="182">
        <f>'[5]Pvt SP2D Pusdik'!C502</f>
        <v>4350000</v>
      </c>
      <c r="J501" s="182">
        <f t="shared" si="300"/>
        <v>1650000</v>
      </c>
      <c r="K501" s="182"/>
      <c r="L501" s="182">
        <f t="shared" ref="L501" si="301">L502</f>
        <v>0</v>
      </c>
      <c r="M501" s="182" t="e" cm="1">
        <f t="array" ref="M501">SUM(_xlfn._xlws.FILTER([6]!Draft_SPBY[Jumlah],[6]!Draft_SPBY[MAK4]=A501,0))</f>
        <v>#REF!</v>
      </c>
      <c r="N501" s="182" t="e">
        <f>L501-M501</f>
        <v>#REF!</v>
      </c>
      <c r="O501" s="252"/>
      <c r="P501" s="252"/>
      <c r="Q501" s="144"/>
    </row>
    <row r="502" spans="1:17" ht="13.2" hidden="1" x14ac:dyDescent="0.25">
      <c r="A502" s="163" t="s">
        <v>885</v>
      </c>
      <c r="B502" s="178"/>
      <c r="C502" s="179" t="s">
        <v>566</v>
      </c>
      <c r="D502" s="180">
        <v>2</v>
      </c>
      <c r="E502" s="180" t="s">
        <v>120</v>
      </c>
      <c r="F502" s="182">
        <v>1000000</v>
      </c>
      <c r="G502" s="182">
        <f>ROUNDDOWN(D502*F502,-3)</f>
        <v>2000000</v>
      </c>
      <c r="H502" s="182" t="b">
        <f>G502='[5]Pvt SP2D Pusdik'!B503</f>
        <v>1</v>
      </c>
      <c r="I502" s="182">
        <f>'[5]Pvt SP2D Pusdik'!C503</f>
        <v>1992000</v>
      </c>
      <c r="J502" s="182">
        <f t="shared" si="300"/>
        <v>8000</v>
      </c>
      <c r="K502" s="182"/>
      <c r="L502" s="182"/>
      <c r="M502" s="182"/>
      <c r="N502" s="182"/>
      <c r="O502" s="252"/>
      <c r="P502" s="252"/>
      <c r="Q502" s="144"/>
    </row>
    <row r="503" spans="1:17" ht="13.2" x14ac:dyDescent="0.25">
      <c r="A503" s="163" t="s">
        <v>886</v>
      </c>
      <c r="B503" s="177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6000000</v>
      </c>
      <c r="L503" s="71">
        <f t="shared" ref="L503" si="302">L504</f>
        <v>0</v>
      </c>
      <c r="M503" s="71" t="e" cm="1">
        <f t="array" ref="M503">SUM(_xlfn._xlws.FILTER([6]!Draft_SPBY[Jumlah],[6]!Draft_SPBY[MAK4]=A503,0))</f>
        <v>#REF!</v>
      </c>
      <c r="N503" s="71" t="e">
        <f>L503-M503</f>
        <v>#REF!</v>
      </c>
      <c r="O503" s="252"/>
      <c r="P503" s="252"/>
      <c r="Q503" s="144"/>
    </row>
    <row r="504" spans="1:17" ht="13.2" x14ac:dyDescent="0.25">
      <c r="A504" s="163" t="s">
        <v>887</v>
      </c>
      <c r="B504" s="178"/>
      <c r="C504" s="179" t="s">
        <v>888</v>
      </c>
      <c r="D504" s="180">
        <v>18</v>
      </c>
      <c r="E504" s="180" t="s">
        <v>26</v>
      </c>
      <c r="F504" s="182">
        <v>1750000</v>
      </c>
      <c r="G504" s="182">
        <f>ROUNDDOWN(D504*F504,-3)</f>
        <v>31500000</v>
      </c>
      <c r="H504" s="182" t="b">
        <f>G504='[5]Pvt SP2D Pusdik'!B505</f>
        <v>1</v>
      </c>
      <c r="I504" s="182">
        <f>'[5]Pvt SP2D Pusdik'!C505</f>
        <v>6295000</v>
      </c>
      <c r="J504" s="182">
        <f>G504-I504</f>
        <v>25205000</v>
      </c>
      <c r="K504" s="182">
        <f>4000000+2000000</f>
        <v>6000000</v>
      </c>
      <c r="L504" s="182"/>
      <c r="M504" s="182"/>
      <c r="N504" s="182"/>
      <c r="O504" s="252"/>
      <c r="P504" s="252"/>
      <c r="Q504" s="144"/>
    </row>
    <row r="505" spans="1:17" ht="13.2" hidden="1" x14ac:dyDescent="0.25">
      <c r="A505" s="163" t="s">
        <v>423</v>
      </c>
      <c r="B505" s="192" t="s">
        <v>191</v>
      </c>
      <c r="C505" s="193" t="s">
        <v>889</v>
      </c>
      <c r="D505" s="194"/>
      <c r="E505" s="194"/>
      <c r="F505" s="195"/>
      <c r="G505" s="195">
        <f>SUM(G506,G511,G513)</f>
        <v>150000000</v>
      </c>
      <c r="H505" s="195" t="b">
        <f>G505='[5]Pvt SP2D Pusdik'!B506</f>
        <v>1</v>
      </c>
      <c r="I505" s="195">
        <f>'[5]Pvt SP2D Pusdik'!C506</f>
        <v>0</v>
      </c>
      <c r="J505" s="195">
        <f>SUM(J506,J511,J513)</f>
        <v>150000000</v>
      </c>
      <c r="K505" s="195">
        <f>SUM(K506,K511,K513)</f>
        <v>0</v>
      </c>
      <c r="L505" s="195">
        <f t="shared" ref="L505:N506" si="303">L506</f>
        <v>0</v>
      </c>
      <c r="M505" s="195" t="e">
        <f t="shared" si="303"/>
        <v>#REF!</v>
      </c>
      <c r="N505" s="195" t="e">
        <f t="shared" si="303"/>
        <v>#REF!</v>
      </c>
      <c r="O505" s="252" t="s">
        <v>503</v>
      </c>
      <c r="P505" s="252" t="s">
        <v>508</v>
      </c>
      <c r="Q505" s="144"/>
    </row>
    <row r="506" spans="1:17" ht="13.2" hidden="1" customHeight="1" x14ac:dyDescent="0.25">
      <c r="A506" s="163" t="s">
        <v>425</v>
      </c>
      <c r="B506" s="177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 t="shared" si="303"/>
        <v>0</v>
      </c>
      <c r="M506" s="71" t="e">
        <f t="shared" si="303"/>
        <v>#REF!</v>
      </c>
      <c r="N506" s="71" t="e">
        <f t="shared" si="303"/>
        <v>#REF!</v>
      </c>
      <c r="O506" s="252"/>
      <c r="P506" s="252"/>
      <c r="Q506" s="144"/>
    </row>
    <row r="507" spans="1:17" ht="13.2" hidden="1" x14ac:dyDescent="0.25">
      <c r="A507" s="163" t="s">
        <v>426</v>
      </c>
      <c r="B507" s="178"/>
      <c r="C507" s="179" t="s">
        <v>563</v>
      </c>
      <c r="D507" s="180">
        <v>120</v>
      </c>
      <c r="E507" s="180" t="s">
        <v>26</v>
      </c>
      <c r="F507" s="182">
        <v>75000</v>
      </c>
      <c r="G507" s="182">
        <f>ROUNDDOWN(D507*F507,-3)</f>
        <v>9000000</v>
      </c>
      <c r="H507" s="182" t="b">
        <f>G507='[5]Pvt SP2D Pusdik'!B508</f>
        <v>1</v>
      </c>
      <c r="I507" s="182">
        <f>'[5]Pvt SP2D Pusdik'!C508</f>
        <v>0</v>
      </c>
      <c r="J507" s="182">
        <f t="shared" ref="J507:J510" si="304">G507-I507</f>
        <v>9000000</v>
      </c>
      <c r="K507" s="182"/>
      <c r="L507" s="182">
        <f t="shared" ref="L507" si="305">SUM(L508,L556)</f>
        <v>0</v>
      </c>
      <c r="M507" s="182" t="e">
        <f t="shared" ref="M507:N507" si="306">SUM(M508,M556)</f>
        <v>#REF!</v>
      </c>
      <c r="N507" s="182" t="e">
        <f t="shared" si="306"/>
        <v>#REF!</v>
      </c>
      <c r="O507" s="252"/>
      <c r="P507" s="252"/>
      <c r="Q507" s="144"/>
    </row>
    <row r="508" spans="1:17" ht="13.2" hidden="1" x14ac:dyDescent="0.25">
      <c r="A508" s="163" t="s">
        <v>890</v>
      </c>
      <c r="B508" s="178"/>
      <c r="C508" s="179" t="s">
        <v>878</v>
      </c>
      <c r="D508" s="180">
        <v>1</v>
      </c>
      <c r="E508" s="180" t="s">
        <v>120</v>
      </c>
      <c r="F508" s="182">
        <v>1500000</v>
      </c>
      <c r="G508" s="182">
        <f>ROUNDDOWN(D508*F508,-3)</f>
        <v>1500000</v>
      </c>
      <c r="H508" s="182" t="b">
        <f>G508='[5]Pvt SP2D Pusdik'!B509</f>
        <v>1</v>
      </c>
      <c r="I508" s="182">
        <f>'[5]Pvt SP2D Pusdik'!C509</f>
        <v>0</v>
      </c>
      <c r="J508" s="182">
        <f t="shared" si="304"/>
        <v>1500000</v>
      </c>
      <c r="K508" s="182"/>
      <c r="L508" s="182">
        <f t="shared" ref="L508" si="307">SUM(L509,L527,L547)</f>
        <v>0</v>
      </c>
      <c r="M508" s="182" t="e">
        <f t="shared" ref="M508:N508" si="308">SUM(M509,M527,M547)</f>
        <v>#REF!</v>
      </c>
      <c r="N508" s="182" t="e">
        <f t="shared" si="308"/>
        <v>#REF!</v>
      </c>
      <c r="O508" s="252"/>
      <c r="P508" s="252"/>
      <c r="Q508" s="144"/>
    </row>
    <row r="509" spans="1:17" ht="13.2" hidden="1" x14ac:dyDescent="0.25">
      <c r="A509" s="163" t="s">
        <v>891</v>
      </c>
      <c r="B509" s="178"/>
      <c r="C509" s="179" t="s">
        <v>565</v>
      </c>
      <c r="D509" s="180">
        <v>1</v>
      </c>
      <c r="E509" s="180" t="s">
        <v>120</v>
      </c>
      <c r="F509" s="182">
        <v>1500000</v>
      </c>
      <c r="G509" s="182">
        <f>ROUNDDOWN(D509*F509,-3)</f>
        <v>1500000</v>
      </c>
      <c r="H509" s="182" t="b">
        <f>G509='[5]Pvt SP2D Pusdik'!B510</f>
        <v>1</v>
      </c>
      <c r="I509" s="182">
        <f>'[5]Pvt SP2D Pusdik'!C510</f>
        <v>0</v>
      </c>
      <c r="J509" s="182">
        <f t="shared" si="304"/>
        <v>1500000</v>
      </c>
      <c r="K509" s="182"/>
      <c r="L509" s="182">
        <f t="shared" ref="L509" si="309">SUM(L510,L517,L520,L522,L524)</f>
        <v>0</v>
      </c>
      <c r="M509" s="182" t="e">
        <f t="shared" ref="M509:N509" si="310">SUM(M510,M517,M520,M522,M524)</f>
        <v>#REF!</v>
      </c>
      <c r="N509" s="182" t="e">
        <f t="shared" si="310"/>
        <v>#REF!</v>
      </c>
      <c r="O509" s="252"/>
      <c r="P509" s="252"/>
      <c r="Q509" s="144"/>
    </row>
    <row r="510" spans="1:17" ht="13.2" hidden="1" x14ac:dyDescent="0.25">
      <c r="A510" s="163" t="s">
        <v>892</v>
      </c>
      <c r="B510" s="178"/>
      <c r="C510" s="179" t="s">
        <v>566</v>
      </c>
      <c r="D510" s="180">
        <v>1</v>
      </c>
      <c r="E510" s="180" t="s">
        <v>120</v>
      </c>
      <c r="F510" s="182">
        <v>1000000</v>
      </c>
      <c r="G510" s="182">
        <f>ROUNDDOWN(D510*F510,-3)</f>
        <v>1000000</v>
      </c>
      <c r="H510" s="182" t="b">
        <f>G510='[5]Pvt SP2D Pusdik'!B511</f>
        <v>1</v>
      </c>
      <c r="I510" s="182">
        <f>'[5]Pvt SP2D Pusdik'!C511</f>
        <v>0</v>
      </c>
      <c r="J510" s="182">
        <f t="shared" si="304"/>
        <v>1000000</v>
      </c>
      <c r="K510" s="182"/>
      <c r="L510" s="182">
        <f t="shared" ref="L510" si="311">SUM(L511:L516)</f>
        <v>0</v>
      </c>
      <c r="M510" s="182" t="e" cm="1">
        <f t="array" ref="M510">SUM(_xlfn._xlws.FILTER([6]!Draft_SPBY[Jumlah],[6]!Draft_SPBY[MAK4]=A510,0))</f>
        <v>#REF!</v>
      </c>
      <c r="N510" s="182" t="e">
        <f>L510-M510</f>
        <v>#REF!</v>
      </c>
      <c r="O510" s="252"/>
      <c r="P510" s="252"/>
      <c r="Q510" s="144"/>
    </row>
    <row r="511" spans="1:17" ht="13.2" hidden="1" x14ac:dyDescent="0.25">
      <c r="A511" s="163" t="s">
        <v>893</v>
      </c>
      <c r="B511" s="190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/>
      <c r="M511" s="79"/>
      <c r="N511" s="79"/>
      <c r="O511" s="252"/>
      <c r="P511" s="252"/>
      <c r="Q511" s="144"/>
    </row>
    <row r="512" spans="1:17" ht="13.2" hidden="1" x14ac:dyDescent="0.25">
      <c r="A512" s="163" t="s">
        <v>894</v>
      </c>
      <c r="B512" s="178"/>
      <c r="C512" s="179" t="s">
        <v>567</v>
      </c>
      <c r="D512" s="180">
        <v>10</v>
      </c>
      <c r="E512" s="180" t="s">
        <v>33</v>
      </c>
      <c r="F512" s="182">
        <v>1000000</v>
      </c>
      <c r="G512" s="182">
        <f>ROUNDDOWN(D512*F512,-3)</f>
        <v>10000000</v>
      </c>
      <c r="H512" s="182" t="b">
        <f>G512='[5]Pvt SP2D Pusdik'!B513</f>
        <v>1</v>
      </c>
      <c r="I512" s="182">
        <f>'[5]Pvt SP2D Pusdik'!C513</f>
        <v>0</v>
      </c>
      <c r="J512" s="182">
        <f>G512-I512</f>
        <v>10000000</v>
      </c>
      <c r="K512" s="182"/>
      <c r="L512" s="182"/>
      <c r="M512" s="182"/>
      <c r="N512" s="182"/>
      <c r="O512" s="252"/>
      <c r="P512" s="252"/>
      <c r="Q512" s="144"/>
    </row>
    <row r="513" spans="1:17" ht="13.2" hidden="1" x14ac:dyDescent="0.25">
      <c r="A513" s="163" t="s">
        <v>427</v>
      </c>
      <c r="B513" s="184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/>
      <c r="M513" s="76"/>
      <c r="N513" s="76"/>
      <c r="O513" s="252"/>
      <c r="P513" s="252"/>
      <c r="Q513" s="144"/>
    </row>
    <row r="514" spans="1:17" ht="13.2" hidden="1" x14ac:dyDescent="0.25">
      <c r="A514" s="163" t="s">
        <v>428</v>
      </c>
      <c r="B514" s="178"/>
      <c r="C514" s="179" t="s">
        <v>895</v>
      </c>
      <c r="D514" s="180">
        <v>20</v>
      </c>
      <c r="E514" s="180" t="s">
        <v>26</v>
      </c>
      <c r="F514" s="182">
        <v>6350000</v>
      </c>
      <c r="G514" s="182">
        <f>ROUNDDOWN(D514*F514,-3)</f>
        <v>127000000</v>
      </c>
      <c r="H514" s="182" t="b">
        <f>G514='[5]Pvt SP2D Pusdik'!B515</f>
        <v>1</v>
      </c>
      <c r="I514" s="182">
        <f>'[5]Pvt SP2D Pusdik'!C515</f>
        <v>0</v>
      </c>
      <c r="J514" s="182">
        <f>G514-I514</f>
        <v>127000000</v>
      </c>
      <c r="K514" s="182"/>
      <c r="L514" s="182"/>
      <c r="M514" s="182"/>
      <c r="N514" s="182"/>
      <c r="O514" s="252"/>
      <c r="P514" s="252"/>
      <c r="Q514" s="144"/>
    </row>
    <row r="515" spans="1:17" ht="13.2" hidden="1" x14ac:dyDescent="0.25">
      <c r="A515" s="163" t="s">
        <v>429</v>
      </c>
      <c r="B515" s="192" t="s">
        <v>203</v>
      </c>
      <c r="C515" s="193" t="s">
        <v>204</v>
      </c>
      <c r="D515" s="194"/>
      <c r="E515" s="194"/>
      <c r="F515" s="195"/>
      <c r="G515" s="195">
        <f>SUM(G516,G521,G523)</f>
        <v>78803000</v>
      </c>
      <c r="H515" s="195" t="b">
        <f>G515='[5]Pvt SP2D Pusdik'!B516</f>
        <v>1</v>
      </c>
      <c r="I515" s="195">
        <f>'[5]Pvt SP2D Pusdik'!C516</f>
        <v>40500250</v>
      </c>
      <c r="J515" s="195">
        <f>SUM(J516,J521,J523)</f>
        <v>38302750</v>
      </c>
      <c r="K515" s="195">
        <f>SUM(K516,K521,K523)</f>
        <v>0</v>
      </c>
      <c r="L515" s="195"/>
      <c r="M515" s="195"/>
      <c r="N515" s="195"/>
      <c r="O515" s="252" t="s">
        <v>497</v>
      </c>
      <c r="P515" s="252" t="s">
        <v>498</v>
      </c>
      <c r="Q515" s="144"/>
    </row>
    <row r="516" spans="1:17" ht="13.2" hidden="1" x14ac:dyDescent="0.25">
      <c r="A516" s="163" t="s">
        <v>896</v>
      </c>
      <c r="B516" s="184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/>
      <c r="M516" s="76"/>
      <c r="N516" s="76"/>
      <c r="O516" s="252"/>
      <c r="P516" s="252"/>
      <c r="Q516" s="144"/>
    </row>
    <row r="517" spans="1:17" ht="13.2" hidden="1" x14ac:dyDescent="0.25">
      <c r="A517" s="163" t="s">
        <v>897</v>
      </c>
      <c r="B517" s="178"/>
      <c r="C517" s="179" t="s">
        <v>563</v>
      </c>
      <c r="D517" s="180">
        <v>130</v>
      </c>
      <c r="E517" s="180" t="s">
        <v>26</v>
      </c>
      <c r="F517" s="182">
        <v>75000</v>
      </c>
      <c r="G517" s="182">
        <f>ROUNDDOWN(D517*F517,-3)</f>
        <v>9750000</v>
      </c>
      <c r="H517" s="182" t="b">
        <f>G517='[5]Pvt SP2D Pusdik'!B518</f>
        <v>1</v>
      </c>
      <c r="I517" s="182">
        <f>'[5]Pvt SP2D Pusdik'!C518</f>
        <v>1566800</v>
      </c>
      <c r="J517" s="182">
        <f t="shared" ref="J517:J520" si="312">G517-I517</f>
        <v>8183200</v>
      </c>
      <c r="K517" s="182"/>
      <c r="L517" s="182">
        <f t="shared" ref="L517" si="313">SUM(L518:L519)</f>
        <v>0</v>
      </c>
      <c r="M517" s="182" t="e" cm="1">
        <f t="array" ref="M517">SUM(_xlfn._xlws.FILTER([6]!Draft_SPBY[Jumlah],[6]!Draft_SPBY[MAK4]=A517,0))</f>
        <v>#REF!</v>
      </c>
      <c r="N517" s="182" t="e">
        <f>L517-M517</f>
        <v>#REF!</v>
      </c>
      <c r="O517" s="252"/>
      <c r="P517" s="252"/>
      <c r="Q517" s="144"/>
    </row>
    <row r="518" spans="1:17" ht="13.2" hidden="1" x14ac:dyDescent="0.25">
      <c r="A518" s="163" t="s">
        <v>898</v>
      </c>
      <c r="B518" s="178"/>
      <c r="C518" s="179" t="s">
        <v>878</v>
      </c>
      <c r="D518" s="180">
        <v>1</v>
      </c>
      <c r="E518" s="180" t="s">
        <v>120</v>
      </c>
      <c r="F518" s="182">
        <v>750000</v>
      </c>
      <c r="G518" s="182">
        <f>ROUNDDOWN(D518*F518,-3)</f>
        <v>750000</v>
      </c>
      <c r="H518" s="182" t="b">
        <f>G518='[5]Pvt SP2D Pusdik'!B519</f>
        <v>1</v>
      </c>
      <c r="I518" s="182">
        <f>'[5]Pvt SP2D Pusdik'!C519</f>
        <v>0</v>
      </c>
      <c r="J518" s="182">
        <f t="shared" si="312"/>
        <v>750000</v>
      </c>
      <c r="K518" s="182"/>
      <c r="L518" s="182"/>
      <c r="M518" s="182"/>
      <c r="N518" s="182"/>
      <c r="O518" s="252"/>
      <c r="P518" s="252"/>
      <c r="Q518" s="144"/>
    </row>
    <row r="519" spans="1:17" ht="13.2" hidden="1" x14ac:dyDescent="0.25">
      <c r="A519" s="163" t="s">
        <v>899</v>
      </c>
      <c r="B519" s="178"/>
      <c r="C519" s="179" t="s">
        <v>565</v>
      </c>
      <c r="D519" s="180">
        <v>2</v>
      </c>
      <c r="E519" s="180" t="s">
        <v>120</v>
      </c>
      <c r="F519" s="182">
        <v>1500000</v>
      </c>
      <c r="G519" s="182">
        <f>ROUNDDOWN(D519*F519,-3)</f>
        <v>3000000</v>
      </c>
      <c r="H519" s="182" t="b">
        <f>G519='[5]Pvt SP2D Pusdik'!B520</f>
        <v>1</v>
      </c>
      <c r="I519" s="182">
        <f>'[5]Pvt SP2D Pusdik'!C520</f>
        <v>1474000</v>
      </c>
      <c r="J519" s="182">
        <f t="shared" si="312"/>
        <v>1526000</v>
      </c>
      <c r="K519" s="182"/>
      <c r="L519" s="182"/>
      <c r="M519" s="182"/>
      <c r="N519" s="182"/>
      <c r="O519" s="252"/>
      <c r="P519" s="252"/>
      <c r="Q519" s="144"/>
    </row>
    <row r="520" spans="1:17" ht="13.2" hidden="1" x14ac:dyDescent="0.25">
      <c r="A520" s="163" t="s">
        <v>900</v>
      </c>
      <c r="B520" s="178"/>
      <c r="C520" s="179" t="s">
        <v>566</v>
      </c>
      <c r="D520" s="180">
        <v>2</v>
      </c>
      <c r="E520" s="180" t="s">
        <v>120</v>
      </c>
      <c r="F520" s="182">
        <v>1000000</v>
      </c>
      <c r="G520" s="182">
        <f>ROUNDDOWN(D520*F520,-3)</f>
        <v>2000000</v>
      </c>
      <c r="H520" s="182" t="b">
        <f>G520='[5]Pvt SP2D Pusdik'!B521</f>
        <v>1</v>
      </c>
      <c r="I520" s="182">
        <f>'[5]Pvt SP2D Pusdik'!C521</f>
        <v>997000</v>
      </c>
      <c r="J520" s="182">
        <f t="shared" si="312"/>
        <v>1003000</v>
      </c>
      <c r="K520" s="182"/>
      <c r="L520" s="182">
        <f t="shared" ref="L520" si="314">L521</f>
        <v>0</v>
      </c>
      <c r="M520" s="182" t="e" cm="1">
        <f t="array" ref="M520">SUM(_xlfn._xlws.FILTER([6]!Draft_SPBY[Jumlah],[6]!Draft_SPBY[MAK4]=A520,0))</f>
        <v>#REF!</v>
      </c>
      <c r="N520" s="182" t="e">
        <f>L520-M520</f>
        <v>#REF!</v>
      </c>
      <c r="O520" s="252"/>
      <c r="P520" s="252"/>
      <c r="Q520" s="144"/>
    </row>
    <row r="521" spans="1:17" ht="13.2" hidden="1" x14ac:dyDescent="0.25">
      <c r="A521" s="163" t="s">
        <v>901</v>
      </c>
      <c r="B521" s="184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/>
      <c r="M521" s="76"/>
      <c r="N521" s="76"/>
      <c r="O521" s="252"/>
      <c r="P521" s="252"/>
      <c r="Q521" s="144"/>
    </row>
    <row r="522" spans="1:17" ht="13.2" hidden="1" x14ac:dyDescent="0.25">
      <c r="A522" s="163" t="s">
        <v>902</v>
      </c>
      <c r="B522" s="178"/>
      <c r="C522" s="179" t="s">
        <v>567</v>
      </c>
      <c r="D522" s="180">
        <v>20</v>
      </c>
      <c r="E522" s="180" t="s">
        <v>33</v>
      </c>
      <c r="F522" s="182">
        <v>1000000</v>
      </c>
      <c r="G522" s="182">
        <f>ROUNDDOWN(D522*F522,-3)</f>
        <v>20000000</v>
      </c>
      <c r="H522" s="182" t="b">
        <f>G522='[5]Pvt SP2D Pusdik'!B523</f>
        <v>1</v>
      </c>
      <c r="I522" s="182">
        <f>'[5]Pvt SP2D Pusdik'!C523</f>
        <v>0</v>
      </c>
      <c r="J522" s="182">
        <f>G522-I522</f>
        <v>20000000</v>
      </c>
      <c r="K522" s="182"/>
      <c r="L522" s="182">
        <f t="shared" ref="L522" si="315">L523</f>
        <v>0</v>
      </c>
      <c r="M522" s="182" t="e" cm="1">
        <f t="array" ref="M522">SUM(_xlfn._xlws.FILTER([6]!Draft_SPBY[Jumlah],[6]!Draft_SPBY[MAK4]=A522,0))</f>
        <v>#REF!</v>
      </c>
      <c r="N522" s="182" t="e">
        <f>L522-M522</f>
        <v>#REF!</v>
      </c>
      <c r="O522" s="252"/>
      <c r="P522" s="252"/>
      <c r="Q522" s="144"/>
    </row>
    <row r="523" spans="1:17" ht="13.2" hidden="1" x14ac:dyDescent="0.25">
      <c r="A523" s="163" t="s">
        <v>903</v>
      </c>
      <c r="B523" s="184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/>
      <c r="M523" s="76"/>
      <c r="N523" s="76"/>
      <c r="O523" s="252"/>
      <c r="P523" s="252"/>
      <c r="Q523" s="144"/>
    </row>
    <row r="524" spans="1:17" ht="13.2" hidden="1" x14ac:dyDescent="0.25">
      <c r="A524" s="163" t="s">
        <v>904</v>
      </c>
      <c r="B524" s="178"/>
      <c r="C524" s="179" t="s">
        <v>905</v>
      </c>
      <c r="D524" s="180">
        <v>10</v>
      </c>
      <c r="E524" s="180" t="s">
        <v>26</v>
      </c>
      <c r="F524" s="182">
        <v>4330300</v>
      </c>
      <c r="G524" s="182">
        <f>ROUNDDOWN(D524*F524,-3)</f>
        <v>43303000</v>
      </c>
      <c r="H524" s="182" t="b">
        <f>G524='[5]Pvt SP2D Pusdik'!B525</f>
        <v>1</v>
      </c>
      <c r="I524" s="182">
        <f>'[5]Pvt SP2D Pusdik'!C525</f>
        <v>36462450</v>
      </c>
      <c r="J524" s="182">
        <f>G524-I524</f>
        <v>6840550</v>
      </c>
      <c r="K524" s="182"/>
      <c r="L524" s="182">
        <f t="shared" ref="L524" si="316">SUM(L525:L526)</f>
        <v>0</v>
      </c>
      <c r="M524" s="182" t="e" cm="1">
        <f t="array" ref="M524">SUM(_xlfn._xlws.FILTER([6]!Draft_SPBY[Jumlah],[6]!Draft_SPBY[MAK4]=A524,0))</f>
        <v>#REF!</v>
      </c>
      <c r="N524" s="182" t="e">
        <f>L524-M524</f>
        <v>#REF!</v>
      </c>
      <c r="O524" s="252"/>
      <c r="P524" s="252"/>
      <c r="Q524" s="144"/>
    </row>
    <row r="525" spans="1:17" ht="13.2" x14ac:dyDescent="0.25">
      <c r="A525" s="163" t="s">
        <v>1001</v>
      </c>
      <c r="B525" s="192" t="s">
        <v>214</v>
      </c>
      <c r="C525" s="193" t="s">
        <v>1002</v>
      </c>
      <c r="D525" s="194"/>
      <c r="E525" s="194"/>
      <c r="F525" s="195"/>
      <c r="G525" s="195">
        <f>SUM(G526,G531,G533)</f>
        <v>56400000</v>
      </c>
      <c r="H525" s="195" t="b">
        <f>G525='[5]Pvt SP2D Pusdik'!B526</f>
        <v>1</v>
      </c>
      <c r="I525" s="195">
        <f>'[5]Pvt SP2D Pusdik'!C526</f>
        <v>3997500</v>
      </c>
      <c r="J525" s="195">
        <f>SUM(J526,J531,J533)</f>
        <v>52402500</v>
      </c>
      <c r="K525" s="195">
        <f>SUM(K526,K531,K533)</f>
        <v>5880000</v>
      </c>
      <c r="L525" s="195"/>
      <c r="M525" s="195"/>
      <c r="N525" s="195"/>
      <c r="O525" s="252" t="s">
        <v>503</v>
      </c>
      <c r="P525" s="252" t="s">
        <v>508</v>
      </c>
      <c r="Q525" s="144"/>
    </row>
    <row r="526" spans="1:17" ht="13.2" x14ac:dyDescent="0.25">
      <c r="A526" s="163" t="s">
        <v>1003</v>
      </c>
      <c r="B526" s="184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3997500</v>
      </c>
      <c r="J526" s="76">
        <f>SUM(J527:J530)</f>
        <v>16502500</v>
      </c>
      <c r="K526" s="76">
        <f>SUM(K527:K530)</f>
        <v>880000</v>
      </c>
      <c r="L526" s="76"/>
      <c r="M526" s="76"/>
      <c r="N526" s="76"/>
      <c r="O526" s="252"/>
      <c r="P526" s="252"/>
      <c r="Q526" s="144"/>
    </row>
    <row r="527" spans="1:17" ht="13.2" x14ac:dyDescent="0.25">
      <c r="A527" s="163" t="s">
        <v>1004</v>
      </c>
      <c r="B527" s="178"/>
      <c r="C527" s="179" t="s">
        <v>563</v>
      </c>
      <c r="D527" s="180">
        <v>60</v>
      </c>
      <c r="E527" s="180" t="s">
        <v>26</v>
      </c>
      <c r="F527" s="182">
        <v>75000</v>
      </c>
      <c r="G527" s="182">
        <f>ROUNDDOWN(D527*F527,-3)</f>
        <v>4500000</v>
      </c>
      <c r="H527" s="182" t="b">
        <f>G527='[5]Pvt SP2D Pusdik'!B528</f>
        <v>1</v>
      </c>
      <c r="I527" s="182">
        <f>'[5]Pvt SP2D Pusdik'!C528</f>
        <v>0</v>
      </c>
      <c r="J527" s="182">
        <f t="shared" ref="J527:J530" si="317">G527-I527</f>
        <v>4500000</v>
      </c>
      <c r="K527" s="182">
        <v>880000</v>
      </c>
      <c r="L527" s="182">
        <f t="shared" ref="L527" si="318">SUM(L528,L535,L538,L540,L543)</f>
        <v>0</v>
      </c>
      <c r="M527" s="182" t="e">
        <f t="shared" ref="M527:N527" si="319">SUM(M528,M535,M538,M540,M543)</f>
        <v>#REF!</v>
      </c>
      <c r="N527" s="182" t="e">
        <f t="shared" si="319"/>
        <v>#REF!</v>
      </c>
      <c r="O527" s="252"/>
      <c r="P527" s="252"/>
      <c r="Q527" s="144"/>
    </row>
    <row r="528" spans="1:17" ht="13.2" hidden="1" x14ac:dyDescent="0.25">
      <c r="A528" s="163" t="s">
        <v>1005</v>
      </c>
      <c r="B528" s="178"/>
      <c r="C528" s="179" t="s">
        <v>878</v>
      </c>
      <c r="D528" s="180">
        <v>4</v>
      </c>
      <c r="E528" s="180" t="s">
        <v>120</v>
      </c>
      <c r="F528" s="182">
        <v>1500000</v>
      </c>
      <c r="G528" s="182">
        <f>ROUNDDOWN(D528*F528,-3)</f>
        <v>6000000</v>
      </c>
      <c r="H528" s="182" t="b">
        <f>G528='[5]Pvt SP2D Pusdik'!B529</f>
        <v>1</v>
      </c>
      <c r="I528" s="182">
        <f>'[5]Pvt SP2D Pusdik'!C529</f>
        <v>1497500</v>
      </c>
      <c r="J528" s="182">
        <f t="shared" si="317"/>
        <v>4502500</v>
      </c>
      <c r="K528" s="182"/>
      <c r="L528" s="182">
        <f t="shared" ref="L528" si="320">SUM(L529:L534)</f>
        <v>0</v>
      </c>
      <c r="M528" s="182" t="e" cm="1">
        <f t="array" ref="M528">SUM(_xlfn._xlws.FILTER([6]!Draft_SPBY[Jumlah],[6]!Draft_SPBY[MAK4]=A528,0))</f>
        <v>#REF!</v>
      </c>
      <c r="N528" s="182" t="e">
        <f>L528-M528</f>
        <v>#REF!</v>
      </c>
      <c r="O528" s="252"/>
      <c r="P528" s="252"/>
      <c r="Q528" s="144"/>
    </row>
    <row r="529" spans="1:17" ht="13.2" hidden="1" x14ac:dyDescent="0.25">
      <c r="A529" s="163" t="s">
        <v>1006</v>
      </c>
      <c r="B529" s="178"/>
      <c r="C529" s="179" t="s">
        <v>565</v>
      </c>
      <c r="D529" s="180">
        <v>4</v>
      </c>
      <c r="E529" s="180" t="s">
        <v>120</v>
      </c>
      <c r="F529" s="182">
        <v>1500000</v>
      </c>
      <c r="G529" s="182">
        <f>ROUNDDOWN(D529*F529,-3)</f>
        <v>6000000</v>
      </c>
      <c r="H529" s="182" t="b">
        <f>G529='[5]Pvt SP2D Pusdik'!B530</f>
        <v>1</v>
      </c>
      <c r="I529" s="182">
        <f>'[5]Pvt SP2D Pusdik'!C530</f>
        <v>1500000</v>
      </c>
      <c r="J529" s="182">
        <f t="shared" si="317"/>
        <v>4500000</v>
      </c>
      <c r="K529" s="182"/>
      <c r="L529" s="182"/>
      <c r="M529" s="182"/>
      <c r="N529" s="182"/>
      <c r="O529" s="252"/>
      <c r="P529" s="252"/>
      <c r="Q529" s="144"/>
    </row>
    <row r="530" spans="1:17" ht="13.2" hidden="1" x14ac:dyDescent="0.25">
      <c r="A530" s="163" t="s">
        <v>1007</v>
      </c>
      <c r="B530" s="178"/>
      <c r="C530" s="179" t="s">
        <v>566</v>
      </c>
      <c r="D530" s="180">
        <v>4</v>
      </c>
      <c r="E530" s="180" t="s">
        <v>120</v>
      </c>
      <c r="F530" s="182">
        <v>1000000</v>
      </c>
      <c r="G530" s="182">
        <f>ROUNDDOWN(D530*F530,-3)</f>
        <v>4000000</v>
      </c>
      <c r="H530" s="182" t="b">
        <f>G530='[5]Pvt SP2D Pusdik'!B531</f>
        <v>1</v>
      </c>
      <c r="I530" s="182">
        <f>'[5]Pvt SP2D Pusdik'!C531</f>
        <v>1000000</v>
      </c>
      <c r="J530" s="182">
        <f t="shared" si="317"/>
        <v>3000000</v>
      </c>
      <c r="K530" s="182"/>
      <c r="L530" s="182"/>
      <c r="M530" s="182"/>
      <c r="N530" s="182"/>
      <c r="O530" s="252"/>
      <c r="P530" s="252"/>
      <c r="Q530" s="144"/>
    </row>
    <row r="531" spans="1:17" ht="13.2" x14ac:dyDescent="0.25">
      <c r="A531" s="163" t="s">
        <v>1008</v>
      </c>
      <c r="B531" s="177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/>
      <c r="M531" s="71"/>
      <c r="N531" s="71"/>
      <c r="O531" s="252"/>
      <c r="P531" s="252"/>
      <c r="Q531" s="144"/>
    </row>
    <row r="532" spans="1:17" ht="13.2" x14ac:dyDescent="0.25">
      <c r="A532" s="163" t="s">
        <v>1009</v>
      </c>
      <c r="B532" s="178"/>
      <c r="C532" s="179" t="s">
        <v>797</v>
      </c>
      <c r="D532" s="180">
        <v>10</v>
      </c>
      <c r="E532" s="180" t="s">
        <v>26</v>
      </c>
      <c r="F532" s="182">
        <v>3500000</v>
      </c>
      <c r="G532" s="182">
        <f>ROUNDDOWN(D532*F532,-3)</f>
        <v>35000000</v>
      </c>
      <c r="H532" s="182" t="b">
        <f>G532='[5]Pvt SP2D Pusdik'!B533</f>
        <v>1</v>
      </c>
      <c r="I532" s="182">
        <f>'[5]Pvt SP2D Pusdik'!C533</f>
        <v>0</v>
      </c>
      <c r="J532" s="182">
        <f>G532-I532</f>
        <v>35000000</v>
      </c>
      <c r="K532" s="182">
        <v>5000000</v>
      </c>
      <c r="L532" s="182"/>
      <c r="M532" s="182"/>
      <c r="N532" s="182"/>
      <c r="O532" s="252"/>
      <c r="P532" s="252"/>
      <c r="Q532" s="144"/>
    </row>
    <row r="533" spans="1:17" ht="13.2" hidden="1" x14ac:dyDescent="0.25">
      <c r="A533" s="163" t="s">
        <v>1010</v>
      </c>
      <c r="B533" s="184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/>
      <c r="M533" s="76"/>
      <c r="N533" s="76"/>
      <c r="O533" s="252"/>
      <c r="P533" s="252"/>
      <c r="Q533" s="144"/>
    </row>
    <row r="534" spans="1:17" ht="13.2" hidden="1" x14ac:dyDescent="0.25">
      <c r="A534" s="163" t="s">
        <v>1011</v>
      </c>
      <c r="B534" s="178"/>
      <c r="C534" s="179" t="s">
        <v>859</v>
      </c>
      <c r="D534" s="180">
        <v>6</v>
      </c>
      <c r="E534" s="180" t="s">
        <v>26</v>
      </c>
      <c r="F534" s="182">
        <v>150000</v>
      </c>
      <c r="G534" s="182">
        <f>ROUNDDOWN(D534*F534,-3)</f>
        <v>900000</v>
      </c>
      <c r="H534" s="182" t="b">
        <f>G534='[5]Pvt SP2D Pusdik'!B535</f>
        <v>1</v>
      </c>
      <c r="I534" s="182">
        <f>'[5]Pvt SP2D Pusdik'!C535</f>
        <v>0</v>
      </c>
      <c r="J534" s="182">
        <f>G534-I534</f>
        <v>900000</v>
      </c>
      <c r="K534" s="182"/>
      <c r="L534" s="182"/>
      <c r="M534" s="182"/>
      <c r="N534" s="182"/>
      <c r="O534" s="252"/>
      <c r="P534" s="252"/>
      <c r="Q534" s="144"/>
    </row>
    <row r="535" spans="1:17" ht="13.2" x14ac:dyDescent="0.25">
      <c r="A535" s="163" t="s">
        <v>430</v>
      </c>
      <c r="B535" s="245" t="s">
        <v>906</v>
      </c>
      <c r="C535" s="120" t="s">
        <v>431</v>
      </c>
      <c r="D535" s="119"/>
      <c r="E535" s="119"/>
      <c r="F535" s="121"/>
      <c r="G535" s="121">
        <f t="shared" ref="G535:G536" si="321">G536</f>
        <v>8500000000</v>
      </c>
      <c r="H535" s="121" t="b">
        <f>G535='[5]Pvt SP2D Pusdik'!B536</f>
        <v>1</v>
      </c>
      <c r="I535" s="121">
        <f>'[5]Pvt SP2D Pusdik'!C536</f>
        <v>3088738608</v>
      </c>
      <c r="J535" s="121">
        <f t="shared" ref="J535:K536" si="322">J536</f>
        <v>5411261392</v>
      </c>
      <c r="K535" s="121">
        <f t="shared" si="322"/>
        <v>20000000</v>
      </c>
      <c r="L535" s="121">
        <f t="shared" ref="L535" si="323">SUM(L536:L537)</f>
        <v>0</v>
      </c>
      <c r="M535" s="121" t="e" cm="1">
        <f t="array" ref="M535">SUM(_xlfn._xlws.FILTER([6]!Draft_SPBY[Jumlah],[6]!Draft_SPBY[MAK4]=A535,0))</f>
        <v>#REF!</v>
      </c>
      <c r="N535" s="121" t="e">
        <f>L535-M535</f>
        <v>#REF!</v>
      </c>
      <c r="O535" s="252"/>
      <c r="P535" s="252"/>
      <c r="Q535" s="144"/>
    </row>
    <row r="536" spans="1:17" ht="13.2" x14ac:dyDescent="0.25">
      <c r="A536" s="163" t="s">
        <v>432</v>
      </c>
      <c r="B536" s="234" t="s">
        <v>433</v>
      </c>
      <c r="C536" s="111" t="s">
        <v>907</v>
      </c>
      <c r="D536" s="110">
        <v>235</v>
      </c>
      <c r="E536" s="235" t="s">
        <v>908</v>
      </c>
      <c r="F536" s="235"/>
      <c r="G536" s="112">
        <f t="shared" si="321"/>
        <v>8500000000</v>
      </c>
      <c r="H536" s="112" t="b">
        <f>G536='[5]Pvt SP2D Pusdik'!B537</f>
        <v>1</v>
      </c>
      <c r="I536" s="112">
        <f>'[5]Pvt SP2D Pusdik'!C537</f>
        <v>3088738608</v>
      </c>
      <c r="J536" s="112">
        <f t="shared" si="322"/>
        <v>5411261392</v>
      </c>
      <c r="K536" s="112">
        <f t="shared" si="322"/>
        <v>20000000</v>
      </c>
      <c r="L536" s="112"/>
      <c r="M536" s="112"/>
      <c r="N536" s="112"/>
      <c r="O536" s="252"/>
      <c r="P536" s="252"/>
      <c r="Q536" s="144"/>
    </row>
    <row r="537" spans="1:17" ht="13.2" x14ac:dyDescent="0.25">
      <c r="A537" s="163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3088738608</v>
      </c>
      <c r="J537" s="109">
        <f>SUM(J538,J586)</f>
        <v>5411261392</v>
      </c>
      <c r="K537" s="109">
        <f>SUM(K538,K586)</f>
        <v>20000000</v>
      </c>
      <c r="L537" s="109"/>
      <c r="M537" s="109"/>
      <c r="N537" s="109"/>
      <c r="O537" s="252"/>
      <c r="P537" s="252"/>
      <c r="Q537" s="144"/>
    </row>
    <row r="538" spans="1:17" ht="13.2" x14ac:dyDescent="0.25">
      <c r="A538" s="163" t="s">
        <v>438</v>
      </c>
      <c r="B538" s="218" t="s">
        <v>611</v>
      </c>
      <c r="C538" s="219" t="s">
        <v>439</v>
      </c>
      <c r="D538" s="220"/>
      <c r="E538" s="220" t="s">
        <v>562</v>
      </c>
      <c r="F538" s="221"/>
      <c r="G538" s="221">
        <f>SUM(G539,G557,G577)</f>
        <v>8408830000</v>
      </c>
      <c r="H538" s="221" t="b">
        <f>G538='[5]Pvt SP2D Pusdik'!B539</f>
        <v>1</v>
      </c>
      <c r="I538" s="221">
        <f>'[5]Pvt SP2D Pusdik'!C539</f>
        <v>3077053108</v>
      </c>
      <c r="J538" s="221">
        <f>SUM(J539,J557,J577)</f>
        <v>5331776892</v>
      </c>
      <c r="K538" s="221">
        <f>SUM(K539,K557,K577)</f>
        <v>16000000</v>
      </c>
      <c r="L538" s="221">
        <f t="shared" ref="L538" si="324">L539</f>
        <v>0</v>
      </c>
      <c r="M538" s="221" t="e" cm="1">
        <f t="array" ref="M538">SUM(_xlfn._xlws.FILTER([6]!Draft_SPBY[Jumlah],[6]!Draft_SPBY[MAK4]=A538,0))</f>
        <v>#REF!</v>
      </c>
      <c r="N538" s="221" t="e">
        <f>L538-M538</f>
        <v>#REF!</v>
      </c>
      <c r="O538" s="252"/>
      <c r="P538" s="252"/>
      <c r="Q538" s="144"/>
    </row>
    <row r="539" spans="1:17" ht="13.2" x14ac:dyDescent="0.25">
      <c r="A539" s="163" t="s">
        <v>440</v>
      </c>
      <c r="B539" s="192" t="s">
        <v>21</v>
      </c>
      <c r="C539" s="193" t="s">
        <v>441</v>
      </c>
      <c r="D539" s="194"/>
      <c r="E539" s="194"/>
      <c r="F539" s="195"/>
      <c r="G539" s="195">
        <f>SUM(G540,G547,G550,G552,G554)</f>
        <v>2523377000</v>
      </c>
      <c r="H539" s="195" t="b">
        <f>G539='[5]Pvt SP2D Pusdik'!B540</f>
        <v>1</v>
      </c>
      <c r="I539" s="195">
        <f>'[5]Pvt SP2D Pusdik'!C540</f>
        <v>8339950</v>
      </c>
      <c r="J539" s="195">
        <f>SUM(J540,J547,J550,J552,J554)</f>
        <v>2515037050</v>
      </c>
      <c r="K539" s="195">
        <f>SUM(K540,K547,K550,K552,K554)</f>
        <v>8000000</v>
      </c>
      <c r="L539" s="195"/>
      <c r="M539" s="195"/>
      <c r="N539" s="195"/>
      <c r="O539" s="252" t="s">
        <v>505</v>
      </c>
      <c r="P539" s="252" t="s">
        <v>506</v>
      </c>
      <c r="Q539" s="144"/>
    </row>
    <row r="540" spans="1:17" ht="13.2" x14ac:dyDescent="0.25">
      <c r="A540" s="163" t="s">
        <v>442</v>
      </c>
      <c r="B540" s="177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8339950</v>
      </c>
      <c r="J540" s="71">
        <f>SUM(J541:J546)</f>
        <v>121260050</v>
      </c>
      <c r="K540" s="71">
        <f>SUM(K541:K546)</f>
        <v>8000000</v>
      </c>
      <c r="L540" s="71">
        <f t="shared" ref="L540" si="325">SUM(L541:L542)</f>
        <v>0</v>
      </c>
      <c r="M540" s="71" t="e" cm="1">
        <f t="array" ref="M540">SUM(_xlfn._xlws.FILTER([6]!Draft_SPBY[Jumlah],[6]!Draft_SPBY[MAK4]=A540,0))</f>
        <v>#REF!</v>
      </c>
      <c r="N540" s="71" t="e">
        <f>L540-M540</f>
        <v>#REF!</v>
      </c>
      <c r="O540" s="252"/>
      <c r="P540" s="252"/>
      <c r="Q540" s="144"/>
    </row>
    <row r="541" spans="1:17" ht="13.2" hidden="1" x14ac:dyDescent="0.25">
      <c r="A541" s="163" t="s">
        <v>443</v>
      </c>
      <c r="B541" s="178"/>
      <c r="C541" s="179" t="s">
        <v>563</v>
      </c>
      <c r="D541" s="180">
        <v>400</v>
      </c>
      <c r="E541" s="180" t="s">
        <v>26</v>
      </c>
      <c r="F541" s="182">
        <v>70000</v>
      </c>
      <c r="G541" s="182">
        <f t="shared" ref="G541:G546" si="326">ROUNDDOWN(D541*F541,-3)</f>
        <v>28000000</v>
      </c>
      <c r="H541" s="182" t="b">
        <f>G541='[5]Pvt SP2D Pusdik'!B542</f>
        <v>1</v>
      </c>
      <c r="I541" s="182">
        <f>'[5]Pvt SP2D Pusdik'!C542</f>
        <v>506000</v>
      </c>
      <c r="J541" s="182">
        <f t="shared" ref="J541:J546" si="327">G541-I541</f>
        <v>27494000</v>
      </c>
      <c r="K541" s="182"/>
      <c r="L541" s="182"/>
      <c r="M541" s="182"/>
      <c r="N541" s="182"/>
      <c r="O541" s="252"/>
      <c r="P541" s="252"/>
      <c r="Q541" s="144"/>
    </row>
    <row r="542" spans="1:17" ht="13.2" x14ac:dyDescent="0.25">
      <c r="A542" s="163" t="s">
        <v>444</v>
      </c>
      <c r="B542" s="178"/>
      <c r="C542" s="179" t="s">
        <v>564</v>
      </c>
      <c r="D542" s="180">
        <v>8</v>
      </c>
      <c r="E542" s="180" t="s">
        <v>120</v>
      </c>
      <c r="F542" s="182">
        <v>1500000</v>
      </c>
      <c r="G542" s="182">
        <f t="shared" si="326"/>
        <v>12000000</v>
      </c>
      <c r="H542" s="182" t="b">
        <f>G542='[5]Pvt SP2D Pusdik'!B543</f>
        <v>1</v>
      </c>
      <c r="I542" s="182">
        <f>'[5]Pvt SP2D Pusdik'!C543</f>
        <v>2992950</v>
      </c>
      <c r="J542" s="182">
        <f t="shared" si="327"/>
        <v>9007050</v>
      </c>
      <c r="K542" s="182">
        <v>3000000</v>
      </c>
      <c r="L542" s="182"/>
      <c r="M542" s="182"/>
      <c r="N542" s="182"/>
      <c r="O542" s="252"/>
      <c r="P542" s="252"/>
      <c r="Q542" s="144"/>
    </row>
    <row r="543" spans="1:17" ht="13.2" x14ac:dyDescent="0.25">
      <c r="A543" s="163" t="s">
        <v>445</v>
      </c>
      <c r="B543" s="178"/>
      <c r="C543" s="179" t="s">
        <v>565</v>
      </c>
      <c r="D543" s="180">
        <v>8</v>
      </c>
      <c r="E543" s="180" t="s">
        <v>120</v>
      </c>
      <c r="F543" s="182">
        <v>1500000</v>
      </c>
      <c r="G543" s="182">
        <f t="shared" si="326"/>
        <v>12000000</v>
      </c>
      <c r="H543" s="182" t="b">
        <f>G543='[5]Pvt SP2D Pusdik'!B544</f>
        <v>1</v>
      </c>
      <c r="I543" s="182">
        <f>'[5]Pvt SP2D Pusdik'!C544</f>
        <v>2890000</v>
      </c>
      <c r="J543" s="182">
        <f t="shared" si="327"/>
        <v>9110000</v>
      </c>
      <c r="K543" s="182">
        <v>3000000</v>
      </c>
      <c r="L543" s="182">
        <f t="shared" ref="L543" si="328">SUM(L544:L546)</f>
        <v>0</v>
      </c>
      <c r="M543" s="182" t="e" cm="1">
        <f t="array" ref="M543">SUM(_xlfn._xlws.FILTER([6]!Draft_SPBY[Jumlah],[6]!Draft_SPBY[MAK4]=A543,0))</f>
        <v>#REF!</v>
      </c>
      <c r="N543" s="182" t="e">
        <f>L543-M543</f>
        <v>#REF!</v>
      </c>
      <c r="O543" s="252"/>
      <c r="P543" s="252"/>
      <c r="Q543" s="144"/>
    </row>
    <row r="544" spans="1:17" ht="13.2" x14ac:dyDescent="0.25">
      <c r="A544" s="163" t="s">
        <v>446</v>
      </c>
      <c r="B544" s="178"/>
      <c r="C544" s="179" t="s">
        <v>566</v>
      </c>
      <c r="D544" s="180">
        <v>8</v>
      </c>
      <c r="E544" s="180" t="s">
        <v>120</v>
      </c>
      <c r="F544" s="182">
        <v>1000000</v>
      </c>
      <c r="G544" s="182">
        <f t="shared" si="326"/>
        <v>8000000</v>
      </c>
      <c r="H544" s="182" t="b">
        <f>G544='[5]Pvt SP2D Pusdik'!B545</f>
        <v>1</v>
      </c>
      <c r="I544" s="182">
        <f>'[5]Pvt SP2D Pusdik'!C545</f>
        <v>1951000</v>
      </c>
      <c r="J544" s="182">
        <f t="shared" si="327"/>
        <v>6049000</v>
      </c>
      <c r="K544" s="182">
        <v>2000000</v>
      </c>
      <c r="L544" s="182"/>
      <c r="M544" s="182"/>
      <c r="N544" s="182"/>
      <c r="O544" s="252"/>
      <c r="P544" s="252"/>
      <c r="Q544" s="144"/>
    </row>
    <row r="545" spans="1:17" ht="13.2" hidden="1" x14ac:dyDescent="0.25">
      <c r="A545" s="163" t="s">
        <v>447</v>
      </c>
      <c r="B545" s="178"/>
      <c r="C545" s="179" t="s">
        <v>909</v>
      </c>
      <c r="D545" s="180">
        <v>120</v>
      </c>
      <c r="E545" s="180" t="s">
        <v>55</v>
      </c>
      <c r="F545" s="182">
        <v>280000</v>
      </c>
      <c r="G545" s="182">
        <f t="shared" si="326"/>
        <v>33600000</v>
      </c>
      <c r="H545" s="182" t="b">
        <f>G545='[5]Pvt SP2D Pusdik'!B546</f>
        <v>1</v>
      </c>
      <c r="I545" s="182">
        <f>'[5]Pvt SP2D Pusdik'!C546</f>
        <v>0</v>
      </c>
      <c r="J545" s="182">
        <f t="shared" si="327"/>
        <v>33600000</v>
      </c>
      <c r="K545" s="182"/>
      <c r="L545" s="182"/>
      <c r="M545" s="182"/>
      <c r="N545" s="182"/>
      <c r="O545" s="252"/>
      <c r="P545" s="252"/>
      <c r="Q545" s="144"/>
    </row>
    <row r="546" spans="1:17" ht="13.2" hidden="1" x14ac:dyDescent="0.25">
      <c r="A546" s="163" t="s">
        <v>910</v>
      </c>
      <c r="B546" s="178"/>
      <c r="C546" s="179" t="s">
        <v>911</v>
      </c>
      <c r="D546" s="180">
        <v>90</v>
      </c>
      <c r="E546" s="180" t="s">
        <v>59</v>
      </c>
      <c r="F546" s="182">
        <v>400000</v>
      </c>
      <c r="G546" s="182">
        <f t="shared" si="326"/>
        <v>36000000</v>
      </c>
      <c r="H546" s="182" t="b">
        <f>G546='[5]Pvt SP2D Pusdik'!B547</f>
        <v>1</v>
      </c>
      <c r="I546" s="182">
        <f>'[5]Pvt SP2D Pusdik'!C547</f>
        <v>0</v>
      </c>
      <c r="J546" s="182">
        <f t="shared" si="327"/>
        <v>36000000</v>
      </c>
      <c r="K546" s="182"/>
      <c r="L546" s="182"/>
      <c r="M546" s="182"/>
      <c r="N546" s="182"/>
      <c r="O546" s="252"/>
      <c r="P546" s="252"/>
      <c r="Q546" s="144"/>
    </row>
    <row r="547" spans="1:17" ht="13.2" hidden="1" x14ac:dyDescent="0.25">
      <c r="A547" s="163" t="s">
        <v>448</v>
      </c>
      <c r="B547" s="184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 t="shared" ref="L547" si="329">SUM(L548,L552,L554)</f>
        <v>0</v>
      </c>
      <c r="M547" s="76" t="e">
        <f t="shared" ref="M547:N547" si="330">SUM(M548,M552,M554)</f>
        <v>#REF!</v>
      </c>
      <c r="N547" s="76" t="e">
        <f t="shared" si="330"/>
        <v>#REF!</v>
      </c>
      <c r="O547" s="252"/>
      <c r="P547" s="252"/>
      <c r="Q547" s="144"/>
    </row>
    <row r="548" spans="1:17" ht="13.2" hidden="1" x14ac:dyDescent="0.25">
      <c r="A548" s="163" t="s">
        <v>449</v>
      </c>
      <c r="B548" s="178"/>
      <c r="C548" s="179" t="s">
        <v>912</v>
      </c>
      <c r="D548" s="180">
        <v>89</v>
      </c>
      <c r="E548" s="180" t="s">
        <v>26</v>
      </c>
      <c r="F548" s="182">
        <v>23280641</v>
      </c>
      <c r="G548" s="182">
        <f>ROUNDDOWN(D548*F548,-3)</f>
        <v>2071977000</v>
      </c>
      <c r="H548" s="182" t="b">
        <f>G548='[5]Pvt SP2D Pusdik'!B549</f>
        <v>1</v>
      </c>
      <c r="I548" s="182">
        <f>'[5]Pvt SP2D Pusdik'!C549</f>
        <v>0</v>
      </c>
      <c r="J548" s="182">
        <f t="shared" ref="J548:J549" si="331">G548-I548</f>
        <v>2071977000</v>
      </c>
      <c r="K548" s="182"/>
      <c r="L548" s="182">
        <f t="shared" ref="L548" si="332">SUM(L549:L551)</f>
        <v>0</v>
      </c>
      <c r="M548" s="182" t="e" cm="1">
        <f t="array" ref="M548">SUM(_xlfn._xlws.FILTER([6]!Draft_SPBY[Jumlah],[6]!Draft_SPBY[MAK4]=A548,0))</f>
        <v>#REF!</v>
      </c>
      <c r="N548" s="182" t="e">
        <f>L548-M548</f>
        <v>#REF!</v>
      </c>
      <c r="O548" s="252"/>
      <c r="P548" s="252"/>
      <c r="Q548" s="144"/>
    </row>
    <row r="549" spans="1:17" ht="13.2" hidden="1" x14ac:dyDescent="0.25">
      <c r="A549" s="163" t="s">
        <v>450</v>
      </c>
      <c r="B549" s="178"/>
      <c r="C549" s="179" t="s">
        <v>913</v>
      </c>
      <c r="D549" s="180">
        <v>1</v>
      </c>
      <c r="E549" s="180" t="s">
        <v>120</v>
      </c>
      <c r="F549" s="182">
        <v>250000</v>
      </c>
      <c r="G549" s="182">
        <f>ROUNDDOWN(D549*F549,-3)</f>
        <v>250000</v>
      </c>
      <c r="H549" s="182" t="b">
        <f>G549='[5]Pvt SP2D Pusdik'!B550</f>
        <v>1</v>
      </c>
      <c r="I549" s="182">
        <f>'[5]Pvt SP2D Pusdik'!C550</f>
        <v>0</v>
      </c>
      <c r="J549" s="182">
        <f t="shared" si="331"/>
        <v>250000</v>
      </c>
      <c r="K549" s="182"/>
      <c r="L549" s="182"/>
      <c r="M549" s="182"/>
      <c r="N549" s="182"/>
      <c r="O549" s="252"/>
      <c r="P549" s="252"/>
      <c r="Q549" s="144"/>
    </row>
    <row r="550" spans="1:17" ht="13.2" hidden="1" x14ac:dyDescent="0.25">
      <c r="A550" s="163" t="s">
        <v>451</v>
      </c>
      <c r="B550" s="184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/>
      <c r="M550" s="76"/>
      <c r="N550" s="76"/>
      <c r="O550" s="252"/>
      <c r="P550" s="252"/>
      <c r="Q550" s="144"/>
    </row>
    <row r="551" spans="1:17" ht="13.2" hidden="1" x14ac:dyDescent="0.25">
      <c r="A551" s="163" t="s">
        <v>452</v>
      </c>
      <c r="B551" s="178"/>
      <c r="C551" s="179" t="s">
        <v>567</v>
      </c>
      <c r="D551" s="180">
        <v>10</v>
      </c>
      <c r="E551" s="180" t="s">
        <v>33</v>
      </c>
      <c r="F551" s="182">
        <v>1000000</v>
      </c>
      <c r="G551" s="182">
        <f>ROUNDDOWN(D551*F551,-3)</f>
        <v>10000000</v>
      </c>
      <c r="H551" s="182" t="b">
        <f>G551='[5]Pvt SP2D Pusdik'!B552</f>
        <v>1</v>
      </c>
      <c r="I551" s="182">
        <f>'[5]Pvt SP2D Pusdik'!C552</f>
        <v>0</v>
      </c>
      <c r="J551" s="182">
        <f>G551-I551</f>
        <v>10000000</v>
      </c>
      <c r="K551" s="182"/>
      <c r="L551" s="182"/>
      <c r="M551" s="182"/>
      <c r="N551" s="182"/>
      <c r="O551" s="252"/>
      <c r="P551" s="252"/>
      <c r="Q551" s="144"/>
    </row>
    <row r="552" spans="1:17" ht="13.2" hidden="1" x14ac:dyDescent="0.25">
      <c r="A552" s="163" t="s">
        <v>453</v>
      </c>
      <c r="B552" s="184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 t="shared" ref="L552" si="333">L553</f>
        <v>0</v>
      </c>
      <c r="M552" s="76" t="e" cm="1">
        <f t="array" ref="M552">SUM(_xlfn._xlws.FILTER([6]!Draft_SPBY[Jumlah],[6]!Draft_SPBY[MAK4]=A552,0))</f>
        <v>#REF!</v>
      </c>
      <c r="N552" s="76" t="e">
        <f>L552-M552</f>
        <v>#REF!</v>
      </c>
      <c r="O552" s="252"/>
      <c r="P552" s="252"/>
      <c r="Q552" s="144"/>
    </row>
    <row r="553" spans="1:17" ht="13.2" hidden="1" x14ac:dyDescent="0.25">
      <c r="A553" s="189" t="s">
        <v>454</v>
      </c>
      <c r="B553" s="178"/>
      <c r="C553" s="179" t="s">
        <v>915</v>
      </c>
      <c r="D553" s="180">
        <v>90</v>
      </c>
      <c r="E553" s="180" t="s">
        <v>26</v>
      </c>
      <c r="F553" s="182">
        <v>855000</v>
      </c>
      <c r="G553" s="182">
        <f>ROUNDDOWN(D553*F553,-3)</f>
        <v>76950000</v>
      </c>
      <c r="H553" s="182" t="b">
        <f>G553='[5]Pvt SP2D Pusdik'!B554</f>
        <v>1</v>
      </c>
      <c r="I553" s="182">
        <f>'[5]Pvt SP2D Pusdik'!C554</f>
        <v>0</v>
      </c>
      <c r="J553" s="182">
        <f>G553-I553</f>
        <v>76950000</v>
      </c>
      <c r="K553" s="182"/>
      <c r="L553" s="182"/>
      <c r="M553" s="182"/>
      <c r="N553" s="182"/>
      <c r="O553" s="252"/>
      <c r="P553" s="252"/>
      <c r="Q553" s="144"/>
    </row>
    <row r="554" spans="1:17" ht="13.2" hidden="1" x14ac:dyDescent="0.25">
      <c r="A554" s="163" t="s">
        <v>455</v>
      </c>
      <c r="B554" s="190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0</v>
      </c>
      <c r="J554" s="79">
        <f>SUM(J555:J556)</f>
        <v>234600000</v>
      </c>
      <c r="K554" s="79">
        <f>SUM(K555:K556)</f>
        <v>0</v>
      </c>
      <c r="L554" s="79">
        <f t="shared" ref="L554" si="334">L555</f>
        <v>0</v>
      </c>
      <c r="M554" s="79" t="e" cm="1">
        <f t="array" ref="M554">SUM(_xlfn._xlws.FILTER([6]!Draft_SPBY[Jumlah],[6]!Draft_SPBY[MAK4]=A554,0))</f>
        <v>#REF!</v>
      </c>
      <c r="N554" s="79" t="e">
        <f>L554-M554</f>
        <v>#REF!</v>
      </c>
      <c r="O554" s="252"/>
      <c r="P554" s="252"/>
      <c r="Q554" s="144"/>
    </row>
    <row r="555" spans="1:17" ht="13.2" hidden="1" x14ac:dyDescent="0.25">
      <c r="A555" s="163" t="s">
        <v>456</v>
      </c>
      <c r="B555" s="178"/>
      <c r="C555" s="179" t="s">
        <v>916</v>
      </c>
      <c r="D555" s="180">
        <v>20</v>
      </c>
      <c r="E555" s="180" t="s">
        <v>26</v>
      </c>
      <c r="F555" s="182">
        <v>5500000</v>
      </c>
      <c r="G555" s="182">
        <f>ROUNDDOWN(D555*F555,-3)</f>
        <v>110000000</v>
      </c>
      <c r="H555" s="182" t="b">
        <f>G555='[5]Pvt SP2D Pusdik'!B556</f>
        <v>1</v>
      </c>
      <c r="I555" s="182">
        <f>'[5]Pvt SP2D Pusdik'!C556</f>
        <v>0</v>
      </c>
      <c r="J555" s="182">
        <f t="shared" ref="J555:J556" si="335">G555-I555</f>
        <v>110000000</v>
      </c>
      <c r="K555" s="182"/>
      <c r="L555" s="182"/>
      <c r="M555" s="182"/>
      <c r="N555" s="182"/>
      <c r="O555" s="252"/>
      <c r="P555" s="252"/>
      <c r="Q555" s="144"/>
    </row>
    <row r="556" spans="1:17" ht="13.2" hidden="1" x14ac:dyDescent="0.25">
      <c r="A556" s="163" t="s">
        <v>457</v>
      </c>
      <c r="B556" s="178"/>
      <c r="C556" s="179" t="s">
        <v>917</v>
      </c>
      <c r="D556" s="180">
        <v>89</v>
      </c>
      <c r="E556" s="180" t="s">
        <v>26</v>
      </c>
      <c r="F556" s="182">
        <v>1400000</v>
      </c>
      <c r="G556" s="182">
        <f>ROUNDDOWN(D556*F556,-3)</f>
        <v>124600000</v>
      </c>
      <c r="H556" s="182" t="b">
        <f>G556='[5]Pvt SP2D Pusdik'!B557</f>
        <v>1</v>
      </c>
      <c r="I556" s="182">
        <f>'[5]Pvt SP2D Pusdik'!C557</f>
        <v>0</v>
      </c>
      <c r="J556" s="182">
        <f t="shared" si="335"/>
        <v>124600000</v>
      </c>
      <c r="K556" s="182"/>
      <c r="L556" s="182">
        <f t="shared" ref="L556:N556" si="336">L557</f>
        <v>0</v>
      </c>
      <c r="M556" s="182" t="e">
        <f t="shared" si="336"/>
        <v>#REF!</v>
      </c>
      <c r="N556" s="182" t="e">
        <f t="shared" si="336"/>
        <v>#REF!</v>
      </c>
      <c r="O556" s="252"/>
      <c r="P556" s="252"/>
      <c r="Q556" s="144"/>
    </row>
    <row r="557" spans="1:17" ht="13.2" x14ac:dyDescent="0.25">
      <c r="A557" s="163" t="s">
        <v>458</v>
      </c>
      <c r="B557" s="192" t="s">
        <v>38</v>
      </c>
      <c r="C557" s="193" t="s">
        <v>459</v>
      </c>
      <c r="D557" s="194"/>
      <c r="E557" s="194"/>
      <c r="F557" s="195"/>
      <c r="G557" s="195">
        <f>SUM(G558,G565,G568,G570,G573)</f>
        <v>5699412000</v>
      </c>
      <c r="H557" s="195" t="b">
        <f>G557='[5]Pvt SP2D Pusdik'!B558</f>
        <v>1</v>
      </c>
      <c r="I557" s="195">
        <f>'[5]Pvt SP2D Pusdik'!C558</f>
        <v>3056942708</v>
      </c>
      <c r="J557" s="195">
        <f>SUM(J558,J565,J568,J570,J573)</f>
        <v>2642469292</v>
      </c>
      <c r="K557" s="195">
        <f>SUM(K558,K565,K568,K570,K573)</f>
        <v>4000000</v>
      </c>
      <c r="L557" s="195">
        <f t="shared" ref="L557" si="337">SUM(L558,L563)</f>
        <v>0</v>
      </c>
      <c r="M557" s="195" t="e">
        <f t="shared" ref="M557:N557" si="338">SUM(M558,M563)</f>
        <v>#REF!</v>
      </c>
      <c r="N557" s="195" t="e">
        <f t="shared" si="338"/>
        <v>#REF!</v>
      </c>
      <c r="O557" s="252" t="s">
        <v>505</v>
      </c>
      <c r="P557" s="252" t="s">
        <v>506</v>
      </c>
      <c r="Q557" s="144"/>
    </row>
    <row r="558" spans="1:17" ht="13.2" x14ac:dyDescent="0.25">
      <c r="A558" s="163" t="s">
        <v>460</v>
      </c>
      <c r="B558" s="177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 t="shared" ref="L558" si="339">SUM(L559:L562)</f>
        <v>0</v>
      </c>
      <c r="M558" s="71" t="e" cm="1">
        <f t="array" ref="M558">SUM(_xlfn._xlws.FILTER([6]!Draft_SPBY[Jumlah],[6]!Draft_SPBY[MAK4]=A558,0))</f>
        <v>#REF!</v>
      </c>
      <c r="N558" s="71" t="e">
        <f>L558-M558</f>
        <v>#REF!</v>
      </c>
      <c r="O558" s="252"/>
      <c r="P558" s="252"/>
      <c r="Q558" s="144"/>
    </row>
    <row r="559" spans="1:17" ht="13.2" hidden="1" x14ac:dyDescent="0.25">
      <c r="A559" s="163" t="s">
        <v>461</v>
      </c>
      <c r="B559" s="178"/>
      <c r="C559" s="179" t="s">
        <v>563</v>
      </c>
      <c r="D559" s="180">
        <v>100</v>
      </c>
      <c r="E559" s="180" t="s">
        <v>26</v>
      </c>
      <c r="F559" s="182">
        <v>70000</v>
      </c>
      <c r="G559" s="182">
        <f t="shared" ref="G559:G564" si="340">ROUNDDOWN(D559*F559,-3)</f>
        <v>7000000</v>
      </c>
      <c r="H559" s="182" t="b">
        <f>G559='[5]Pvt SP2D Pusdik'!B560</f>
        <v>1</v>
      </c>
      <c r="I559" s="182">
        <f>'[5]Pvt SP2D Pusdik'!C560</f>
        <v>2160000</v>
      </c>
      <c r="J559" s="182">
        <f t="shared" ref="J559:J564" si="341">G559-I559</f>
        <v>4840000</v>
      </c>
      <c r="K559" s="182"/>
      <c r="L559" s="182"/>
      <c r="M559" s="182"/>
      <c r="N559" s="182"/>
      <c r="O559" s="252"/>
      <c r="P559" s="252"/>
      <c r="Q559" s="144"/>
    </row>
    <row r="560" spans="1:17" ht="13.2" x14ac:dyDescent="0.25">
      <c r="A560" s="163" t="s">
        <v>462</v>
      </c>
      <c r="B560" s="178"/>
      <c r="C560" s="179" t="s">
        <v>564</v>
      </c>
      <c r="D560" s="180">
        <v>8</v>
      </c>
      <c r="E560" s="180" t="s">
        <v>120</v>
      </c>
      <c r="F560" s="182">
        <v>1500000</v>
      </c>
      <c r="G560" s="182">
        <f t="shared" si="340"/>
        <v>12000000</v>
      </c>
      <c r="H560" s="182" t="b">
        <f>G560='[5]Pvt SP2D Pusdik'!B561</f>
        <v>1</v>
      </c>
      <c r="I560" s="182">
        <f>'[5]Pvt SP2D Pusdik'!C561</f>
        <v>4426900</v>
      </c>
      <c r="J560" s="182">
        <f t="shared" si="341"/>
        <v>7573100</v>
      </c>
      <c r="K560" s="182">
        <v>1500000</v>
      </c>
      <c r="L560" s="182"/>
      <c r="M560" s="182"/>
      <c r="N560" s="182"/>
      <c r="O560" s="252"/>
      <c r="P560" s="252"/>
      <c r="Q560" s="144"/>
    </row>
    <row r="561" spans="1:17" ht="13.2" x14ac:dyDescent="0.25">
      <c r="A561" s="163" t="s">
        <v>463</v>
      </c>
      <c r="B561" s="178"/>
      <c r="C561" s="179" t="s">
        <v>565</v>
      </c>
      <c r="D561" s="180">
        <v>8</v>
      </c>
      <c r="E561" s="180" t="s">
        <v>120</v>
      </c>
      <c r="F561" s="182">
        <v>1500000</v>
      </c>
      <c r="G561" s="182">
        <f t="shared" si="340"/>
        <v>12000000</v>
      </c>
      <c r="H561" s="182" t="b">
        <f>G561='[5]Pvt SP2D Pusdik'!B562</f>
        <v>1</v>
      </c>
      <c r="I561" s="182">
        <f>'[5]Pvt SP2D Pusdik'!C562</f>
        <v>4250000</v>
      </c>
      <c r="J561" s="182">
        <f t="shared" si="341"/>
        <v>7750000</v>
      </c>
      <c r="K561" s="182">
        <v>1500000</v>
      </c>
      <c r="L561" s="182"/>
      <c r="M561" s="182"/>
      <c r="N561" s="182"/>
      <c r="O561" s="252"/>
      <c r="P561" s="252"/>
      <c r="Q561" s="144"/>
    </row>
    <row r="562" spans="1:17" ht="13.2" x14ac:dyDescent="0.25">
      <c r="A562" s="163" t="s">
        <v>464</v>
      </c>
      <c r="B562" s="178"/>
      <c r="C562" s="179" t="s">
        <v>566</v>
      </c>
      <c r="D562" s="180">
        <v>8</v>
      </c>
      <c r="E562" s="180" t="s">
        <v>120</v>
      </c>
      <c r="F562" s="182">
        <v>1000000</v>
      </c>
      <c r="G562" s="182">
        <f t="shared" si="340"/>
        <v>8000000</v>
      </c>
      <c r="H562" s="182" t="b">
        <f>G562='[5]Pvt SP2D Pusdik'!B563</f>
        <v>1</v>
      </c>
      <c r="I562" s="182">
        <f>'[5]Pvt SP2D Pusdik'!C563</f>
        <v>2972000</v>
      </c>
      <c r="J562" s="182">
        <f t="shared" si="341"/>
        <v>5028000</v>
      </c>
      <c r="K562" s="182">
        <v>1000000</v>
      </c>
      <c r="L562" s="182"/>
      <c r="M562" s="182"/>
      <c r="N562" s="182"/>
      <c r="O562" s="252"/>
      <c r="P562" s="252"/>
      <c r="Q562" s="144"/>
    </row>
    <row r="563" spans="1:17" ht="13.2" hidden="1" x14ac:dyDescent="0.25">
      <c r="A563" s="163" t="s">
        <v>465</v>
      </c>
      <c r="B563" s="178"/>
      <c r="C563" s="179" t="s">
        <v>822</v>
      </c>
      <c r="D563" s="180">
        <v>30</v>
      </c>
      <c r="E563" s="180" t="s">
        <v>59</v>
      </c>
      <c r="F563" s="182">
        <v>350000</v>
      </c>
      <c r="G563" s="182">
        <f t="shared" si="340"/>
        <v>10500000</v>
      </c>
      <c r="H563" s="182" t="b">
        <f>G563='[5]Pvt SP2D Pusdik'!B564</f>
        <v>1</v>
      </c>
      <c r="I563" s="182">
        <f>'[5]Pvt SP2D Pusdik'!C564</f>
        <v>0</v>
      </c>
      <c r="J563" s="182">
        <f t="shared" si="341"/>
        <v>10500000</v>
      </c>
      <c r="K563" s="182"/>
      <c r="L563" s="182">
        <f t="shared" ref="L563" si="342">L564</f>
        <v>0</v>
      </c>
      <c r="M563" s="182" t="e" cm="1">
        <f t="array" ref="M563">SUM(_xlfn._xlws.FILTER([6]!Draft_SPBY[Jumlah],[6]!Draft_SPBY[MAK4]=A563,0))</f>
        <v>#REF!</v>
      </c>
      <c r="N563" s="182" t="e">
        <f>L563-M563</f>
        <v>#REF!</v>
      </c>
      <c r="O563" s="252"/>
      <c r="P563" s="252"/>
      <c r="Q563" s="144"/>
    </row>
    <row r="564" spans="1:17" ht="13.2" hidden="1" x14ac:dyDescent="0.25">
      <c r="A564" s="163" t="s">
        <v>918</v>
      </c>
      <c r="B564" s="178"/>
      <c r="C564" s="179" t="s">
        <v>824</v>
      </c>
      <c r="D564" s="180">
        <v>54</v>
      </c>
      <c r="E564" s="180" t="s">
        <v>919</v>
      </c>
      <c r="F564" s="182">
        <v>280000</v>
      </c>
      <c r="G564" s="182">
        <f t="shared" si="340"/>
        <v>15120000</v>
      </c>
      <c r="H564" s="182" t="b">
        <f>G564='[5]Pvt SP2D Pusdik'!B565</f>
        <v>1</v>
      </c>
      <c r="I564" s="182">
        <f>'[5]Pvt SP2D Pusdik'!C565</f>
        <v>0</v>
      </c>
      <c r="J564" s="182">
        <f t="shared" si="341"/>
        <v>15120000</v>
      </c>
      <c r="K564" s="182"/>
      <c r="L564" s="182"/>
      <c r="M564" s="182"/>
      <c r="N564" s="182"/>
      <c r="O564" s="252"/>
      <c r="P564" s="252"/>
      <c r="Q564" s="144"/>
    </row>
    <row r="565" spans="1:17" ht="13.2" hidden="1" x14ac:dyDescent="0.25">
      <c r="A565" s="163" t="s">
        <v>466</v>
      </c>
      <c r="B565" s="184" t="s">
        <v>535</v>
      </c>
      <c r="C565" s="75" t="s">
        <v>73</v>
      </c>
      <c r="D565" s="74"/>
      <c r="E565" s="180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2980710248</v>
      </c>
      <c r="J565" s="76">
        <f>SUM(J566:J567)</f>
        <v>2276881752</v>
      </c>
      <c r="K565" s="76">
        <f>SUM(K566:K567)</f>
        <v>0</v>
      </c>
      <c r="L565" s="76"/>
      <c r="M565" s="76"/>
      <c r="N565" s="76"/>
      <c r="O565" s="252"/>
      <c r="P565" s="252"/>
    </row>
    <row r="566" spans="1:17" s="145" customFormat="1" ht="13.2" hidden="1" x14ac:dyDescent="0.25">
      <c r="A566" s="163" t="s">
        <v>467</v>
      </c>
      <c r="B566" s="178"/>
      <c r="C566" s="179" t="s">
        <v>912</v>
      </c>
      <c r="D566" s="180">
        <v>101</v>
      </c>
      <c r="E566" s="180" t="s">
        <v>26</v>
      </c>
      <c r="F566" s="182">
        <v>52047941</v>
      </c>
      <c r="G566" s="182">
        <f>ROUNDDOWN(D566*F566,-3)</f>
        <v>5256842000</v>
      </c>
      <c r="H566" s="182" t="b">
        <f>G566='[5]Pvt SP2D Pusdik'!B567</f>
        <v>1</v>
      </c>
      <c r="I566" s="182">
        <f>'[5]Pvt SP2D Pusdik'!C567</f>
        <v>2980710248</v>
      </c>
      <c r="J566" s="182">
        <f t="shared" ref="J566:J567" si="343">G566-I566</f>
        <v>2276131752</v>
      </c>
      <c r="K566" s="182"/>
      <c r="L566" s="182"/>
      <c r="M566" s="182"/>
      <c r="N566" s="182"/>
      <c r="O566" s="252"/>
      <c r="P566" s="252"/>
    </row>
    <row r="567" spans="1:17" s="145" customFormat="1" ht="13.2" hidden="1" x14ac:dyDescent="0.25">
      <c r="A567" s="163" t="s">
        <v>468</v>
      </c>
      <c r="B567" s="178"/>
      <c r="C567" s="179" t="s">
        <v>913</v>
      </c>
      <c r="D567" s="180">
        <v>3</v>
      </c>
      <c r="E567" s="180" t="s">
        <v>120</v>
      </c>
      <c r="F567" s="182">
        <v>250000</v>
      </c>
      <c r="G567" s="182">
        <f>ROUNDDOWN(D567*F567,-3)</f>
        <v>750000</v>
      </c>
      <c r="H567" s="182" t="b">
        <f>G567='[5]Pvt SP2D Pusdik'!B568</f>
        <v>1</v>
      </c>
      <c r="I567" s="182">
        <f>'[5]Pvt SP2D Pusdik'!C568</f>
        <v>0</v>
      </c>
      <c r="J567" s="182">
        <f t="shared" si="343"/>
        <v>750000</v>
      </c>
      <c r="K567" s="182"/>
      <c r="L567" s="182"/>
      <c r="M567" s="182"/>
      <c r="N567" s="182"/>
      <c r="O567" s="252"/>
      <c r="P567" s="252"/>
    </row>
    <row r="568" spans="1:17" s="145" customFormat="1" ht="13.2" hidden="1" x14ac:dyDescent="0.25">
      <c r="A568" s="163" t="s">
        <v>469</v>
      </c>
      <c r="B568" s="184" t="s">
        <v>538</v>
      </c>
      <c r="C568" s="75" t="s">
        <v>31</v>
      </c>
      <c r="D568" s="74"/>
      <c r="E568" s="180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/>
      <c r="M568" s="76"/>
      <c r="N568" s="76"/>
      <c r="O568" s="252"/>
      <c r="P568" s="252"/>
    </row>
    <row r="569" spans="1:17" s="145" customFormat="1" ht="13.2" hidden="1" x14ac:dyDescent="0.25">
      <c r="A569" s="163" t="s">
        <v>470</v>
      </c>
      <c r="B569" s="178"/>
      <c r="C569" s="179" t="s">
        <v>567</v>
      </c>
      <c r="D569" s="180">
        <v>20</v>
      </c>
      <c r="E569" s="180" t="s">
        <v>33</v>
      </c>
      <c r="F569" s="182">
        <v>1000000</v>
      </c>
      <c r="G569" s="182">
        <f>ROUNDDOWN(D569*F569,-3)</f>
        <v>20000000</v>
      </c>
      <c r="H569" s="182" t="b">
        <f>G569='[5]Pvt SP2D Pusdik'!B570</f>
        <v>1</v>
      </c>
      <c r="I569" s="182">
        <f>'[5]Pvt SP2D Pusdik'!C570</f>
        <v>0</v>
      </c>
      <c r="J569" s="182">
        <f>G569-I569</f>
        <v>20000000</v>
      </c>
      <c r="K569" s="182"/>
      <c r="L569" s="182"/>
      <c r="M569" s="182"/>
      <c r="N569" s="182"/>
      <c r="O569" s="252"/>
      <c r="P569" s="252"/>
    </row>
    <row r="570" spans="1:17" s="145" customFormat="1" ht="13.2" hidden="1" x14ac:dyDescent="0.25">
      <c r="A570" s="163" t="s">
        <v>471</v>
      </c>
      <c r="B570" s="184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/>
      <c r="M570" s="76"/>
      <c r="N570" s="76"/>
      <c r="O570" s="252"/>
      <c r="P570" s="252"/>
    </row>
    <row r="571" spans="1:17" s="145" customFormat="1" ht="13.2" hidden="1" x14ac:dyDescent="0.25">
      <c r="A571" s="163" t="s">
        <v>472</v>
      </c>
      <c r="B571" s="178"/>
      <c r="C571" s="179" t="s">
        <v>916</v>
      </c>
      <c r="D571" s="180">
        <v>20</v>
      </c>
      <c r="E571" s="180" t="s">
        <v>26</v>
      </c>
      <c r="F571" s="182">
        <v>5500000</v>
      </c>
      <c r="G571" s="182">
        <f>ROUNDDOWN(D571*F571,-3)</f>
        <v>110000000</v>
      </c>
      <c r="H571" s="182" t="b">
        <f>G571='[5]Pvt SP2D Pusdik'!B572</f>
        <v>1</v>
      </c>
      <c r="I571" s="182">
        <f>'[5]Pvt SP2D Pusdik'!C572</f>
        <v>62423560</v>
      </c>
      <c r="J571" s="182">
        <f t="shared" ref="J571:J572" si="344">G571-I571</f>
        <v>47576440</v>
      </c>
      <c r="K571" s="182"/>
      <c r="L571" s="182"/>
      <c r="M571" s="182"/>
      <c r="N571" s="182"/>
      <c r="O571" s="252"/>
      <c r="P571" s="252"/>
    </row>
    <row r="572" spans="1:17" s="145" customFormat="1" ht="13.2" hidden="1" x14ac:dyDescent="0.25">
      <c r="A572" s="163" t="s">
        <v>473</v>
      </c>
      <c r="B572" s="178"/>
      <c r="C572" s="179" t="s">
        <v>917</v>
      </c>
      <c r="D572" s="180">
        <v>28</v>
      </c>
      <c r="E572" s="180" t="s">
        <v>26</v>
      </c>
      <c r="F572" s="182">
        <v>1500000</v>
      </c>
      <c r="G572" s="182">
        <f>ROUNDDOWN(D572*F572,-3)</f>
        <v>42000000</v>
      </c>
      <c r="H572" s="182" t="b">
        <f>G572='[5]Pvt SP2D Pusdik'!B573</f>
        <v>1</v>
      </c>
      <c r="I572" s="182">
        <f>'[5]Pvt SP2D Pusdik'!C573</f>
        <v>0</v>
      </c>
      <c r="J572" s="182">
        <f t="shared" si="344"/>
        <v>42000000</v>
      </c>
      <c r="K572" s="182"/>
      <c r="L572" s="182"/>
      <c r="M572" s="182"/>
      <c r="N572" s="182"/>
      <c r="O572" s="252"/>
      <c r="P572" s="252"/>
    </row>
    <row r="573" spans="1:17" s="145" customFormat="1" ht="13.2" hidden="1" x14ac:dyDescent="0.25">
      <c r="A573" s="163" t="s">
        <v>474</v>
      </c>
      <c r="B573" s="184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/>
      <c r="M573" s="76"/>
      <c r="N573" s="76"/>
      <c r="O573" s="252"/>
      <c r="P573" s="252"/>
    </row>
    <row r="574" spans="1:17" s="145" customFormat="1" ht="13.2" hidden="1" x14ac:dyDescent="0.25">
      <c r="A574" s="163" t="s">
        <v>476</v>
      </c>
      <c r="B574" s="178"/>
      <c r="C574" s="179" t="s">
        <v>920</v>
      </c>
      <c r="D574" s="180">
        <v>108</v>
      </c>
      <c r="E574" s="180" t="s">
        <v>477</v>
      </c>
      <c r="F574" s="182">
        <v>850000</v>
      </c>
      <c r="G574" s="182">
        <f>ROUNDDOWN(D574*F574,-3)</f>
        <v>91800000</v>
      </c>
      <c r="H574" s="182" t="b">
        <f>G574='[5]Pvt SP2D Pusdik'!B575</f>
        <v>1</v>
      </c>
      <c r="I574" s="182">
        <f>'[5]Pvt SP2D Pusdik'!C575</f>
        <v>0</v>
      </c>
      <c r="J574" s="182">
        <f t="shared" ref="J574:J576" si="345">G574-I574</f>
        <v>91800000</v>
      </c>
      <c r="K574" s="182"/>
      <c r="L574" s="182"/>
      <c r="M574" s="182"/>
      <c r="N574" s="182"/>
      <c r="O574" s="252"/>
      <c r="P574" s="252"/>
    </row>
    <row r="575" spans="1:17" s="145" customFormat="1" ht="13.2" hidden="1" x14ac:dyDescent="0.25">
      <c r="A575" s="163" t="s">
        <v>478</v>
      </c>
      <c r="B575" s="178"/>
      <c r="C575" s="179" t="s">
        <v>921</v>
      </c>
      <c r="D575" s="180">
        <v>54</v>
      </c>
      <c r="E575" s="180" t="s">
        <v>26</v>
      </c>
      <c r="F575" s="182">
        <v>450000</v>
      </c>
      <c r="G575" s="182">
        <f>ROUNDDOWN(D575*F575,-3)</f>
        <v>24300000</v>
      </c>
      <c r="H575" s="182" t="b">
        <f>G575='[5]Pvt SP2D Pusdik'!B576</f>
        <v>1</v>
      </c>
      <c r="I575" s="182">
        <f>'[5]Pvt SP2D Pusdik'!C576</f>
        <v>0</v>
      </c>
      <c r="J575" s="182">
        <f t="shared" si="345"/>
        <v>24300000</v>
      </c>
      <c r="K575" s="182"/>
      <c r="L575" s="182"/>
      <c r="M575" s="182"/>
      <c r="N575" s="182"/>
      <c r="O575" s="252"/>
      <c r="P575" s="252"/>
    </row>
    <row r="576" spans="1:17" s="145" customFormat="1" ht="13.2" hidden="1" x14ac:dyDescent="0.25">
      <c r="A576" s="163" t="s">
        <v>479</v>
      </c>
      <c r="B576" s="178"/>
      <c r="C576" s="179" t="s">
        <v>922</v>
      </c>
      <c r="D576" s="180">
        <v>54</v>
      </c>
      <c r="E576" s="180" t="s">
        <v>26</v>
      </c>
      <c r="F576" s="182">
        <v>1650000</v>
      </c>
      <c r="G576" s="182">
        <f>ROUNDDOWN(D576*F576,-3)</f>
        <v>89100000</v>
      </c>
      <c r="H576" s="182" t="b">
        <f>G576='[5]Pvt SP2D Pusdik'!B577</f>
        <v>1</v>
      </c>
      <c r="I576" s="182">
        <f>'[5]Pvt SP2D Pusdik'!C577</f>
        <v>0</v>
      </c>
      <c r="J576" s="182">
        <f t="shared" si="345"/>
        <v>89100000</v>
      </c>
      <c r="K576" s="182"/>
      <c r="L576" s="182"/>
      <c r="M576" s="182"/>
      <c r="N576" s="182"/>
      <c r="O576" s="252"/>
      <c r="P576" s="252"/>
    </row>
    <row r="577" spans="1:16" s="145" customFormat="1" ht="13.2" x14ac:dyDescent="0.25">
      <c r="A577" s="163" t="s">
        <v>480</v>
      </c>
      <c r="B577" s="192" t="s">
        <v>91</v>
      </c>
      <c r="C577" s="193" t="s">
        <v>481</v>
      </c>
      <c r="D577" s="194"/>
      <c r="E577" s="194"/>
      <c r="F577" s="195"/>
      <c r="G577" s="195">
        <f>SUM(G578,G582,G584)</f>
        <v>186041000</v>
      </c>
      <c r="H577" s="195" t="b">
        <f>G577='[5]Pvt SP2D Pusdik'!B578</f>
        <v>1</v>
      </c>
      <c r="I577" s="195">
        <f>'[5]Pvt SP2D Pusdik'!C578</f>
        <v>11770450</v>
      </c>
      <c r="J577" s="195">
        <f>SUM(J578,J582,J584)</f>
        <v>174270550</v>
      </c>
      <c r="K577" s="195">
        <f>SUM(K578,K582,K584)</f>
        <v>4000000</v>
      </c>
      <c r="L577" s="195"/>
      <c r="M577" s="195"/>
      <c r="N577" s="195"/>
      <c r="O577" s="252" t="s">
        <v>505</v>
      </c>
      <c r="P577" s="252" t="s">
        <v>506</v>
      </c>
    </row>
    <row r="578" spans="1:16" s="145" customFormat="1" ht="13.2" x14ac:dyDescent="0.25">
      <c r="A578" s="163" t="s">
        <v>482</v>
      </c>
      <c r="B578" s="184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/>
      <c r="M578" s="76"/>
      <c r="N578" s="76"/>
      <c r="O578" s="252"/>
      <c r="P578" s="252"/>
    </row>
    <row r="579" spans="1:16" s="145" customFormat="1" ht="13.2" x14ac:dyDescent="0.25">
      <c r="A579" s="163" t="s">
        <v>483</v>
      </c>
      <c r="B579" s="178"/>
      <c r="C579" s="179" t="s">
        <v>634</v>
      </c>
      <c r="D579" s="180">
        <v>6</v>
      </c>
      <c r="E579" s="180" t="s">
        <v>120</v>
      </c>
      <c r="F579" s="182">
        <v>1500000</v>
      </c>
      <c r="G579" s="182">
        <f>ROUNDDOWN(D579*F579,-3)</f>
        <v>9000000</v>
      </c>
      <c r="H579" s="182" t="b">
        <f>G579='[5]Pvt SP2D Pusdik'!B580</f>
        <v>1</v>
      </c>
      <c r="I579" s="182">
        <f>'[5]Pvt SP2D Pusdik'!C580</f>
        <v>4438450</v>
      </c>
      <c r="J579" s="182">
        <f t="shared" ref="J579:J581" si="346">G579-I579</f>
        <v>4561550</v>
      </c>
      <c r="K579" s="182">
        <v>1500000</v>
      </c>
      <c r="L579" s="182"/>
      <c r="M579" s="182"/>
      <c r="N579" s="182"/>
      <c r="O579" s="252"/>
      <c r="P579" s="252"/>
    </row>
    <row r="580" spans="1:16" s="145" customFormat="1" ht="13.2" x14ac:dyDescent="0.25">
      <c r="A580" s="163" t="s">
        <v>484</v>
      </c>
      <c r="B580" s="178"/>
      <c r="C580" s="179" t="s">
        <v>571</v>
      </c>
      <c r="D580" s="180">
        <v>6</v>
      </c>
      <c r="E580" s="180" t="s">
        <v>120</v>
      </c>
      <c r="F580" s="182">
        <v>1500000</v>
      </c>
      <c r="G580" s="182">
        <f>ROUNDDOWN(D580*F580,-3)</f>
        <v>9000000</v>
      </c>
      <c r="H580" s="182" t="b">
        <f>G580='[5]Pvt SP2D Pusdik'!B581</f>
        <v>1</v>
      </c>
      <c r="I580" s="182">
        <f>'[5]Pvt SP2D Pusdik'!C581</f>
        <v>4365000</v>
      </c>
      <c r="J580" s="182">
        <f t="shared" si="346"/>
        <v>4635000</v>
      </c>
      <c r="K580" s="182">
        <v>1500000</v>
      </c>
      <c r="L580" s="182"/>
      <c r="M580" s="182"/>
      <c r="N580" s="182"/>
      <c r="O580" s="252"/>
      <c r="P580" s="252"/>
    </row>
    <row r="581" spans="1:16" s="145" customFormat="1" ht="13.2" x14ac:dyDescent="0.25">
      <c r="A581" s="163" t="s">
        <v>485</v>
      </c>
      <c r="B581" s="178"/>
      <c r="C581" s="179" t="s">
        <v>572</v>
      </c>
      <c r="D581" s="180">
        <v>6</v>
      </c>
      <c r="E581" s="180" t="s">
        <v>120</v>
      </c>
      <c r="F581" s="182">
        <v>1000000</v>
      </c>
      <c r="G581" s="182">
        <f>ROUNDDOWN(D581*F581,-3)</f>
        <v>6000000</v>
      </c>
      <c r="H581" s="182" t="b">
        <f>G581='[5]Pvt SP2D Pusdik'!B582</f>
        <v>1</v>
      </c>
      <c r="I581" s="182">
        <f>'[5]Pvt SP2D Pusdik'!C582</f>
        <v>2967000</v>
      </c>
      <c r="J581" s="182">
        <f t="shared" si="346"/>
        <v>3033000</v>
      </c>
      <c r="K581" s="182">
        <v>1000000</v>
      </c>
      <c r="L581" s="182"/>
      <c r="M581" s="182"/>
      <c r="N581" s="182"/>
      <c r="O581" s="252"/>
      <c r="P581" s="252"/>
    </row>
    <row r="582" spans="1:16" s="145" customFormat="1" ht="13.2" hidden="1" x14ac:dyDescent="0.25">
      <c r="A582" s="163" t="s">
        <v>486</v>
      </c>
      <c r="B582" s="184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/>
      <c r="M582" s="76"/>
      <c r="N582" s="76"/>
      <c r="O582" s="252"/>
      <c r="P582" s="252"/>
    </row>
    <row r="583" spans="1:16" s="145" customFormat="1" ht="13.2" hidden="1" x14ac:dyDescent="0.25">
      <c r="A583" s="163" t="s">
        <v>487</v>
      </c>
      <c r="B583" s="178"/>
      <c r="C583" s="179" t="s">
        <v>923</v>
      </c>
      <c r="D583" s="180">
        <v>2</v>
      </c>
      <c r="E583" s="180" t="s">
        <v>26</v>
      </c>
      <c r="F583" s="182">
        <v>10000000</v>
      </c>
      <c r="G583" s="182">
        <f>ROUNDDOWN(D583*F583,-3)</f>
        <v>20000000</v>
      </c>
      <c r="H583" s="182" t="b">
        <f>G583='[5]Pvt SP2D Pusdik'!B584</f>
        <v>1</v>
      </c>
      <c r="I583" s="182">
        <f>'[5]Pvt SP2D Pusdik'!C584</f>
        <v>0</v>
      </c>
      <c r="J583" s="182">
        <f>G583-I583</f>
        <v>20000000</v>
      </c>
      <c r="K583" s="182"/>
      <c r="L583" s="182"/>
      <c r="M583" s="182"/>
      <c r="N583" s="182"/>
      <c r="O583" s="252"/>
      <c r="P583" s="252"/>
    </row>
    <row r="584" spans="1:16" s="145" customFormat="1" ht="13.2" hidden="1" x14ac:dyDescent="0.25">
      <c r="A584" s="163" t="s">
        <v>488</v>
      </c>
      <c r="B584" s="184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/>
      <c r="M584" s="76"/>
      <c r="N584" s="76"/>
      <c r="O584" s="252"/>
      <c r="P584" s="252"/>
    </row>
    <row r="585" spans="1:16" s="145" customFormat="1" ht="13.2" hidden="1" x14ac:dyDescent="0.25">
      <c r="A585" s="163" t="s">
        <v>490</v>
      </c>
      <c r="B585" s="178"/>
      <c r="C585" s="179" t="s">
        <v>924</v>
      </c>
      <c r="D585" s="180">
        <v>3</v>
      </c>
      <c r="E585" s="180" t="s">
        <v>26</v>
      </c>
      <c r="F585" s="182">
        <v>47347000</v>
      </c>
      <c r="G585" s="182">
        <f>ROUNDDOWN(D585*F585,-3)</f>
        <v>142041000</v>
      </c>
      <c r="H585" s="182" t="b">
        <f>G585='[5]Pvt SP2D Pusdik'!B586</f>
        <v>1</v>
      </c>
      <c r="I585" s="182">
        <f>'[5]Pvt SP2D Pusdik'!C586</f>
        <v>0</v>
      </c>
      <c r="J585" s="182">
        <f>G585-I585</f>
        <v>142041000</v>
      </c>
      <c r="K585" s="182"/>
      <c r="L585" s="182"/>
      <c r="M585" s="182"/>
      <c r="N585" s="182"/>
      <c r="O585" s="252"/>
      <c r="P585" s="252"/>
    </row>
    <row r="586" spans="1:16" s="145" customFormat="1" ht="13.2" x14ac:dyDescent="0.25">
      <c r="A586" s="163" t="s">
        <v>491</v>
      </c>
      <c r="B586" s="191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/>
      <c r="M586" s="82"/>
      <c r="N586" s="82"/>
      <c r="O586" s="252"/>
      <c r="P586" s="252"/>
    </row>
    <row r="587" spans="1:16" s="145" customFormat="1" ht="13.2" x14ac:dyDescent="0.25">
      <c r="A587" s="163" t="s">
        <v>493</v>
      </c>
      <c r="B587" s="192" t="s">
        <v>21</v>
      </c>
      <c r="C587" s="193" t="s">
        <v>492</v>
      </c>
      <c r="D587" s="194"/>
      <c r="E587" s="194"/>
      <c r="F587" s="195"/>
      <c r="G587" s="195">
        <f>SUM(G588,G593)</f>
        <v>91170000</v>
      </c>
      <c r="H587" s="195" t="b">
        <f>G587='[5]Pvt SP2D Pusdik'!B588</f>
        <v>1</v>
      </c>
      <c r="I587" s="195">
        <f>'[5]Pvt SP2D Pusdik'!C588</f>
        <v>11685500</v>
      </c>
      <c r="J587" s="195">
        <f>SUM(J588,J593)</f>
        <v>79484500</v>
      </c>
      <c r="K587" s="195">
        <f>SUM(K588,K593)</f>
        <v>4000000</v>
      </c>
      <c r="L587" s="195"/>
      <c r="M587" s="195"/>
      <c r="N587" s="195"/>
      <c r="O587" s="252" t="s">
        <v>505</v>
      </c>
      <c r="P587" s="252" t="s">
        <v>506</v>
      </c>
    </row>
    <row r="588" spans="1:16" s="145" customFormat="1" ht="13.2" x14ac:dyDescent="0.25">
      <c r="A588" s="163" t="s">
        <v>494</v>
      </c>
      <c r="B588" s="184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/>
      <c r="M588" s="76"/>
      <c r="N588" s="76"/>
      <c r="O588" s="252"/>
      <c r="P588" s="252"/>
    </row>
    <row r="589" spans="1:16" s="145" customFormat="1" ht="13.2" hidden="1" x14ac:dyDescent="0.25">
      <c r="A589" s="163" t="s">
        <v>495</v>
      </c>
      <c r="B589" s="178"/>
      <c r="C589" s="179" t="s">
        <v>563</v>
      </c>
      <c r="D589" s="180">
        <v>100</v>
      </c>
      <c r="E589" s="180" t="s">
        <v>26</v>
      </c>
      <c r="F589" s="182">
        <v>70000</v>
      </c>
      <c r="G589" s="182">
        <f>ROUNDDOWN(D589*F589,-3)</f>
        <v>7000000</v>
      </c>
      <c r="H589" s="182" t="b">
        <f>G589='[5]Pvt SP2D Pusdik'!B590</f>
        <v>1</v>
      </c>
      <c r="I589" s="182">
        <f>'[5]Pvt SP2D Pusdik'!C590</f>
        <v>0</v>
      </c>
      <c r="J589" s="182">
        <f t="shared" ref="J589:J592" si="347">G589-I589</f>
        <v>7000000</v>
      </c>
      <c r="K589" s="182"/>
      <c r="L589" s="182"/>
      <c r="M589" s="182"/>
      <c r="N589" s="182"/>
      <c r="O589" s="252"/>
      <c r="P589" s="252"/>
    </row>
    <row r="590" spans="1:16" s="145" customFormat="1" ht="13.2" x14ac:dyDescent="0.25">
      <c r="A590" s="163" t="s">
        <v>496</v>
      </c>
      <c r="B590" s="178"/>
      <c r="C590" s="179" t="s">
        <v>564</v>
      </c>
      <c r="D590" s="180">
        <v>8</v>
      </c>
      <c r="E590" s="180" t="s">
        <v>120</v>
      </c>
      <c r="F590" s="182">
        <v>1500000</v>
      </c>
      <c r="G590" s="182">
        <f>ROUNDDOWN(D590*F590,-3)</f>
        <v>12000000</v>
      </c>
      <c r="H590" s="182" t="b">
        <f>G590='[5]Pvt SP2D Pusdik'!B591</f>
        <v>1</v>
      </c>
      <c r="I590" s="182">
        <f>'[5]Pvt SP2D Pusdik'!C591</f>
        <v>4476500</v>
      </c>
      <c r="J590" s="182">
        <f t="shared" si="347"/>
        <v>7523500</v>
      </c>
      <c r="K590" s="182">
        <v>1500000</v>
      </c>
      <c r="L590" s="182"/>
      <c r="M590" s="182"/>
      <c r="N590" s="182"/>
      <c r="O590" s="252"/>
      <c r="P590" s="252"/>
    </row>
    <row r="591" spans="1:16" s="145" customFormat="1" ht="13.2" x14ac:dyDescent="0.25">
      <c r="A591" s="163" t="s">
        <v>925</v>
      </c>
      <c r="B591" s="178"/>
      <c r="C591" s="179" t="s">
        <v>565</v>
      </c>
      <c r="D591" s="180">
        <v>8</v>
      </c>
      <c r="E591" s="180" t="s">
        <v>120</v>
      </c>
      <c r="F591" s="182">
        <v>1500000</v>
      </c>
      <c r="G591" s="182">
        <f>ROUNDDOWN(D591*F591,-3)</f>
        <v>12000000</v>
      </c>
      <c r="H591" s="182" t="b">
        <f>G591='[5]Pvt SP2D Pusdik'!B592</f>
        <v>1</v>
      </c>
      <c r="I591" s="182">
        <f>'[5]Pvt SP2D Pusdik'!C592</f>
        <v>4325000</v>
      </c>
      <c r="J591" s="182">
        <f t="shared" si="347"/>
        <v>7675000</v>
      </c>
      <c r="K591" s="182">
        <v>1500000</v>
      </c>
      <c r="L591" s="182"/>
      <c r="M591" s="182"/>
      <c r="N591" s="182"/>
      <c r="O591" s="252"/>
      <c r="P591" s="252"/>
    </row>
    <row r="592" spans="1:16" s="145" customFormat="1" ht="13.2" x14ac:dyDescent="0.25">
      <c r="A592" s="163" t="s">
        <v>926</v>
      </c>
      <c r="B592" s="178"/>
      <c r="C592" s="179" t="s">
        <v>566</v>
      </c>
      <c r="D592" s="180">
        <v>8</v>
      </c>
      <c r="E592" s="180" t="s">
        <v>120</v>
      </c>
      <c r="F592" s="182">
        <v>1000000</v>
      </c>
      <c r="G592" s="182">
        <f>ROUNDDOWN(D592*F592,-3)</f>
        <v>8000000</v>
      </c>
      <c r="H592" s="182" t="b">
        <f>G592='[5]Pvt SP2D Pusdik'!B593</f>
        <v>1</v>
      </c>
      <c r="I592" s="182">
        <f>'[5]Pvt SP2D Pusdik'!C593</f>
        <v>2884000</v>
      </c>
      <c r="J592" s="182">
        <f t="shared" si="347"/>
        <v>5116000</v>
      </c>
      <c r="K592" s="182">
        <v>1000000</v>
      </c>
      <c r="L592" s="182"/>
      <c r="M592" s="182"/>
      <c r="N592" s="182"/>
      <c r="O592" s="252"/>
      <c r="P592" s="252"/>
    </row>
    <row r="593" spans="1:16" s="145" customFormat="1" ht="13.2" hidden="1" x14ac:dyDescent="0.25">
      <c r="A593" s="163" t="s">
        <v>927</v>
      </c>
      <c r="B593" s="184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/>
      <c r="M593" s="76"/>
      <c r="N593" s="76"/>
      <c r="O593" s="252"/>
      <c r="P593" s="252"/>
    </row>
    <row r="594" spans="1:16" s="145" customFormat="1" ht="13.2" hidden="1" x14ac:dyDescent="0.25">
      <c r="A594" s="163" t="s">
        <v>928</v>
      </c>
      <c r="B594" s="178"/>
      <c r="C594" s="179" t="s">
        <v>929</v>
      </c>
      <c r="D594" s="180">
        <v>10</v>
      </c>
      <c r="E594" s="180" t="s">
        <v>26</v>
      </c>
      <c r="F594" s="182">
        <v>5217000</v>
      </c>
      <c r="G594" s="182">
        <f>ROUNDDOWN(D594*F594,-3)</f>
        <v>52170000</v>
      </c>
      <c r="H594" s="182" t="b">
        <f>G594='[5]Pvt SP2D Pusdik'!B595</f>
        <v>1</v>
      </c>
      <c r="I594" s="182">
        <f>'[5]Pvt SP2D Pusdik'!C595</f>
        <v>0</v>
      </c>
      <c r="J594" s="182">
        <f>G594-I594</f>
        <v>52170000</v>
      </c>
      <c r="K594" s="182"/>
      <c r="L594" s="182"/>
      <c r="M594" s="182"/>
      <c r="N594" s="182"/>
      <c r="O594" s="252"/>
      <c r="P594" s="252"/>
    </row>
    <row r="595" spans="1:16" s="145" customFormat="1" x14ac:dyDescent="0.3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3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3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3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3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3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3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3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3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3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3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3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3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3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3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3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3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3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3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3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3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3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3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3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3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3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3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3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3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3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3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3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3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3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3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3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3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3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3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3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3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3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3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3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3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3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3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3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3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3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3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3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3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3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3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3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3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3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3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3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3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3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3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3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3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3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3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3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3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3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3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3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3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3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3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3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3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3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3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3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3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3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3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3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3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3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3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3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3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3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3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3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3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3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3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3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3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3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3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3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3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3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3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3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3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3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3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3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3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3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3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3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3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3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3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3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3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3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3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3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3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3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3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3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3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3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3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3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3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3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3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3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3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3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3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3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3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3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3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3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3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3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3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3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3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3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3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3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3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3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3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3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3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3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3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3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3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3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3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3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3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3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3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3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3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3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3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3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3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3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3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3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3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3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3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3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3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3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3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3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3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3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3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3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3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3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3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3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3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3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3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3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3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3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3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3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3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3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3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3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3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3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3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3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3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3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3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3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3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3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3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3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3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3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3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3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3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3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3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3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3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3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3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3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3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3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3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3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3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3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3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3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3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3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3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3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3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3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3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3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3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3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3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3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3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3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3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3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3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3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3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3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3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3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3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3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3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3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3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3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3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3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3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3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3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3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3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3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3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3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3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3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3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3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3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3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3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3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3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3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3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3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3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3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3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3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3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3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3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3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3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3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3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3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3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3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3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3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3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3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3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3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3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3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3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3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3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3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3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3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3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3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3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3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3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3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3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3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3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3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3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3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3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3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3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3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3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3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3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3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3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3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3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3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3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3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3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3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3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3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3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3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3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3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3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3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3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3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3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3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3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3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3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3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3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3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3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3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3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3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3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3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3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3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3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3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3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3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3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3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3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>
    <filterColumn colId="10">
      <filters>
        <filter val="1.000.000"/>
        <filter val="1.500.000"/>
        <filter val="10.200.000"/>
        <filter val="10.670.000"/>
        <filter val="10.850.000"/>
        <filter val="102.242.000"/>
        <filter val="102.850.000"/>
        <filter val="102.908.000"/>
        <filter val="106.850.000"/>
        <filter val="11.150.000"/>
        <filter val="11.250.000"/>
        <filter val="11.750.000"/>
        <filter val="12.600.000"/>
        <filter val="13.350.000"/>
        <filter val="13.600.000"/>
        <filter val="13.750.000"/>
        <filter val="14.950.000"/>
        <filter val="15.000.000"/>
        <filter val="15.021.000"/>
        <filter val="15.250.000"/>
        <filter val="15.550.000"/>
        <filter val="15.900.000"/>
        <filter val="16.000.000"/>
        <filter val="17.521.000"/>
        <filter val="2.000.000"/>
        <filter val="2.500.000"/>
        <filter val="20.000.000"/>
        <filter val="20.250.000"/>
        <filter val="209.758.000"/>
        <filter val="229.758.000"/>
        <filter val="25.350.000"/>
        <filter val="250.000"/>
        <filter val="29.930.000"/>
        <filter val="3.000.000"/>
        <filter val="3.400.000"/>
        <filter val="3.450.000"/>
        <filter val="3.500.000"/>
        <filter val="3.750.000"/>
        <filter val="30.921.000"/>
        <filter val="300.000"/>
        <filter val="332.000.000"/>
        <filter val="34.700.000"/>
        <filter val="4.000.000"/>
        <filter val="4.250.000"/>
        <filter val="4.580.000"/>
        <filter val="4.750.000"/>
        <filter val="4.828.000"/>
        <filter val="40.600.000"/>
        <filter val="400.000"/>
        <filter val="42.058.000"/>
        <filter val="42.600.000"/>
        <filter val="44.521.000"/>
        <filter val="450.000"/>
        <filter val="5.000.000"/>
        <filter val="5.050.000"/>
        <filter val="5.330.000"/>
        <filter val="5.500.000"/>
        <filter val="5.600.000"/>
        <filter val="5.850.000"/>
        <filter val="5.880.000"/>
        <filter val="50.000"/>
        <filter val="528.000"/>
        <filter val="6.000.000"/>
        <filter val="6.050.000"/>
        <filter val="600.000"/>
        <filter val="62.042.000"/>
        <filter val="750.000"/>
        <filter val="8.000.000"/>
        <filter val="880.000"/>
        <filter val="9.170.000"/>
        <filter val="9.200.000"/>
        <filter val="9.350.000"/>
      </filters>
    </filterColumn>
  </autoFilter>
  <mergeCells count="3">
    <mergeCell ref="B5:L5"/>
    <mergeCell ref="B6:L6"/>
    <mergeCell ref="B7:L7"/>
  </mergeCells>
  <phoneticPr fontId="21" type="noConversion"/>
  <conditionalFormatting sqref="G285:H327">
    <cfRule type="expression" dxfId="6" priority="3">
      <formula>AND(ISBLANK(B285),G285&lt;&gt;#REF!)</formula>
    </cfRule>
    <cfRule type="expression" dxfId="5" priority="4">
      <formula>#REF!&lt;0</formula>
    </cfRule>
  </conditionalFormatting>
  <conditionalFormatting sqref="I285 K285:N285 I286:N286 I287:I295 K287:N295 I296:N297 I298 K298:N298 I299:N299 I300:I301 K300:N301 I302:N303 I304:I312 K304:N312 I313:N313 I314 K314:N314 I315:N316 I317 K317:N317 I318:N318 I319:I327 K319:N327">
    <cfRule type="expression" dxfId="4" priority="1">
      <formula>AND(ISBLANK(D285),I285&lt;&gt;#REF!)</formula>
    </cfRule>
    <cfRule type="expression" dxfId="3" priority="2">
      <formula>#REF!&lt;0</formula>
    </cfRule>
  </conditionalFormatting>
  <conditionalFormatting sqref="L15">
    <cfRule type="expression" dxfId="2" priority="11">
      <formula>AND(K15&gt;0,ISBLANK(L15))=TRUE</formula>
    </cfRule>
  </conditionalFormatting>
  <conditionalFormatting sqref="N15">
    <cfRule type="cellIs" dxfId="1" priority="13" operator="lessThan">
      <formula>0</formula>
    </cfRule>
  </conditionalFormatting>
  <conditionalFormatting sqref="O1:O11">
    <cfRule type="cellIs" dxfId="0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60" fitToHeight="0" orientation="portrait" r:id="rId1"/>
  <headerFooter>
    <oddFooter>&amp;LUsulan TUP 4 Pusdik KP, TA. 2023&amp;RHal &amp;P dari &amp;N</oddFooter>
  </headerFooter>
  <rowBreaks count="2" manualBreakCount="2">
    <brk id="214" min="1" max="11" man="1"/>
    <brk id="432" min="1" max="11" man="1"/>
  </row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4.4" x14ac:dyDescent="0.3"/>
  <cols>
    <col min="1" max="1" width="25.6640625" bestFit="1" customWidth="1"/>
    <col min="4" max="4" width="30.109375" bestFit="1" customWidth="1"/>
  </cols>
  <sheetData>
    <row r="1" spans="1:4" x14ac:dyDescent="0.3">
      <c r="A1" t="s">
        <v>522</v>
      </c>
      <c r="D1" t="s">
        <v>1012</v>
      </c>
    </row>
    <row r="2" spans="1:4" x14ac:dyDescent="0.3">
      <c r="A2" t="s">
        <v>497</v>
      </c>
      <c r="D2" t="s">
        <v>498</v>
      </c>
    </row>
    <row r="3" spans="1:4" x14ac:dyDescent="0.3">
      <c r="A3" t="s">
        <v>500</v>
      </c>
      <c r="D3" t="s">
        <v>499</v>
      </c>
    </row>
    <row r="4" spans="1:4" x14ac:dyDescent="0.3">
      <c r="A4" t="s">
        <v>503</v>
      </c>
      <c r="D4" t="s">
        <v>501</v>
      </c>
    </row>
    <row r="5" spans="1:4" x14ac:dyDescent="0.3">
      <c r="A5" t="s">
        <v>505</v>
      </c>
      <c r="D5" t="s">
        <v>502</v>
      </c>
    </row>
    <row r="6" spans="1:4" x14ac:dyDescent="0.3">
      <c r="D6" t="s">
        <v>504</v>
      </c>
    </row>
    <row r="7" spans="1:4" x14ac:dyDescent="0.3">
      <c r="D7" t="s">
        <v>506</v>
      </c>
    </row>
    <row r="8" spans="1:4" x14ac:dyDescent="0.3">
      <c r="D8" t="s">
        <v>507</v>
      </c>
    </row>
    <row r="9" spans="1:4" x14ac:dyDescent="0.3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2023-06-19T08:35:58Z</cp:lastPrinted>
  <dcterms:created xsi:type="dcterms:W3CDTF">2022-10-11T07:47:57Z</dcterms:created>
  <dcterms:modified xsi:type="dcterms:W3CDTF">2023-06-20T08:41:09Z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