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TA.2023\BPP\GUP\"/>
    </mc:Choice>
  </mc:AlternateContent>
  <xr:revisionPtr revIDLastSave="0" documentId="13_ncr:1_{D107E15D-43DF-473C-94DD-8C94A4D4E461}" xr6:coauthVersionLast="47" xr6:coauthVersionMax="47" xr10:uidLastSave="{00000000-0000-0000-0000-000000000000}"/>
  <bookViews>
    <workbookView xWindow="-110" yWindow="-110" windowWidth="19420" windowHeight="10300" tabRatio="719" firstSheet="13" activeTab="16" xr2:uid="{00000000-000D-0000-FFFF-FFFF00000000}"/>
  </bookViews>
  <sheets>
    <sheet name="Revolving GUP 1" sheetId="1" r:id="rId1"/>
    <sheet name="Revolving GUP 2" sheetId="2" r:id="rId2"/>
    <sheet name="Rincian GUP2" sheetId="3" r:id="rId3"/>
    <sheet name="Revolving GUP 3" sheetId="4" r:id="rId4"/>
    <sheet name="Revolving GUP 4" sheetId="5" r:id="rId5"/>
    <sheet name="Revolving GUP 5" sheetId="6" r:id="rId6"/>
    <sheet name="Revolving GUP 6" sheetId="7" r:id="rId7"/>
    <sheet name="Revolving GUP 7" sheetId="8" r:id="rId8"/>
    <sheet name="Revolving GUP 8" sheetId="9" r:id="rId9"/>
    <sheet name="Revolving GUP 9" sheetId="10" r:id="rId10"/>
    <sheet name="Revolving GUP 10" sheetId="11" r:id="rId11"/>
    <sheet name="Revolving GUP 11" sheetId="12" r:id="rId12"/>
    <sheet name="Revolving GUP 12" sheetId="13" r:id="rId13"/>
    <sheet name="Revolving GUP 13" sheetId="14" r:id="rId14"/>
    <sheet name="Rekapitulasi per keg GUP 13" sheetId="15" r:id="rId15"/>
    <sheet name="Revolving GUP 14" sheetId="16" r:id="rId16"/>
    <sheet name="Rekapitulasi per keg GUP 14" sheetId="17" r:id="rId17"/>
  </sheets>
  <definedNames>
    <definedName name="_xlnm.Print_Area" localSheetId="0">'Revolving GUP 1'!$A$1:$R$20</definedName>
    <definedName name="_xlnm.Print_Area" localSheetId="10">'Revolving GUP 10'!$A$1:$M$20</definedName>
    <definedName name="_xlnm.Print_Area" localSheetId="11">'Revolving GUP 11'!$A$1:$M$20</definedName>
    <definedName name="_xlnm.Print_Area" localSheetId="12">'Revolving GUP 12'!$A$1:$M$22</definedName>
    <definedName name="_xlnm.Print_Area" localSheetId="13">'Revolving GUP 13'!$A$1:$M$18</definedName>
    <definedName name="_xlnm.Print_Area" localSheetId="15">'Revolving GUP 14'!$A$1:$M$18</definedName>
    <definedName name="_xlnm.Print_Area" localSheetId="1">'Revolving GUP 2'!$A$4:$M$18</definedName>
    <definedName name="_xlnm.Print_Area" localSheetId="3">'Revolving GUP 3'!$A$1:$M$29</definedName>
    <definedName name="_xlnm.Print_Area" localSheetId="4">'Revolving GUP 4'!$A$1:$M$19</definedName>
    <definedName name="_xlnm.Print_Area" localSheetId="5">'Revolving GUP 5'!$A$1:$M$19</definedName>
    <definedName name="_xlnm.Print_Area" localSheetId="6">'Revolving GUP 6'!$A$1:$M$19</definedName>
    <definedName name="_xlnm.Print_Area" localSheetId="7">'Revolving GUP 7'!$A$1:$M$20</definedName>
    <definedName name="_xlnm.Print_Area" localSheetId="8">'Revolving GUP 8'!$A$1:$M$20</definedName>
    <definedName name="_xlnm.Print_Area" localSheetId="9">'Revolving GUP 9'!$A$1:$M$20</definedName>
    <definedName name="_xlnm.Print_Area" localSheetId="2">'Rincian GUP2'!$A$1:$T$18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7" l="1"/>
  <c r="D36" i="17"/>
  <c r="D29" i="17"/>
  <c r="D22" i="17"/>
  <c r="C31" i="17"/>
  <c r="D33" i="17" s="1"/>
  <c r="I10" i="16"/>
  <c r="D18" i="17" l="1"/>
  <c r="C41" i="17" l="1"/>
  <c r="H10" i="16"/>
  <c r="D41" i="17" l="1"/>
  <c r="J15" i="16"/>
  <c r="I13" i="16"/>
  <c r="K26" i="16" l="1"/>
  <c r="K21" i="16"/>
  <c r="I24" i="16"/>
  <c r="J10" i="16"/>
  <c r="H12" i="14"/>
  <c r="H13" i="14"/>
  <c r="P28" i="16"/>
  <c r="P24" i="16"/>
  <c r="E17" i="16"/>
  <c r="P15" i="16"/>
  <c r="P7" i="16" s="1"/>
  <c r="J14" i="16"/>
  <c r="J13" i="16"/>
  <c r="J12" i="16"/>
  <c r="I17" i="16"/>
  <c r="J17" i="16" l="1"/>
  <c r="H17" i="16"/>
  <c r="J11" i="16"/>
  <c r="J28" i="14"/>
  <c r="J27" i="14"/>
  <c r="J24" i="14"/>
  <c r="C30" i="15"/>
  <c r="D30" i="15"/>
  <c r="D29" i="15"/>
  <c r="D27" i="15"/>
  <c r="D22" i="15"/>
  <c r="D18" i="15"/>
  <c r="D13" i="15"/>
  <c r="I10" i="14"/>
  <c r="I26" i="14" l="1"/>
  <c r="I23" i="14"/>
  <c r="I14" i="14"/>
  <c r="J14" i="14" s="1"/>
  <c r="H14" i="14"/>
  <c r="J12" i="14"/>
  <c r="J13" i="14"/>
  <c r="J11" i="14"/>
  <c r="I11" i="14"/>
  <c r="I12" i="14"/>
  <c r="I13" i="14"/>
  <c r="P28" i="14" l="1"/>
  <c r="P24" i="14"/>
  <c r="E17" i="14"/>
  <c r="P15" i="14"/>
  <c r="P7" i="14" s="1"/>
  <c r="H17" i="14"/>
  <c r="L22" i="13"/>
  <c r="I19" i="13"/>
  <c r="J19" i="13" s="1"/>
  <c r="I10" i="13"/>
  <c r="J10" i="13" s="1"/>
  <c r="I11" i="13"/>
  <c r="J11" i="13" s="1"/>
  <c r="I13" i="13"/>
  <c r="J13" i="13" s="1"/>
  <c r="I14" i="13"/>
  <c r="I12" i="13"/>
  <c r="I16" i="13"/>
  <c r="J16" i="13" s="1"/>
  <c r="H17" i="13"/>
  <c r="J17" i="13" s="1"/>
  <c r="H19" i="13"/>
  <c r="H12" i="13"/>
  <c r="P32" i="13"/>
  <c r="P28" i="13"/>
  <c r="I27" i="13"/>
  <c r="J25" i="13"/>
  <c r="K24" i="13"/>
  <c r="J24" i="13"/>
  <c r="E21" i="13"/>
  <c r="J18" i="13"/>
  <c r="P16" i="13"/>
  <c r="J15" i="13"/>
  <c r="J14" i="13"/>
  <c r="P11" i="13"/>
  <c r="P7" i="12"/>
  <c r="P30" i="12"/>
  <c r="P26" i="12"/>
  <c r="P15" i="12"/>
  <c r="P10" i="12"/>
  <c r="H14" i="12"/>
  <c r="H18" i="7"/>
  <c r="I17" i="14" l="1"/>
  <c r="I21" i="13"/>
  <c r="J28" i="13" s="1"/>
  <c r="H21" i="13"/>
  <c r="K21" i="13" s="1"/>
  <c r="P7" i="13"/>
  <c r="J12" i="13"/>
  <c r="J21" i="13" s="1"/>
  <c r="K22" i="12"/>
  <c r="J17" i="14" l="1"/>
  <c r="I13" i="12"/>
  <c r="I12" i="12"/>
  <c r="I10" i="12"/>
  <c r="I11" i="12"/>
  <c r="I14" i="12"/>
  <c r="H15" i="12" l="1"/>
  <c r="H19" i="12" s="1"/>
  <c r="I15" i="12"/>
  <c r="K22" i="11"/>
  <c r="I25" i="12"/>
  <c r="J23" i="12"/>
  <c r="J22" i="12"/>
  <c r="I19" i="12"/>
  <c r="J26" i="12" s="1"/>
  <c r="E19" i="12"/>
  <c r="J17" i="12"/>
  <c r="J16" i="12"/>
  <c r="J14" i="12"/>
  <c r="J13" i="12"/>
  <c r="J12" i="12"/>
  <c r="J11" i="12"/>
  <c r="J10" i="12"/>
  <c r="P7" i="11"/>
  <c r="P14" i="11"/>
  <c r="P10" i="11"/>
  <c r="J15" i="12" l="1"/>
  <c r="J19" i="12"/>
  <c r="K19" i="12"/>
  <c r="L19" i="12" s="1"/>
  <c r="P7" i="10"/>
  <c r="P25" i="10"/>
  <c r="P15" i="10"/>
  <c r="I25" i="11" l="1"/>
  <c r="J23" i="11"/>
  <c r="J22" i="11"/>
  <c r="E19" i="11"/>
  <c r="J17" i="11"/>
  <c r="J16" i="11"/>
  <c r="J15" i="11"/>
  <c r="J14" i="11"/>
  <c r="J13" i="11"/>
  <c r="J12" i="11"/>
  <c r="J11" i="11"/>
  <c r="I19" i="11"/>
  <c r="J26" i="11" s="1"/>
  <c r="H19" i="11"/>
  <c r="K19" i="11" l="1"/>
  <c r="L19" i="11" s="1"/>
  <c r="J10" i="11"/>
  <c r="J19" i="11" s="1"/>
  <c r="I22" i="8"/>
  <c r="I25" i="10"/>
  <c r="I16" i="10"/>
  <c r="I10" i="10" l="1"/>
  <c r="H16" i="10" l="1"/>
  <c r="H17" i="10"/>
  <c r="H10" i="10"/>
  <c r="P13" i="9"/>
  <c r="P10" i="9"/>
  <c r="I22" i="2"/>
  <c r="I17" i="2"/>
  <c r="H14" i="1"/>
  <c r="H13" i="1"/>
  <c r="J23" i="10"/>
  <c r="H19" i="10" l="1"/>
  <c r="I19" i="10"/>
  <c r="J26" i="10" s="1"/>
  <c r="E19" i="10"/>
  <c r="J17" i="10"/>
  <c r="J16" i="10"/>
  <c r="J15" i="10"/>
  <c r="J14" i="10"/>
  <c r="J13" i="10"/>
  <c r="J12" i="10"/>
  <c r="J11" i="10"/>
  <c r="P10" i="10"/>
  <c r="J10" i="10"/>
  <c r="J19" i="10" l="1"/>
  <c r="K19" i="10"/>
  <c r="L19" i="10" s="1"/>
  <c r="E19" i="9" l="1"/>
  <c r="J17" i="9"/>
  <c r="J16" i="9"/>
  <c r="J15" i="9"/>
  <c r="J14" i="9"/>
  <c r="J13" i="9"/>
  <c r="J12" i="9"/>
  <c r="J11" i="9"/>
  <c r="P7" i="9"/>
  <c r="J10" i="9"/>
  <c r="I19" i="9"/>
  <c r="H19" i="9"/>
  <c r="P7" i="8"/>
  <c r="P15" i="8"/>
  <c r="P18" i="8"/>
  <c r="I19" i="8"/>
  <c r="L19" i="8"/>
  <c r="H8" i="8"/>
  <c r="H19" i="8"/>
  <c r="I12" i="8"/>
  <c r="J12" i="8" s="1"/>
  <c r="I10" i="8"/>
  <c r="J10" i="8" s="1"/>
  <c r="I17" i="8"/>
  <c r="J17" i="8" s="1"/>
  <c r="E19" i="8"/>
  <c r="J16" i="8"/>
  <c r="J15" i="8"/>
  <c r="J14" i="8"/>
  <c r="J13" i="8"/>
  <c r="J11" i="8"/>
  <c r="P10" i="8"/>
  <c r="H22" i="6"/>
  <c r="P7" i="7"/>
  <c r="P14" i="7"/>
  <c r="P9" i="7"/>
  <c r="J19" i="9" l="1"/>
  <c r="K19" i="9"/>
  <c r="L19" i="9" s="1"/>
  <c r="K19" i="8"/>
  <c r="J19" i="8"/>
  <c r="I15" i="7"/>
  <c r="I16" i="7" l="1"/>
  <c r="I14" i="7" l="1"/>
  <c r="I10" i="7"/>
  <c r="I9" i="7" l="1"/>
  <c r="I11" i="7"/>
  <c r="P23" i="7" l="1"/>
  <c r="E18" i="7"/>
  <c r="K18" i="7" s="1"/>
  <c r="K21" i="7" s="1"/>
  <c r="J16" i="7"/>
  <c r="J15" i="7"/>
  <c r="J14" i="7"/>
  <c r="J13" i="7"/>
  <c r="J12" i="7"/>
  <c r="J11" i="7"/>
  <c r="J10" i="7"/>
  <c r="J9" i="7"/>
  <c r="I18" i="7"/>
  <c r="P13" i="6"/>
  <c r="P9" i="6"/>
  <c r="P7" i="6" s="1"/>
  <c r="P18" i="6"/>
  <c r="P27" i="6"/>
  <c r="I15" i="6"/>
  <c r="J15" i="6" s="1"/>
  <c r="J11" i="6"/>
  <c r="J14" i="6"/>
  <c r="J16" i="6"/>
  <c r="I9" i="6"/>
  <c r="J9" i="6" s="1"/>
  <c r="I10" i="6"/>
  <c r="J10" i="6" s="1"/>
  <c r="I13" i="6"/>
  <c r="J13" i="6" s="1"/>
  <c r="I14" i="6"/>
  <c r="I12" i="6"/>
  <c r="J12" i="6" s="1"/>
  <c r="I11" i="6"/>
  <c r="J18" i="7" l="1"/>
  <c r="I18" i="6"/>
  <c r="H18" i="6"/>
  <c r="E18" i="6"/>
  <c r="P9" i="5"/>
  <c r="P13" i="5"/>
  <c r="I15" i="5"/>
  <c r="J18" i="6" l="1"/>
  <c r="P7" i="5"/>
  <c r="I18" i="5"/>
  <c r="E18" i="5"/>
  <c r="J16" i="5"/>
  <c r="H18" i="5"/>
  <c r="P27" i="4"/>
  <c r="P17" i="4"/>
  <c r="P12" i="4"/>
  <c r="I18" i="4"/>
  <c r="J15" i="5" l="1"/>
  <c r="J18" i="5" s="1"/>
  <c r="H15" i="4"/>
  <c r="H18" i="4"/>
  <c r="E18" i="4"/>
  <c r="J16" i="4"/>
  <c r="J14" i="4"/>
  <c r="J13" i="4"/>
  <c r="J12" i="4"/>
  <c r="J11" i="4"/>
  <c r="J10" i="4"/>
  <c r="P9" i="4"/>
  <c r="P7" i="4" s="1"/>
  <c r="J9" i="4"/>
  <c r="P20" i="2"/>
  <c r="P15" i="2"/>
  <c r="P12" i="2"/>
  <c r="P9" i="2"/>
  <c r="S12" i="3"/>
  <c r="S13" i="3"/>
  <c r="S14" i="3"/>
  <c r="S16" i="3"/>
  <c r="T16" i="3" s="1"/>
  <c r="M11" i="3"/>
  <c r="M9" i="3"/>
  <c r="L10" i="3"/>
  <c r="L9" i="3"/>
  <c r="K17" i="3"/>
  <c r="K15" i="3"/>
  <c r="J17" i="3"/>
  <c r="J18" i="3" s="1"/>
  <c r="I15" i="3"/>
  <c r="I18" i="3" s="1"/>
  <c r="R18" i="3"/>
  <c r="N15" i="3"/>
  <c r="N17" i="3"/>
  <c r="T12" i="3"/>
  <c r="T13" i="3"/>
  <c r="T14" i="3"/>
  <c r="P17" i="3"/>
  <c r="P18" i="3" s="1"/>
  <c r="O17" i="3"/>
  <c r="O18" i="3" s="1"/>
  <c r="J15" i="4" l="1"/>
  <c r="J18" i="4" s="1"/>
  <c r="M18" i="3"/>
  <c r="L18" i="3"/>
  <c r="S17" i="3"/>
  <c r="N18" i="3"/>
  <c r="K18" i="3"/>
  <c r="Q15" i="3" l="1"/>
  <c r="S15" i="3" s="1"/>
  <c r="Q10" i="3"/>
  <c r="S10" i="3" s="1"/>
  <c r="T10" i="3" s="1"/>
  <c r="Q9" i="3"/>
  <c r="S9" i="3" s="1"/>
  <c r="S18" i="3" s="1"/>
  <c r="Q11" i="3"/>
  <c r="S11" i="3" s="1"/>
  <c r="H18" i="3"/>
  <c r="E18" i="3"/>
  <c r="J17" i="2"/>
  <c r="I15" i="2"/>
  <c r="I9" i="2"/>
  <c r="I10" i="2"/>
  <c r="I11" i="2"/>
  <c r="J9" i="2"/>
  <c r="H18" i="2"/>
  <c r="I18" i="2" l="1"/>
  <c r="T9" i="3"/>
  <c r="T15" i="3"/>
  <c r="T11" i="3"/>
  <c r="Q18" i="3"/>
  <c r="T17" i="3"/>
  <c r="E18" i="2"/>
  <c r="J16" i="2"/>
  <c r="J15" i="2"/>
  <c r="J14" i="2"/>
  <c r="J13" i="2"/>
  <c r="J12" i="2"/>
  <c r="J11" i="2"/>
  <c r="J10" i="2"/>
  <c r="P18" i="1"/>
  <c r="P13" i="1"/>
  <c r="P9" i="1"/>
  <c r="T18" i="3" l="1"/>
  <c r="J18" i="2"/>
  <c r="P7" i="1"/>
  <c r="J10" i="1" l="1"/>
  <c r="H17" i="1" l="1"/>
  <c r="E17" i="1"/>
  <c r="J16" i="1"/>
  <c r="J15" i="1"/>
  <c r="J14" i="1"/>
  <c r="J13" i="1"/>
  <c r="J12" i="1"/>
  <c r="J11" i="1"/>
  <c r="J17" i="1" l="1"/>
  <c r="I17" i="1"/>
</calcChain>
</file>

<file path=xl/sharedStrings.xml><?xml version="1.0" encoding="utf-8"?>
<sst xmlns="http://schemas.openxmlformats.org/spreadsheetml/2006/main" count="1239" uniqueCount="324">
  <si>
    <t>No</t>
  </si>
  <si>
    <t>Uraian</t>
  </si>
  <si>
    <t>Total GUP</t>
  </si>
  <si>
    <t>Penyerahan Uang GUP Ke BPP</t>
  </si>
  <si>
    <t>Sisa GUP</t>
  </si>
  <si>
    <t>Tanggal Pengembalian Sisa Uang GUP kepada BPP</t>
  </si>
  <si>
    <t>Tgl SP2D</t>
  </si>
  <si>
    <t>Keterangan</t>
  </si>
  <si>
    <t>Tanggal</t>
  </si>
  <si>
    <t>Jumlah</t>
  </si>
  <si>
    <t>Nomor Uang Muka</t>
  </si>
  <si>
    <t>Saldo GUP Lalu</t>
  </si>
  <si>
    <t>Sub Bidang Perencanaan</t>
  </si>
  <si>
    <t>Sub Bidang Evaluasi</t>
  </si>
  <si>
    <t>Sub Bidang Kelembagaan</t>
  </si>
  <si>
    <t>Sub Bidang Ketenagaan</t>
  </si>
  <si>
    <t>Sub Bidang Sarpras</t>
  </si>
  <si>
    <t>Sub Bidang MK</t>
  </si>
  <si>
    <t>Sub Bagian Umum</t>
  </si>
  <si>
    <t>Sub Bagian Keuangan</t>
  </si>
  <si>
    <t>JUMLAH</t>
  </si>
  <si>
    <t>WA.2378.EBD</t>
  </si>
  <si>
    <t>WA.2378.EBA</t>
  </si>
  <si>
    <t>REKAPITULASI PENGGUNAAN UANG GUP 1</t>
  </si>
  <si>
    <t>LINGKUP PUSDIK KP TA 2023</t>
  </si>
  <si>
    <t>00003/UM/626402/2023</t>
  </si>
  <si>
    <t>00006/UM/626402/2023</t>
  </si>
  <si>
    <t>00005/UM/626402/2023</t>
  </si>
  <si>
    <t>00004/UM/626402/2023</t>
  </si>
  <si>
    <t>Proses Revolving GUP Ke 1</t>
  </si>
  <si>
    <t>Tanggal Pengambilan Uang</t>
  </si>
  <si>
    <t>Uang GUP Ke 1</t>
  </si>
  <si>
    <t>Penyerahan Uang Kepada PUMK:</t>
  </si>
  <si>
    <t>a</t>
  </si>
  <si>
    <t>b</t>
  </si>
  <si>
    <t>c</t>
  </si>
  <si>
    <t>d</t>
  </si>
  <si>
    <t>e</t>
  </si>
  <si>
    <t>f</t>
  </si>
  <si>
    <t>g</t>
  </si>
  <si>
    <t>h</t>
  </si>
  <si>
    <t>SPP No. 00036T</t>
  </si>
  <si>
    <t>31 Jan 2023</t>
  </si>
  <si>
    <t>DRPP:</t>
  </si>
  <si>
    <t>00004/DRPP/626402/2023</t>
  </si>
  <si>
    <t>521211</t>
  </si>
  <si>
    <t>521219</t>
  </si>
  <si>
    <t>524111</t>
  </si>
  <si>
    <t>00005/DRPP/626402/2023</t>
  </si>
  <si>
    <t>521111</t>
  </si>
  <si>
    <t>521114</t>
  </si>
  <si>
    <t>521811</t>
  </si>
  <si>
    <t>00006/DRPP/626402/2023</t>
  </si>
  <si>
    <t>30 Jan 2023</t>
  </si>
  <si>
    <t>24 Jan 2023</t>
  </si>
  <si>
    <t>12 Jan 2023</t>
  </si>
  <si>
    <t>Jumlah kwitansi</t>
  </si>
  <si>
    <t>01 Feb 2023</t>
  </si>
  <si>
    <t>Jumlah SPBy</t>
  </si>
  <si>
    <t>Tgl SP2D                           GUP 1</t>
  </si>
  <si>
    <t>Uang Persediaan TA 2023</t>
  </si>
  <si>
    <t>REKAPITULASI PENGGUNAAN UANG GUP 2</t>
  </si>
  <si>
    <t xml:space="preserve">Proses Revolving GUP </t>
  </si>
  <si>
    <t xml:space="preserve">Tgl SP2D                           </t>
  </si>
  <si>
    <t>06 Feb 2023</t>
  </si>
  <si>
    <t>00033/UM/626402/2023</t>
  </si>
  <si>
    <t>00035/UM/626402/2023</t>
  </si>
  <si>
    <t>00038/UM/626402/2023</t>
  </si>
  <si>
    <t>00034/UM/626402/2023</t>
  </si>
  <si>
    <t>00040/UM/626402/2023</t>
  </si>
  <si>
    <t>i</t>
  </si>
  <si>
    <t>10 Feb 2023</t>
  </si>
  <si>
    <t>09 Feb 2023</t>
  </si>
  <si>
    <t>Uang Kepada PUMK:</t>
  </si>
  <si>
    <t>524113</t>
  </si>
  <si>
    <t>521131</t>
  </si>
  <si>
    <t>523121</t>
  </si>
  <si>
    <t>522141</t>
  </si>
  <si>
    <t>Revolving GUP Per AKUN</t>
  </si>
  <si>
    <t>Jumlah Revolving GUP</t>
  </si>
  <si>
    <t>Total Uang GUP</t>
  </si>
  <si>
    <t>Tanggal Pengambilan Uang GUP</t>
  </si>
  <si>
    <t>REKAPITULASI REVOLVING GUP KE 2</t>
  </si>
  <si>
    <t>LINGKUP PUSAT PENDIDIKAN KP TA 2023</t>
  </si>
  <si>
    <t>14 Feb 2023</t>
  </si>
  <si>
    <t>SPP No. 00080T</t>
  </si>
  <si>
    <t>00013/DRPP/626402/2023</t>
  </si>
  <si>
    <t>WA.4345.EBC</t>
  </si>
  <si>
    <t>00014/DRPP/626402/2023</t>
  </si>
  <si>
    <t>DL.2376.AFA</t>
  </si>
  <si>
    <t>00015/DRPP/626402/2023</t>
  </si>
  <si>
    <t>00016/DRPP/626402/2023</t>
  </si>
  <si>
    <t>REKAPITULASI PENGGUNAAN UANG GUP 3</t>
  </si>
  <si>
    <t>Uang GUP Ke 2</t>
  </si>
  <si>
    <t>16 Feb 2023</t>
  </si>
  <si>
    <t>01 Maret 2023</t>
  </si>
  <si>
    <t>00048/UM/626402/2023</t>
  </si>
  <si>
    <t>00050/UM/626402/2023</t>
  </si>
  <si>
    <t>00049/UM/626402/2023</t>
  </si>
  <si>
    <t>00051/UM/626402/2023</t>
  </si>
  <si>
    <t>SPP No. 00161T</t>
  </si>
  <si>
    <t>07 Maret 2023</t>
  </si>
  <si>
    <t>00058/DRPP/626402/2023</t>
  </si>
  <si>
    <t>00060/DRPP/626402/2023</t>
  </si>
  <si>
    <t>00061/DRPP/626402/2023</t>
  </si>
  <si>
    <t>00062/DRPP/626402/2023</t>
  </si>
  <si>
    <t>DL.AFA</t>
  </si>
  <si>
    <t>521115</t>
  </si>
  <si>
    <t>523199</t>
  </si>
  <si>
    <t>REKAPITULASI PENGGUNAAN UANG GUP 4</t>
  </si>
  <si>
    <t>Uang GUP Ke 3</t>
  </si>
  <si>
    <t>10 Maret 2023</t>
  </si>
  <si>
    <t>00073/UM/626402/2023</t>
  </si>
  <si>
    <t>SPP No. 00197T</t>
  </si>
  <si>
    <t>24 Maret 2023</t>
  </si>
  <si>
    <t>00069/DRPP/626402/2023</t>
  </si>
  <si>
    <t>00070/DRPP/626402/2023</t>
  </si>
  <si>
    <t>Kelengkapan SPJ Ke Dalam Arsip</t>
  </si>
  <si>
    <t>Lengkap</t>
  </si>
  <si>
    <t>Belum Lengkap</t>
  </si>
  <si>
    <t>28 Maret 2023</t>
  </si>
  <si>
    <t>REKAPITULASI PENGGUNAAN UANG GUP 5</t>
  </si>
  <si>
    <t>Uang GUP Ke 4</t>
  </si>
  <si>
    <t>30 Maret 2023</t>
  </si>
  <si>
    <t>00081/UM/626402/2023</t>
  </si>
  <si>
    <t>00082/UM/626402/2023</t>
  </si>
  <si>
    <t>00083/UM/626402/2023</t>
  </si>
  <si>
    <t>00084/UM/626402/2023</t>
  </si>
  <si>
    <t>10/04/2023</t>
  </si>
  <si>
    <t>SPP No. 00248T</t>
  </si>
  <si>
    <t>06 April 2023</t>
  </si>
  <si>
    <t>00077/DRPP/626402/2023</t>
  </si>
  <si>
    <t>00078/DRPP/626402/2023</t>
  </si>
  <si>
    <t>00079/DRPP/626402/2023</t>
  </si>
  <si>
    <t>WA.2376.AFA</t>
  </si>
  <si>
    <t>522151</t>
  </si>
  <si>
    <t>REKAPITULASI PENGGUNAAN UANG GUP 6</t>
  </si>
  <si>
    <t>Uang GUP Ke 5</t>
  </si>
  <si>
    <t>10 April 2023</t>
  </si>
  <si>
    <t>13 April 2023</t>
  </si>
  <si>
    <t>00103/UM/626402/2023</t>
  </si>
  <si>
    <t>03 Mei 2023</t>
  </si>
  <si>
    <t>00106/UM/626402/2023</t>
  </si>
  <si>
    <t>00109/UM/626402/2023</t>
  </si>
  <si>
    <t>00107/UM/626402/2023</t>
  </si>
  <si>
    <t>00108/UM/626402/2023</t>
  </si>
  <si>
    <t>SPP No. 00391T</t>
  </si>
  <si>
    <t>04 Mei 2023</t>
  </si>
  <si>
    <t>00118/DRPP/626402/2023</t>
  </si>
  <si>
    <t>00119/DRPP/626402/2023</t>
  </si>
  <si>
    <t>00120/DRPP/626402/2023</t>
  </si>
  <si>
    <t>05/05/2022</t>
  </si>
  <si>
    <t>REKAPITULASI PENGGUNAAN UANG GUP 7</t>
  </si>
  <si>
    <t>Uang GUP Ke 6</t>
  </si>
  <si>
    <t>09 Mei 2023</t>
  </si>
  <si>
    <t>00135/UM/626402/2023</t>
  </si>
  <si>
    <t>00134/UM/626402/2023</t>
  </si>
  <si>
    <t>00133/UM/626402/2023</t>
  </si>
  <si>
    <t>23 Mei 2023</t>
  </si>
  <si>
    <t>00147/UM/626402/2023</t>
  </si>
  <si>
    <t>Pengembalian dari PUMK</t>
  </si>
  <si>
    <t>Saldo di BPP</t>
  </si>
  <si>
    <t>SPP No. 00475T</t>
  </si>
  <si>
    <t>00127/DRPP/626402/2023</t>
  </si>
  <si>
    <t>00128/DRPP/626402/2023</t>
  </si>
  <si>
    <t>00129/DRPP/626402/2023</t>
  </si>
  <si>
    <t>REKAPITULASI PENGGUNAAN UANG GUP 8</t>
  </si>
  <si>
    <t>30 Mei 2023</t>
  </si>
  <si>
    <t>31 Mei 2023</t>
  </si>
  <si>
    <t>00161/UM/626402/2023</t>
  </si>
  <si>
    <t>16 Juni 2023</t>
  </si>
  <si>
    <t>SPP No. 00570T</t>
  </si>
  <si>
    <t>12 Juni 2023</t>
  </si>
  <si>
    <t>00154/DRPP/626402/2023</t>
  </si>
  <si>
    <t>Keuangan</t>
  </si>
  <si>
    <t>Perencanaan</t>
  </si>
  <si>
    <t>Umum</t>
  </si>
  <si>
    <t>00155/DRPP/626402/2023</t>
  </si>
  <si>
    <t>REKAPITULASI PENGGUNAAN UANG GUP 9</t>
  </si>
  <si>
    <t>20 Juni 2023</t>
  </si>
  <si>
    <t>20/06/2023</t>
  </si>
  <si>
    <t>00171/UM/626402/2023</t>
  </si>
  <si>
    <t>00172/UM/626402/2023</t>
  </si>
  <si>
    <t>00174/UM/626402/2023</t>
  </si>
  <si>
    <t>Uang GUP Ke 7</t>
  </si>
  <si>
    <t>Uang GUP Ke 8</t>
  </si>
  <si>
    <t>REKAPITULASI PENGGUNAAN UANG/ REVOLVING GUP 10</t>
  </si>
  <si>
    <t>Uang GUP Ke 9</t>
  </si>
  <si>
    <t>05 Juni 2023</t>
  </si>
  <si>
    <t>07 Juli 2023</t>
  </si>
  <si>
    <t>07/07/2023</t>
  </si>
  <si>
    <t>00203/UM/626402/2023</t>
  </si>
  <si>
    <t>05 Juli 2023</t>
  </si>
  <si>
    <t>SPP No. 00618T</t>
  </si>
  <si>
    <t>26 Juni 2023</t>
  </si>
  <si>
    <t>00162/DRPP/626402/2023</t>
  </si>
  <si>
    <t>00163/DRPP/626402/2023</t>
  </si>
  <si>
    <t>00164/DRPP/626402/2023</t>
  </si>
  <si>
    <t>SPP No. 00717T</t>
  </si>
  <si>
    <t>18 Juli 2023</t>
  </si>
  <si>
    <t>00174/DRPP/626402/2023</t>
  </si>
  <si>
    <t>00175/DRPP/626402/2023</t>
  </si>
  <si>
    <t>REKAPITULASI PENGGUNAAN UANG/ REVOLVING GUP 11</t>
  </si>
  <si>
    <t>Uang GUP Ke 10</t>
  </si>
  <si>
    <t>21 Juli 2023</t>
  </si>
  <si>
    <t>02 Agust 2023</t>
  </si>
  <si>
    <t>02/08/2023</t>
  </si>
  <si>
    <t>220/UM/626402/2023</t>
  </si>
  <si>
    <t>221/UM/626402/2023</t>
  </si>
  <si>
    <t>222/UM/626402/2023</t>
  </si>
  <si>
    <t>223/UM/626402/2023</t>
  </si>
  <si>
    <t>SPP No. 00812T</t>
  </si>
  <si>
    <t>04 Agustus 2023</t>
  </si>
  <si>
    <t>00213/DRPP/626402/2023</t>
  </si>
  <si>
    <t>00214/DRPP/626402/2023</t>
  </si>
  <si>
    <t>00215/DRPP/626402/2023</t>
  </si>
  <si>
    <t>00216/DRPP/626402/2023</t>
  </si>
  <si>
    <t>REKAPITULASI PENGGUNAAN UANG/ REVOLVING GUP 12</t>
  </si>
  <si>
    <t>Uang GUP Ke 11</t>
  </si>
  <si>
    <t>18 Agust 2023</t>
  </si>
  <si>
    <t>08 Agust 2023</t>
  </si>
  <si>
    <t>Di BPP</t>
  </si>
  <si>
    <t>18/08/2023</t>
  </si>
  <si>
    <t>233/UM/626402/2023</t>
  </si>
  <si>
    <t>231/UM/626402/2023</t>
  </si>
  <si>
    <t>232/UM/626402/2023</t>
  </si>
  <si>
    <t>230/UM/626402/2023</t>
  </si>
  <si>
    <t>21/08/2023</t>
  </si>
  <si>
    <t>236/UM/626402/2023</t>
  </si>
  <si>
    <t>22/08/2023</t>
  </si>
  <si>
    <t>237/UM/626402/2023</t>
  </si>
  <si>
    <t>240/UM/626402/2023</t>
  </si>
  <si>
    <t>REKAPITULASI PENGGUNAAN UANG/ REVOLVING GUP 13</t>
  </si>
  <si>
    <t>Uang GUP Ke 12</t>
  </si>
  <si>
    <t>28 Agust 2023</t>
  </si>
  <si>
    <t>01 Sept 2023</t>
  </si>
  <si>
    <t>Pengembalian dari Ketua Timja</t>
  </si>
  <si>
    <t>Penyerahan Uang Kepada Ketua Timja:</t>
  </si>
  <si>
    <t>Dukungan Manajerial</t>
  </si>
  <si>
    <t>Kewirausahaan dan SFV</t>
  </si>
  <si>
    <t>Sarana Prasarana Pendidikan dan PNBP</t>
  </si>
  <si>
    <t>Peserta Didik dan Serapan Lulusan</t>
  </si>
  <si>
    <t>Mutu Pendidikan dan NSPK</t>
  </si>
  <si>
    <t>Peningkatan Kapasitas Aparatur</t>
  </si>
  <si>
    <t>Penyerahan Uang GUP Ke Ketua Timja</t>
  </si>
  <si>
    <t xml:space="preserve">Note: </t>
  </si>
  <si>
    <t xml:space="preserve">1. Mas Timin </t>
  </si>
  <si>
    <t>2. Mbak Winda</t>
  </si>
  <si>
    <t>3. Mbak Yusvita</t>
  </si>
  <si>
    <t>REKAP GUP 13 PER KEGIATAN</t>
  </si>
  <si>
    <t>Klarifikasi Anggaran</t>
  </si>
  <si>
    <t>Nilai</t>
  </si>
  <si>
    <t>2376.AFA.001.053.A.521211</t>
  </si>
  <si>
    <t>2376.AFA.001.053.B.521211</t>
  </si>
  <si>
    <t>2376.AFA.001.053.A.521219</t>
  </si>
  <si>
    <t>2376.AFA.001.053.B.524111</t>
  </si>
  <si>
    <t>2376.AFA.001.053.A.524111</t>
  </si>
  <si>
    <t>2376.AFA.001.054.A.521211</t>
  </si>
  <si>
    <t>2378.EBA.962.301.G.521211</t>
  </si>
  <si>
    <t>2378.EBA.962.301.G.524111</t>
  </si>
  <si>
    <t>2378.EBD.955.301.G.521211</t>
  </si>
  <si>
    <t>2378.EBD.955.301.G.522151</t>
  </si>
  <si>
    <t>2376.AFA.001.052.B.524111</t>
  </si>
  <si>
    <t>2378.EBD.955.301.D.521211</t>
  </si>
  <si>
    <t>2378.EBD.955.301.D.524111</t>
  </si>
  <si>
    <t>2378.EBA.962.301.A.524113</t>
  </si>
  <si>
    <t>2378.EBA.962.301.C.524113</t>
  </si>
  <si>
    <t>2378.EBA.994.002.GA.521111</t>
  </si>
  <si>
    <t>2378.EBD.952.301.E.521211</t>
  </si>
  <si>
    <t>2378.EBD.955.301.F.521211</t>
  </si>
  <si>
    <t xml:space="preserve">Jumlah </t>
  </si>
  <si>
    <t>GUP 13</t>
  </si>
  <si>
    <t>004/UM/626402/2023</t>
  </si>
  <si>
    <t>0001/UM/626402/2023</t>
  </si>
  <si>
    <t>0002/UM/626402/2023</t>
  </si>
  <si>
    <t>0003/UM/626402/2023</t>
  </si>
  <si>
    <t>0005/UM/626402/2023</t>
  </si>
  <si>
    <t>REKAPITULASI PENGGUNAAN UANG/ REVOLVING GUP 14</t>
  </si>
  <si>
    <t>Uang GUP Ke 13</t>
  </si>
  <si>
    <t>15 Sept 2023</t>
  </si>
  <si>
    <t>18 Sept 2023</t>
  </si>
  <si>
    <t>0006/UM/626402/2023</t>
  </si>
  <si>
    <t>0007UM/626402/2023</t>
  </si>
  <si>
    <t>0008/UM/626402/2023</t>
  </si>
  <si>
    <t>1. Bayar Voga</t>
  </si>
  <si>
    <t>2. Mbak Yusvita</t>
  </si>
  <si>
    <t>3. Mas Timin</t>
  </si>
  <si>
    <t>Ambil Uang GUP 12</t>
  </si>
  <si>
    <t>SPJ GUP 14</t>
  </si>
  <si>
    <t>1. Mas Timin</t>
  </si>
  <si>
    <t xml:space="preserve">2. Sarpras pendidikan </t>
  </si>
  <si>
    <t xml:space="preserve">     dan PNBP</t>
  </si>
  <si>
    <t>3. Peserta Didik dan</t>
  </si>
  <si>
    <t xml:space="preserve">      Serapan Lulusan</t>
  </si>
  <si>
    <t>0009/UM/626402/2023</t>
  </si>
  <si>
    <t>REKAP GUP 14 PER KEGIATAN</t>
  </si>
  <si>
    <t>Tim Kerja/ Klarifikasi Anggaran</t>
  </si>
  <si>
    <t>2378.EBA.962.301.A.524111</t>
  </si>
  <si>
    <t>2378.EBA.962.301.B.524111</t>
  </si>
  <si>
    <t>2378.EBA.962.301.C.524111</t>
  </si>
  <si>
    <t>2378.EBA.962.301.E.524111</t>
  </si>
  <si>
    <t>2378.EBA.994.002.GB.521114</t>
  </si>
  <si>
    <t>2378.EBA.994.002.GB.522141</t>
  </si>
  <si>
    <t>2378.EBA.994.002.GC.523121</t>
  </si>
  <si>
    <t>2378.EBD.952.301.B.524111</t>
  </si>
  <si>
    <t>2378.EBD.952.301.C.521211</t>
  </si>
  <si>
    <t>2378.EBD.952.301.C.521219</t>
  </si>
  <si>
    <t>2378.EBD.952.301.C.524111</t>
  </si>
  <si>
    <t>4345.EBC.996.301.A.521211</t>
  </si>
  <si>
    <t>4345.EBC.996.301.A.524111</t>
  </si>
  <si>
    <t>2378.EBD.955.301.C.524111</t>
  </si>
  <si>
    <t>2378.EBD.955.301.H.521211</t>
  </si>
  <si>
    <t>Dukungan Manajerial (Evaluasi)</t>
  </si>
  <si>
    <t>Dukungan Manajerial (Keuangan)</t>
  </si>
  <si>
    <t>Dukungan Manajerial (Perencanaan dan Umum)</t>
  </si>
  <si>
    <t>2378.EBD.953.301.A.521219</t>
  </si>
  <si>
    <t>2378.EBD.953.301.B.521211</t>
  </si>
  <si>
    <t>2378.EBD.953.301.B.524111</t>
  </si>
  <si>
    <t>2378.EBD.953.301.C.521211</t>
  </si>
  <si>
    <t>2378.EBD.953.301.C.521219</t>
  </si>
  <si>
    <t>Sarpras Pendidikan dan PNBP</t>
  </si>
  <si>
    <t>2376.AFA.001.052.B.521211</t>
  </si>
  <si>
    <t>2376.AFA.001.051.A.521211</t>
  </si>
  <si>
    <t>2376.AFA.001.051.A.522151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</si>
</sst>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</numFmts>
  <fonts count="4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8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164" fontId="35" fillId="0" borderId="1" xfId="0" applyNumberFormat="1" applyFont="1" applyBorder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1" xfId="0" quotePrefix="1" applyBorder="1" applyAlignment="1">
      <alignment vertical="center"/>
    </xf>
    <xf numFmtId="164" fontId="0" fillId="0" borderId="1" xfId="0" quotePrefix="1" applyNumberFormat="1" applyBorder="1" applyAlignment="1">
      <alignment vertical="center"/>
    </xf>
    <xf numFmtId="164" fontId="35" fillId="2" borderId="1" xfId="0" applyNumberFormat="1" applyFont="1" applyFill="1" applyBorder="1" applyAlignment="1">
      <alignment vertical="center"/>
    </xf>
    <xf numFmtId="164" fontId="34" fillId="0" borderId="1" xfId="0" applyNumberFormat="1" applyFont="1" applyBorder="1" applyAlignment="1">
      <alignment vertical="center"/>
    </xf>
    <xf numFmtId="0" fontId="34" fillId="0" borderId="1" xfId="0" quotePrefix="1" applyFont="1" applyBorder="1" applyAlignment="1">
      <alignment vertical="center"/>
    </xf>
    <xf numFmtId="164" fontId="34" fillId="0" borderId="1" xfId="0" quotePrefix="1" applyNumberFormat="1" applyFont="1" applyBorder="1" applyAlignment="1">
      <alignment vertical="center"/>
    </xf>
    <xf numFmtId="0" fontId="0" fillId="0" borderId="5" xfId="0" quotePrefix="1" applyBorder="1" applyAlignment="1">
      <alignment horizontal="left" vertical="center"/>
    </xf>
    <xf numFmtId="0" fontId="0" fillId="0" borderId="1" xfId="0" applyBorder="1"/>
    <xf numFmtId="0" fontId="33" fillId="0" borderId="1" xfId="0" applyFont="1" applyBorder="1" applyAlignment="1">
      <alignment vertical="center"/>
    </xf>
    <xf numFmtId="0" fontId="33" fillId="0" borderId="1" xfId="0" quotePrefix="1" applyFont="1" applyBorder="1" applyAlignment="1">
      <alignment vertical="center"/>
    </xf>
    <xf numFmtId="0" fontId="32" fillId="0" borderId="5" xfId="0" quotePrefix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quotePrefix="1" applyFont="1" applyBorder="1" applyAlignment="1">
      <alignment horizontal="center" vertical="center" wrapText="1"/>
    </xf>
    <xf numFmtId="164" fontId="36" fillId="0" borderId="1" xfId="0" applyNumberFormat="1" applyFont="1" applyBorder="1" applyAlignment="1">
      <alignment vertical="center"/>
    </xf>
    <xf numFmtId="0" fontId="35" fillId="0" borderId="7" xfId="0" quotePrefix="1" applyFont="1" applyBorder="1" applyAlignment="1">
      <alignment horizontal="center" vertical="center" wrapText="1"/>
    </xf>
    <xf numFmtId="164" fontId="35" fillId="3" borderId="1" xfId="0" applyNumberFormat="1" applyFont="1" applyFill="1" applyBorder="1" applyAlignment="1">
      <alignment vertical="center"/>
    </xf>
    <xf numFmtId="164" fontId="36" fillId="0" borderId="1" xfId="0" quotePrefix="1" applyNumberFormat="1" applyFont="1" applyBorder="1" applyAlignment="1">
      <alignment vertical="center"/>
    </xf>
    <xf numFmtId="0" fontId="36" fillId="0" borderId="1" xfId="0" quotePrefix="1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164" fontId="37" fillId="0" borderId="1" xfId="0" applyNumberFormat="1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6" fillId="0" borderId="0" xfId="0" applyFont="1" applyAlignment="1">
      <alignment vertical="center" wrapText="1"/>
    </xf>
    <xf numFmtId="164" fontId="36" fillId="0" borderId="1" xfId="0" quotePrefix="1" applyNumberFormat="1" applyFont="1" applyBorder="1" applyAlignment="1">
      <alignment vertical="center" wrapText="1"/>
    </xf>
    <xf numFmtId="0" fontId="36" fillId="0" borderId="1" xfId="0" quotePrefix="1" applyFont="1" applyBorder="1" applyAlignment="1">
      <alignment vertical="center" wrapText="1"/>
    </xf>
    <xf numFmtId="164" fontId="36" fillId="0" borderId="1" xfId="0" applyNumberFormat="1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164" fontId="37" fillId="0" borderId="1" xfId="0" applyNumberFormat="1" applyFont="1" applyBorder="1" applyAlignment="1">
      <alignment vertical="center" wrapText="1"/>
    </xf>
    <xf numFmtId="0" fontId="31" fillId="0" borderId="1" xfId="0" quotePrefix="1" applyFont="1" applyBorder="1" applyAlignment="1">
      <alignment vertical="center"/>
    </xf>
    <xf numFmtId="0" fontId="31" fillId="0" borderId="5" xfId="0" quotePrefix="1" applyFont="1" applyBorder="1" applyAlignment="1">
      <alignment horizontal="center" vertical="center"/>
    </xf>
    <xf numFmtId="164" fontId="39" fillId="0" borderId="1" xfId="0" quotePrefix="1" applyNumberFormat="1" applyFont="1" applyBorder="1" applyAlignment="1">
      <alignment vertical="center"/>
    </xf>
    <xf numFmtId="164" fontId="39" fillId="0" borderId="1" xfId="0" applyNumberFormat="1" applyFont="1" applyBorder="1" applyAlignment="1">
      <alignment vertical="center"/>
    </xf>
    <xf numFmtId="164" fontId="40" fillId="0" borderId="1" xfId="0" applyNumberFormat="1" applyFont="1" applyBorder="1" applyAlignment="1">
      <alignment vertical="center"/>
    </xf>
    <xf numFmtId="0" fontId="39" fillId="0" borderId="0" xfId="0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36" fillId="0" borderId="1" xfId="0" quotePrefix="1" applyNumberFormat="1" applyFont="1" applyBorder="1" applyAlignment="1">
      <alignment horizontal="left" vertical="center" wrapText="1"/>
    </xf>
    <xf numFmtId="164" fontId="0" fillId="0" borderId="0" xfId="1" applyNumberFormat="1" applyFont="1" applyAlignment="1">
      <alignment vertical="center" wrapText="1"/>
    </xf>
    <xf numFmtId="0" fontId="30" fillId="0" borderId="1" xfId="0" applyFont="1" applyBorder="1" applyAlignment="1">
      <alignment vertical="center"/>
    </xf>
    <xf numFmtId="0" fontId="30" fillId="0" borderId="1" xfId="0" quotePrefix="1" applyFont="1" applyBorder="1" applyAlignment="1">
      <alignment vertical="center"/>
    </xf>
    <xf numFmtId="0" fontId="41" fillId="0" borderId="1" xfId="0" applyFont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164" fontId="34" fillId="4" borderId="1" xfId="0" quotePrefix="1" applyNumberFormat="1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29" fillId="3" borderId="1" xfId="0" quotePrefix="1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5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39" fillId="4" borderId="1" xfId="0" quotePrefix="1" applyNumberFormat="1" applyFont="1" applyFill="1" applyBorder="1" applyAlignment="1">
      <alignment vertical="center"/>
    </xf>
    <xf numFmtId="164" fontId="35" fillId="4" borderId="1" xfId="0" quotePrefix="1" applyNumberFormat="1" applyFont="1" applyFill="1" applyBorder="1" applyAlignment="1">
      <alignment horizontal="center" vertical="center"/>
    </xf>
    <xf numFmtId="164" fontId="35" fillId="3" borderId="1" xfId="0" quotePrefix="1" applyNumberFormat="1" applyFont="1" applyFill="1" applyBorder="1" applyAlignment="1">
      <alignment horizontal="center" vertical="center"/>
    </xf>
    <xf numFmtId="164" fontId="28" fillId="3" borderId="1" xfId="0" applyNumberFormat="1" applyFont="1" applyFill="1" applyBorder="1" applyAlignment="1">
      <alignment vertical="center"/>
    </xf>
    <xf numFmtId="164" fontId="28" fillId="3" borderId="1" xfId="0" quotePrefix="1" applyNumberFormat="1" applyFont="1" applyFill="1" applyBorder="1" applyAlignment="1">
      <alignment vertical="center"/>
    </xf>
    <xf numFmtId="164" fontId="39" fillId="3" borderId="1" xfId="0" applyNumberFormat="1" applyFont="1" applyFill="1" applyBorder="1" applyAlignment="1">
      <alignment vertical="center"/>
    </xf>
    <xf numFmtId="164" fontId="27" fillId="3" borderId="1" xfId="0" applyNumberFormat="1" applyFont="1" applyFill="1" applyBorder="1" applyAlignment="1">
      <alignment vertical="center"/>
    </xf>
    <xf numFmtId="164" fontId="27" fillId="3" borderId="1" xfId="0" quotePrefix="1" applyNumberFormat="1" applyFont="1" applyFill="1" applyBorder="1" applyAlignment="1">
      <alignment horizontal="center" vertical="center"/>
    </xf>
    <xf numFmtId="0" fontId="26" fillId="0" borderId="1" xfId="0" quotePrefix="1" applyFont="1" applyBorder="1" applyAlignment="1">
      <alignment vertical="center"/>
    </xf>
    <xf numFmtId="0" fontId="26" fillId="0" borderId="4" xfId="0" quotePrefix="1" applyFont="1" applyBorder="1" applyAlignment="1">
      <alignment vertical="center"/>
    </xf>
    <xf numFmtId="164" fontId="34" fillId="3" borderId="1" xfId="0" quotePrefix="1" applyNumberFormat="1" applyFont="1" applyFill="1" applyBorder="1" applyAlignment="1">
      <alignment vertical="center"/>
    </xf>
    <xf numFmtId="164" fontId="39" fillId="3" borderId="1" xfId="0" quotePrefix="1" applyNumberFormat="1" applyFont="1" applyFill="1" applyBorder="1" applyAlignment="1">
      <alignment vertical="center"/>
    </xf>
    <xf numFmtId="164" fontId="31" fillId="3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1" xfId="0" quotePrefix="1" applyFont="1" applyBorder="1" applyAlignment="1">
      <alignment vertical="center"/>
    </xf>
    <xf numFmtId="0" fontId="25" fillId="0" borderId="4" xfId="0" quotePrefix="1" applyFont="1" applyBorder="1" applyAlignment="1">
      <alignment vertical="center"/>
    </xf>
    <xf numFmtId="164" fontId="0" fillId="3" borderId="1" xfId="0" quotePrefix="1" applyNumberFormat="1" applyFill="1" applyBorder="1" applyAlignment="1">
      <alignment vertical="center"/>
    </xf>
    <xf numFmtId="164" fontId="25" fillId="3" borderId="1" xfId="0" quotePrefix="1" applyNumberFormat="1" applyFont="1" applyFill="1" applyBorder="1" applyAlignment="1">
      <alignment horizontal="center" vertical="center"/>
    </xf>
    <xf numFmtId="0" fontId="24" fillId="0" borderId="1" xfId="0" quotePrefix="1" applyFont="1" applyBorder="1" applyAlignment="1">
      <alignment vertical="center"/>
    </xf>
    <xf numFmtId="0" fontId="24" fillId="0" borderId="4" xfId="0" quotePrefix="1" applyFont="1" applyBorder="1" applyAlignment="1">
      <alignment vertical="center"/>
    </xf>
    <xf numFmtId="164" fontId="23" fillId="3" borderId="1" xfId="0" quotePrefix="1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/>
    </xf>
    <xf numFmtId="0" fontId="31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164" fontId="22" fillId="0" borderId="1" xfId="0" quotePrefix="1" applyNumberFormat="1" applyFont="1" applyBorder="1" applyAlignment="1">
      <alignment vertical="center"/>
    </xf>
    <xf numFmtId="164" fontId="35" fillId="0" borderId="0" xfId="0" applyNumberFormat="1" applyFont="1" applyAlignment="1">
      <alignment vertical="center" wrapText="1"/>
    </xf>
    <xf numFmtId="164" fontId="36" fillId="0" borderId="8" xfId="0" quotePrefix="1" applyNumberFormat="1" applyFont="1" applyBorder="1" applyAlignment="1">
      <alignment vertical="center"/>
    </xf>
    <xf numFmtId="164" fontId="36" fillId="0" borderId="8" xfId="0" quotePrefix="1" applyNumberFormat="1" applyFont="1" applyBorder="1" applyAlignment="1">
      <alignment horizontal="left" vertical="center" wrapText="1"/>
    </xf>
    <xf numFmtId="164" fontId="36" fillId="0" borderId="8" xfId="0" quotePrefix="1" applyNumberFormat="1" applyFont="1" applyBorder="1" applyAlignment="1">
      <alignment vertical="center" wrapText="1"/>
    </xf>
    <xf numFmtId="0" fontId="0" fillId="0" borderId="8" xfId="0" applyBorder="1"/>
    <xf numFmtId="164" fontId="36" fillId="0" borderId="0" xfId="0" quotePrefix="1" applyNumberFormat="1" applyFont="1" applyAlignment="1">
      <alignment vertical="center"/>
    </xf>
    <xf numFmtId="0" fontId="36" fillId="0" borderId="0" xfId="0" quotePrefix="1" applyFont="1" applyAlignment="1">
      <alignment vertical="center" wrapText="1"/>
    </xf>
    <xf numFmtId="164" fontId="36" fillId="0" borderId="0" xfId="0" quotePrefix="1" applyNumberFormat="1" applyFont="1" applyAlignment="1">
      <alignment vertical="center" wrapText="1"/>
    </xf>
    <xf numFmtId="164" fontId="36" fillId="0" borderId="0" xfId="0" applyNumberFormat="1" applyFont="1" applyAlignment="1">
      <alignment vertical="center" wrapText="1"/>
    </xf>
    <xf numFmtId="0" fontId="36" fillId="0" borderId="0" xfId="0" quotePrefix="1" applyFont="1" applyAlignment="1">
      <alignment vertical="center"/>
    </xf>
    <xf numFmtId="164" fontId="36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164" fontId="36" fillId="0" borderId="0" xfId="0" quotePrefix="1" applyNumberFormat="1" applyFont="1" applyAlignment="1">
      <alignment horizontal="left" vertical="center" wrapText="1"/>
    </xf>
    <xf numFmtId="164" fontId="35" fillId="2" borderId="1" xfId="0" applyNumberFormat="1" applyFont="1" applyFill="1" applyBorder="1" applyAlignment="1">
      <alignment horizontal="center" vertical="center"/>
    </xf>
    <xf numFmtId="164" fontId="21" fillId="3" borderId="1" xfId="0" quotePrefix="1" applyNumberFormat="1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 wrapText="1"/>
    </xf>
    <xf numFmtId="164" fontId="36" fillId="3" borderId="1" xfId="0" quotePrefix="1" applyNumberFormat="1" applyFont="1" applyFill="1" applyBorder="1" applyAlignment="1">
      <alignment vertical="center"/>
    </xf>
    <xf numFmtId="164" fontId="36" fillId="3" borderId="1" xfId="0" applyNumberFormat="1" applyFont="1" applyFill="1" applyBorder="1" applyAlignment="1">
      <alignment vertical="center"/>
    </xf>
    <xf numFmtId="164" fontId="35" fillId="0" borderId="1" xfId="0" quotePrefix="1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vertical="center"/>
    </xf>
    <xf numFmtId="164" fontId="20" fillId="3" borderId="1" xfId="0" applyNumberFormat="1" applyFont="1" applyFill="1" applyBorder="1" applyAlignment="1">
      <alignment vertical="center"/>
    </xf>
    <xf numFmtId="164" fontId="19" fillId="3" borderId="1" xfId="0" applyNumberFormat="1" applyFont="1" applyFill="1" applyBorder="1" applyAlignment="1">
      <alignment vertical="center"/>
    </xf>
    <xf numFmtId="164" fontId="19" fillId="3" borderId="1" xfId="0" quotePrefix="1" applyNumberFormat="1" applyFont="1" applyFill="1" applyBorder="1" applyAlignment="1">
      <alignment vertical="center"/>
    </xf>
    <xf numFmtId="164" fontId="19" fillId="3" borderId="1" xfId="0" quotePrefix="1" applyNumberFormat="1" applyFont="1" applyFill="1" applyBorder="1" applyAlignment="1">
      <alignment horizontal="center" vertical="center"/>
    </xf>
    <xf numFmtId="164" fontId="18" fillId="0" borderId="1" xfId="0" applyNumberFormat="1" applyFont="1" applyBorder="1" applyAlignment="1">
      <alignment vertical="center"/>
    </xf>
    <xf numFmtId="0" fontId="17" fillId="0" borderId="0" xfId="0" applyFont="1"/>
    <xf numFmtId="164" fontId="0" fillId="0" borderId="0" xfId="1" applyNumberFormat="1" applyFont="1"/>
    <xf numFmtId="0" fontId="16" fillId="0" borderId="1" xfId="0" applyFont="1" applyBorder="1" applyAlignment="1">
      <alignment vertical="center"/>
    </xf>
    <xf numFmtId="164" fontId="16" fillId="0" borderId="1" xfId="0" applyNumberFormat="1" applyFont="1" applyBorder="1" applyAlignment="1">
      <alignment vertical="center"/>
    </xf>
    <xf numFmtId="0" fontId="16" fillId="0" borderId="1" xfId="0" quotePrefix="1" applyFont="1" applyBorder="1" applyAlignment="1">
      <alignment vertical="center"/>
    </xf>
    <xf numFmtId="0" fontId="16" fillId="0" borderId="4" xfId="0" quotePrefix="1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164" fontId="36" fillId="0" borderId="4" xfId="0" quotePrefix="1" applyNumberFormat="1" applyFont="1" applyBorder="1" applyAlignment="1">
      <alignment vertical="center"/>
    </xf>
    <xf numFmtId="164" fontId="36" fillId="0" borderId="4" xfId="0" quotePrefix="1" applyNumberFormat="1" applyFont="1" applyBorder="1" applyAlignment="1">
      <alignment horizontal="left" vertical="center" wrapText="1"/>
    </xf>
    <xf numFmtId="164" fontId="36" fillId="0" borderId="4" xfId="0" quotePrefix="1" applyNumberFormat="1" applyFont="1" applyBorder="1" applyAlignment="1">
      <alignment vertical="center" wrapText="1"/>
    </xf>
    <xf numFmtId="0" fontId="0" fillId="0" borderId="4" xfId="0" applyBorder="1"/>
    <xf numFmtId="164" fontId="36" fillId="0" borderId="11" xfId="0" quotePrefix="1" applyNumberFormat="1" applyFont="1" applyBorder="1" applyAlignment="1">
      <alignment vertical="center"/>
    </xf>
    <xf numFmtId="0" fontId="36" fillId="0" borderId="11" xfId="0" quotePrefix="1" applyFont="1" applyBorder="1" applyAlignment="1">
      <alignment vertical="center" wrapText="1"/>
    </xf>
    <xf numFmtId="164" fontId="36" fillId="0" borderId="11" xfId="0" quotePrefix="1" applyNumberFormat="1" applyFont="1" applyBorder="1" applyAlignment="1">
      <alignment vertical="center" wrapText="1"/>
    </xf>
    <xf numFmtId="0" fontId="0" fillId="0" borderId="11" xfId="0" applyBorder="1"/>
    <xf numFmtId="164" fontId="36" fillId="0" borderId="5" xfId="0" quotePrefix="1" applyNumberFormat="1" applyFont="1" applyBorder="1" applyAlignment="1">
      <alignment vertical="center" wrapText="1"/>
    </xf>
    <xf numFmtId="164" fontId="36" fillId="0" borderId="5" xfId="0" applyNumberFormat="1" applyFont="1" applyBorder="1" applyAlignment="1">
      <alignment vertical="center" wrapText="1"/>
    </xf>
    <xf numFmtId="0" fontId="0" fillId="0" borderId="5" xfId="0" applyBorder="1"/>
    <xf numFmtId="0" fontId="13" fillId="0" borderId="1" xfId="0" applyFont="1" applyBorder="1" applyAlignment="1">
      <alignment vertical="center"/>
    </xf>
    <xf numFmtId="0" fontId="13" fillId="0" borderId="1" xfId="0" quotePrefix="1" applyFont="1" applyBorder="1" applyAlignment="1">
      <alignment vertical="center"/>
    </xf>
    <xf numFmtId="0" fontId="43" fillId="0" borderId="0" xfId="0" quotePrefix="1" applyFont="1"/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36" fillId="0" borderId="4" xfId="0" applyNumberFormat="1" applyFont="1" applyBorder="1" applyAlignment="1">
      <alignment vertical="center" wrapText="1"/>
    </xf>
    <xf numFmtId="164" fontId="10" fillId="3" borderId="1" xfId="0" quotePrefix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164" fontId="9" fillId="3" borderId="1" xfId="0" quotePrefix="1" applyNumberFormat="1" applyFont="1" applyFill="1" applyBorder="1" applyAlignment="1">
      <alignment vertical="center"/>
    </xf>
    <xf numFmtId="164" fontId="35" fillId="2" borderId="1" xfId="0" applyNumberFormat="1" applyFont="1" applyFill="1" applyBorder="1" applyAlignment="1">
      <alignment horizontal="left" vertical="center"/>
    </xf>
    <xf numFmtId="0" fontId="8" fillId="0" borderId="4" xfId="0" quotePrefix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9" fillId="0" borderId="4" xfId="0" quotePrefix="1" applyFont="1" applyBorder="1" applyAlignment="1">
      <alignment vertical="center"/>
    </xf>
    <xf numFmtId="0" fontId="7" fillId="0" borderId="4" xfId="0" quotePrefix="1" applyFont="1" applyBorder="1" applyAlignment="1">
      <alignment vertical="center"/>
    </xf>
    <xf numFmtId="0" fontId="6" fillId="0" borderId="1" xfId="0" quotePrefix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4" fillId="0" borderId="0" xfId="0" applyFont="1"/>
    <xf numFmtId="41" fontId="0" fillId="0" borderId="0" xfId="0" applyNumberFormat="1"/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quotePrefix="1" applyFont="1" applyBorder="1"/>
    <xf numFmtId="41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5" fillId="0" borderId="1" xfId="0" applyFont="1" applyBorder="1"/>
    <xf numFmtId="41" fontId="35" fillId="0" borderId="1" xfId="0" applyNumberFormat="1" applyFont="1" applyBorder="1"/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4" xfId="0" quotePrefix="1" applyFont="1" applyBorder="1" applyAlignment="1">
      <alignment vertical="center"/>
    </xf>
    <xf numFmtId="0" fontId="2" fillId="0" borderId="0" xfId="0" applyFont="1"/>
    <xf numFmtId="164" fontId="2" fillId="0" borderId="0" xfId="0" applyNumberFormat="1" applyFont="1"/>
    <xf numFmtId="41" fontId="43" fillId="0" borderId="0" xfId="0" quotePrefix="1" applyNumberFormat="1" applyFont="1"/>
    <xf numFmtId="0" fontId="35" fillId="0" borderId="0" xfId="0" applyFont="1" applyAlignment="1">
      <alignment horizontal="center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/>
    </xf>
    <xf numFmtId="164" fontId="35" fillId="0" borderId="5" xfId="0" applyNumberFormat="1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4" fillId="0" borderId="4" xfId="0" quotePrefix="1" applyFont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2" fillId="0" borderId="4" xfId="0" quotePrefix="1" applyFont="1" applyBorder="1" applyAlignment="1">
      <alignment horizontal="center" vertical="center"/>
    </xf>
    <xf numFmtId="0" fontId="33" fillId="0" borderId="5" xfId="0" quotePrefix="1" applyFont="1" applyBorder="1" applyAlignment="1">
      <alignment horizontal="center" vertical="center"/>
    </xf>
    <xf numFmtId="0" fontId="33" fillId="0" borderId="4" xfId="0" quotePrefix="1" applyFont="1" applyBorder="1" applyAlignment="1">
      <alignment horizontal="left" vertical="center"/>
    </xf>
    <xf numFmtId="0" fontId="33" fillId="0" borderId="4" xfId="0" quotePrefix="1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35" fillId="0" borderId="10" xfId="0" applyFont="1" applyBorder="1" applyAlignment="1">
      <alignment horizontal="center" vertical="center" wrapText="1"/>
    </xf>
    <xf numFmtId="0" fontId="31" fillId="0" borderId="4" xfId="0" quotePrefix="1" applyFont="1" applyBorder="1" applyAlignment="1">
      <alignment horizontal="center" vertical="center"/>
    </xf>
    <xf numFmtId="0" fontId="31" fillId="0" borderId="4" xfId="0" quotePrefix="1" applyFont="1" applyBorder="1" applyAlignment="1">
      <alignment horizontal="left" vertical="center"/>
    </xf>
    <xf numFmtId="0" fontId="30" fillId="0" borderId="4" xfId="0" quotePrefix="1" applyFont="1" applyBorder="1" applyAlignment="1">
      <alignment horizontal="center" vertical="center"/>
    </xf>
    <xf numFmtId="0" fontId="30" fillId="0" borderId="4" xfId="0" quotePrefix="1" applyFont="1" applyBorder="1" applyAlignment="1">
      <alignment horizontal="left" vertical="center"/>
    </xf>
    <xf numFmtId="0" fontId="26" fillId="0" borderId="4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left" vertical="center"/>
    </xf>
    <xf numFmtId="0" fontId="11" fillId="0" borderId="4" xfId="0" quotePrefix="1" applyFont="1" applyBorder="1" applyAlignment="1">
      <alignment horizontal="left" vertical="center"/>
    </xf>
    <xf numFmtId="0" fontId="24" fillId="0" borderId="4" xfId="0" quotePrefix="1" applyFont="1" applyBorder="1" applyAlignment="1">
      <alignment horizontal="left" vertical="center"/>
    </xf>
    <xf numFmtId="0" fontId="24" fillId="0" borderId="5" xfId="0" quotePrefix="1" applyFont="1" applyBorder="1" applyAlignment="1">
      <alignment horizontal="left" vertical="center"/>
    </xf>
    <xf numFmtId="0" fontId="22" fillId="0" borderId="1" xfId="0" quotePrefix="1" applyFont="1" applyBorder="1" applyAlignment="1">
      <alignment horizontal="left" vertical="center"/>
    </xf>
    <xf numFmtId="0" fontId="22" fillId="0" borderId="1" xfId="0" quotePrefix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left" vertical="center"/>
    </xf>
    <xf numFmtId="0" fontId="20" fillId="0" borderId="1" xfId="0" quotePrefix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left" vertical="center"/>
    </xf>
    <xf numFmtId="0" fontId="16" fillId="0" borderId="4" xfId="0" quotePrefix="1" applyFont="1" applyBorder="1" applyAlignment="1">
      <alignment horizontal="left" vertical="center"/>
    </xf>
    <xf numFmtId="0" fontId="16" fillId="0" borderId="5" xfId="0" quotePrefix="1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4" fillId="0" borderId="1" xfId="0" quotePrefix="1" applyFont="1" applyBorder="1" applyAlignment="1">
      <alignment horizontal="left" vertical="center"/>
    </xf>
    <xf numFmtId="0" fontId="13" fillId="0" borderId="4" xfId="0" quotePrefix="1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9" fillId="0" borderId="4" xfId="0" quotePrefix="1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 vertical="center"/>
    </xf>
    <xf numFmtId="0" fontId="3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view="pageBreakPreview" topLeftCell="A4" zoomScale="80" zoomScaleNormal="100" zoomScaleSheetLayoutView="80" workbookViewId="0">
      <selection activeCell="I15" sqref="I15"/>
    </sheetView>
  </sheetViews>
  <sheetFormatPr defaultColWidth="9" defaultRowHeight="14.5"/>
  <cols>
    <col min="1" max="1" width="5.1796875" style="4" customWidth="1"/>
    <col min="2" max="2" width="29.1796875" customWidth="1"/>
    <col min="3" max="3" width="12.08984375" customWidth="1"/>
    <col min="4" max="4" width="12.81640625" customWidth="1"/>
    <col min="5" max="5" width="13.1796875" customWidth="1"/>
    <col min="6" max="6" width="12" customWidth="1"/>
    <col min="7" max="7" width="21.7265625" customWidth="1"/>
    <col min="8" max="8" width="14.6328125" customWidth="1"/>
    <col min="9" max="9" width="13.90625" customWidth="1"/>
    <col min="10" max="10" width="11.7265625" customWidth="1"/>
    <col min="11" max="11" width="14.08984375" customWidth="1"/>
    <col min="12" max="12" width="15.08984375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23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29</v>
      </c>
      <c r="J4" s="179" t="s">
        <v>4</v>
      </c>
      <c r="K4" s="179" t="s">
        <v>5</v>
      </c>
      <c r="L4" s="188" t="s">
        <v>117</v>
      </c>
      <c r="M4" s="179" t="s">
        <v>59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9"/>
      <c r="D6" s="9"/>
      <c r="E6" s="10">
        <v>0</v>
      </c>
      <c r="F6" s="9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9"/>
    </row>
    <row r="7" spans="1:20" s="2" customFormat="1" ht="20" customHeight="1">
      <c r="A7" s="8"/>
      <c r="B7" s="24" t="s">
        <v>60</v>
      </c>
      <c r="C7" s="20" t="s">
        <v>55</v>
      </c>
      <c r="D7" s="20" t="s">
        <v>54</v>
      </c>
      <c r="E7" s="10">
        <v>100000000</v>
      </c>
      <c r="F7" s="9"/>
      <c r="G7" s="9"/>
      <c r="H7" s="10"/>
      <c r="I7" s="10"/>
      <c r="J7" s="10"/>
      <c r="K7" s="10"/>
      <c r="L7" s="10"/>
      <c r="M7" s="17" t="s">
        <v>57</v>
      </c>
      <c r="N7" s="19" t="s">
        <v>41</v>
      </c>
      <c r="O7" s="20" t="s">
        <v>42</v>
      </c>
      <c r="P7" s="21">
        <f>SUM(P9+P13+P18)</f>
        <v>99955469</v>
      </c>
      <c r="Q7" s="21">
        <v>62</v>
      </c>
      <c r="R7" s="20">
        <v>62</v>
      </c>
    </row>
    <row r="8" spans="1:20" s="2" customFormat="1" ht="20" customHeight="1">
      <c r="A8" s="8">
        <v>2</v>
      </c>
      <c r="B8" s="9" t="s">
        <v>32</v>
      </c>
      <c r="C8" s="16"/>
      <c r="D8" s="16"/>
      <c r="E8" s="10"/>
      <c r="F8" s="9"/>
      <c r="G8" s="9"/>
      <c r="H8" s="10"/>
      <c r="I8" s="10"/>
      <c r="J8" s="10"/>
      <c r="K8" s="10"/>
      <c r="L8" s="10"/>
      <c r="M8" s="10"/>
      <c r="N8" s="19" t="s">
        <v>43</v>
      </c>
      <c r="O8" s="19"/>
      <c r="P8" s="19"/>
      <c r="Q8" s="19"/>
      <c r="R8" s="9"/>
    </row>
    <row r="9" spans="1:20" s="2" customFormat="1" ht="20" customHeight="1">
      <c r="A9" s="8" t="s">
        <v>33</v>
      </c>
      <c r="B9" s="9" t="s">
        <v>12</v>
      </c>
      <c r="C9" s="9"/>
      <c r="D9" s="9"/>
      <c r="E9" s="10"/>
      <c r="F9" s="16"/>
      <c r="G9" s="16"/>
      <c r="H9" s="10"/>
      <c r="I9" s="10"/>
      <c r="J9" s="10"/>
      <c r="K9" s="17"/>
      <c r="L9" s="17"/>
      <c r="M9" s="17"/>
      <c r="N9" s="21" t="s">
        <v>44</v>
      </c>
      <c r="O9" s="20" t="s">
        <v>42</v>
      </c>
      <c r="P9" s="10">
        <f>SUM(P10:P12)</f>
        <v>32711182</v>
      </c>
      <c r="Q9" s="10"/>
      <c r="R9" s="9"/>
      <c r="T9" s="15"/>
    </row>
    <row r="10" spans="1:20" s="2" customFormat="1" ht="20" customHeight="1">
      <c r="A10" s="8" t="s">
        <v>34</v>
      </c>
      <c r="B10" s="9" t="s">
        <v>13</v>
      </c>
      <c r="C10" s="9"/>
      <c r="D10" s="9"/>
      <c r="E10" s="10"/>
      <c r="F10" s="20" t="s">
        <v>54</v>
      </c>
      <c r="G10" s="16" t="s">
        <v>25</v>
      </c>
      <c r="H10" s="10">
        <v>11070682</v>
      </c>
      <c r="I10" s="10">
        <v>11070682</v>
      </c>
      <c r="J10" s="10">
        <f>H10-I10</f>
        <v>0</v>
      </c>
      <c r="K10" s="10"/>
      <c r="L10" s="109" t="s">
        <v>118</v>
      </c>
      <c r="M10" s="10"/>
      <c r="N10" s="21" t="s">
        <v>21</v>
      </c>
      <c r="O10" s="21" t="s">
        <v>45</v>
      </c>
      <c r="P10" s="17">
        <v>14200500</v>
      </c>
      <c r="Q10" s="17"/>
      <c r="R10" s="9"/>
      <c r="T10" s="15"/>
    </row>
    <row r="11" spans="1:20" s="2" customFormat="1" ht="20" customHeight="1">
      <c r="A11" s="8" t="s">
        <v>35</v>
      </c>
      <c r="B11" s="9" t="s">
        <v>14</v>
      </c>
      <c r="C11" s="9"/>
      <c r="D11" s="9"/>
      <c r="E11" s="10"/>
      <c r="F11" s="190" t="s">
        <v>54</v>
      </c>
      <c r="G11" s="192" t="s">
        <v>27</v>
      </c>
      <c r="H11" s="10">
        <v>9488700</v>
      </c>
      <c r="I11" s="10">
        <v>9488700</v>
      </c>
      <c r="J11" s="10">
        <f>H11-I11</f>
        <v>0</v>
      </c>
      <c r="K11" s="17"/>
      <c r="L11" s="109" t="s">
        <v>118</v>
      </c>
      <c r="M11" s="17"/>
      <c r="N11" s="17"/>
      <c r="O11" s="21" t="s">
        <v>46</v>
      </c>
      <c r="P11" s="17">
        <v>373682</v>
      </c>
      <c r="Q11" s="17"/>
      <c r="R11" s="9"/>
      <c r="T11" s="15"/>
    </row>
    <row r="12" spans="1:20" s="2" customFormat="1" ht="20" customHeight="1">
      <c r="A12" s="8" t="s">
        <v>36</v>
      </c>
      <c r="B12" s="9" t="s">
        <v>15</v>
      </c>
      <c r="C12" s="9"/>
      <c r="D12" s="9"/>
      <c r="E12" s="10"/>
      <c r="F12" s="191"/>
      <c r="G12" s="193"/>
      <c r="H12" s="10">
        <v>5437000</v>
      </c>
      <c r="I12" s="10">
        <v>5437000</v>
      </c>
      <c r="J12" s="10">
        <f>H12-I12</f>
        <v>0</v>
      </c>
      <c r="K12" s="10"/>
      <c r="L12" s="109" t="s">
        <v>118</v>
      </c>
      <c r="M12" s="10"/>
      <c r="N12" s="17"/>
      <c r="O12" s="21" t="s">
        <v>47</v>
      </c>
      <c r="P12" s="17">
        <v>18137000</v>
      </c>
      <c r="Q12" s="17"/>
      <c r="R12" s="9"/>
      <c r="T12" s="15"/>
    </row>
    <row r="13" spans="1:20" s="2" customFormat="1" ht="20" customHeight="1">
      <c r="A13" s="8" t="s">
        <v>37</v>
      </c>
      <c r="B13" s="9" t="s">
        <v>16</v>
      </c>
      <c r="C13" s="9"/>
      <c r="D13" s="9"/>
      <c r="E13" s="10"/>
      <c r="F13" s="190" t="s">
        <v>54</v>
      </c>
      <c r="G13" s="192" t="s">
        <v>26</v>
      </c>
      <c r="H13" s="67">
        <f>12650000+300000</f>
        <v>12950000</v>
      </c>
      <c r="I13" s="67">
        <v>12930000</v>
      </c>
      <c r="J13" s="67">
        <f t="shared" ref="J13:J16" si="0">H13-I13</f>
        <v>20000</v>
      </c>
      <c r="K13" s="68" t="s">
        <v>53</v>
      </c>
      <c r="L13" s="66" t="s">
        <v>118</v>
      </c>
      <c r="M13" s="56"/>
      <c r="N13" s="21" t="s">
        <v>48</v>
      </c>
      <c r="O13" s="20" t="s">
        <v>42</v>
      </c>
      <c r="P13" s="10">
        <f>SUM(P14:P17)</f>
        <v>34752587</v>
      </c>
      <c r="Q13" s="10"/>
      <c r="R13" s="9"/>
    </row>
    <row r="14" spans="1:20" s="2" customFormat="1" ht="20" customHeight="1">
      <c r="A14" s="8" t="s">
        <v>38</v>
      </c>
      <c r="B14" s="9" t="s">
        <v>17</v>
      </c>
      <c r="C14" s="9"/>
      <c r="D14" s="9"/>
      <c r="E14" s="10"/>
      <c r="F14" s="191"/>
      <c r="G14" s="193"/>
      <c r="H14" s="10">
        <f>9676000-300000</f>
        <v>9376000</v>
      </c>
      <c r="I14" s="10">
        <v>9376000</v>
      </c>
      <c r="J14" s="10">
        <f t="shared" si="0"/>
        <v>0</v>
      </c>
      <c r="K14" s="10"/>
      <c r="L14" s="109" t="s">
        <v>118</v>
      </c>
      <c r="M14" s="10"/>
      <c r="N14" s="21" t="s">
        <v>22</v>
      </c>
      <c r="O14" s="21" t="s">
        <v>49</v>
      </c>
      <c r="P14" s="17">
        <v>4883287</v>
      </c>
      <c r="Q14" s="17"/>
      <c r="R14" s="9"/>
    </row>
    <row r="15" spans="1:20" s="2" customFormat="1" ht="20" customHeight="1">
      <c r="A15" s="8" t="s">
        <v>39</v>
      </c>
      <c r="B15" s="9" t="s">
        <v>18</v>
      </c>
      <c r="C15" s="9"/>
      <c r="D15" s="9"/>
      <c r="E15" s="10"/>
      <c r="F15" s="190" t="s">
        <v>54</v>
      </c>
      <c r="G15" s="192" t="s">
        <v>28</v>
      </c>
      <c r="H15" s="10">
        <v>31477118</v>
      </c>
      <c r="I15" s="10">
        <v>31452587</v>
      </c>
      <c r="J15" s="10">
        <f t="shared" si="0"/>
        <v>24531</v>
      </c>
      <c r="K15" s="21" t="s">
        <v>53</v>
      </c>
      <c r="L15" s="109" t="s">
        <v>118</v>
      </c>
      <c r="M15" s="17"/>
      <c r="N15" s="17"/>
      <c r="O15" s="21" t="s">
        <v>50</v>
      </c>
      <c r="P15" s="17">
        <v>693000</v>
      </c>
      <c r="Q15" s="17"/>
      <c r="R15" s="9"/>
    </row>
    <row r="16" spans="1:20" s="2" customFormat="1" ht="20" customHeight="1">
      <c r="A16" s="8" t="s">
        <v>40</v>
      </c>
      <c r="B16" s="9" t="s">
        <v>19</v>
      </c>
      <c r="C16" s="9"/>
      <c r="D16" s="9"/>
      <c r="E16" s="10"/>
      <c r="F16" s="191"/>
      <c r="G16" s="193"/>
      <c r="H16" s="10">
        <v>20200500</v>
      </c>
      <c r="I16" s="10">
        <v>20200500</v>
      </c>
      <c r="J16" s="10">
        <f t="shared" si="0"/>
        <v>0</v>
      </c>
      <c r="K16" s="10"/>
      <c r="L16" s="109" t="s">
        <v>118</v>
      </c>
      <c r="M16" s="10"/>
      <c r="N16" s="17"/>
      <c r="O16" s="21" t="s">
        <v>51</v>
      </c>
      <c r="P16" s="17">
        <v>1680000</v>
      </c>
      <c r="Q16" s="17"/>
      <c r="R16" s="9"/>
    </row>
    <row r="17" spans="1:18" s="3" customFormat="1" ht="20" customHeight="1">
      <c r="A17" s="11"/>
      <c r="B17" s="11" t="s">
        <v>20</v>
      </c>
      <c r="C17" s="11"/>
      <c r="D17" s="12"/>
      <c r="E17" s="13">
        <f>SUM(E6:E16)</f>
        <v>100000000</v>
      </c>
      <c r="F17" s="12"/>
      <c r="G17" s="12"/>
      <c r="H17" s="13">
        <f>SUM(H6:H16)</f>
        <v>100000000</v>
      </c>
      <c r="I17" s="18">
        <f>SUM(I6:I16)</f>
        <v>99955469</v>
      </c>
      <c r="J17" s="13">
        <f>SUM(J6:J16)</f>
        <v>44531</v>
      </c>
      <c r="K17" s="13"/>
      <c r="L17" s="13"/>
      <c r="M17" s="13"/>
      <c r="N17" s="13"/>
      <c r="O17" s="21" t="s">
        <v>47</v>
      </c>
      <c r="P17" s="19">
        <v>27496300</v>
      </c>
      <c r="Q17" s="19"/>
      <c r="R17" s="12"/>
    </row>
    <row r="18" spans="1:18" ht="20" customHeight="1">
      <c r="J18" s="14"/>
      <c r="K18" s="14"/>
      <c r="L18" s="14"/>
      <c r="N18" s="21" t="s">
        <v>52</v>
      </c>
      <c r="O18" s="20" t="s">
        <v>42</v>
      </c>
      <c r="P18" s="10">
        <f>SUM(P19:P20)</f>
        <v>32491700</v>
      </c>
      <c r="Q18" s="10"/>
      <c r="R18" s="23"/>
    </row>
    <row r="19" spans="1:18" ht="20" customHeight="1">
      <c r="I19" s="14"/>
      <c r="J19" s="14"/>
      <c r="K19" s="14"/>
      <c r="L19" s="14"/>
      <c r="N19" s="21" t="s">
        <v>22</v>
      </c>
      <c r="O19" s="21" t="s">
        <v>45</v>
      </c>
      <c r="P19" s="17">
        <v>16181700</v>
      </c>
      <c r="Q19" s="17"/>
      <c r="R19" s="23"/>
    </row>
    <row r="20" spans="1:18" ht="20" customHeight="1">
      <c r="N20" s="13"/>
      <c r="O20" s="21" t="s">
        <v>47</v>
      </c>
      <c r="P20" s="19">
        <v>16310000</v>
      </c>
      <c r="Q20" s="19"/>
      <c r="R20" s="23"/>
    </row>
  </sheetData>
  <mergeCells count="21">
    <mergeCell ref="F11:F12"/>
    <mergeCell ref="F13:F14"/>
    <mergeCell ref="F15:F16"/>
    <mergeCell ref="G11:G12"/>
    <mergeCell ref="G13:G14"/>
    <mergeCell ref="G15:G16"/>
    <mergeCell ref="A1:R1"/>
    <mergeCell ref="A2:R2"/>
    <mergeCell ref="D4:E4"/>
    <mergeCell ref="F4:H4"/>
    <mergeCell ref="A4:A5"/>
    <mergeCell ref="B4:B5"/>
    <mergeCell ref="I4:I5"/>
    <mergeCell ref="J4:J5"/>
    <mergeCell ref="K4:K5"/>
    <mergeCell ref="M4:M5"/>
    <mergeCell ref="C4:C5"/>
    <mergeCell ref="N4:P5"/>
    <mergeCell ref="Q4:Q5"/>
    <mergeCell ref="R4:R5"/>
    <mergeCell ref="L4:L5"/>
  </mergeCells>
  <pageMargins left="0.7" right="0.7" top="0.75" bottom="0.75" header="0.3" footer="0.3"/>
  <pageSetup paperSize="9"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3B77-37B8-45DD-B128-2F98E9A0D27F}">
  <dimension ref="A1:T27"/>
  <sheetViews>
    <sheetView view="pageBreakPreview" topLeftCell="A5" zoomScale="70" zoomScaleNormal="100" zoomScaleSheetLayoutView="70" workbookViewId="0">
      <selection activeCell="L18" sqref="L18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4.9062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 ht="19.5" customHeight="1">
      <c r="A1" s="176" t="s">
        <v>178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118"/>
      <c r="D6" s="118"/>
      <c r="E6" s="119">
        <v>28300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123" t="s">
        <v>185</v>
      </c>
      <c r="C7" s="120" t="s">
        <v>170</v>
      </c>
      <c r="D7" s="120" t="s">
        <v>179</v>
      </c>
      <c r="E7" s="119">
        <v>99971700</v>
      </c>
      <c r="F7" s="9"/>
      <c r="G7" s="9"/>
      <c r="H7" s="10"/>
      <c r="I7" s="10"/>
      <c r="J7" s="10"/>
      <c r="K7" s="10"/>
      <c r="L7" s="59"/>
      <c r="M7" s="32" t="s">
        <v>192</v>
      </c>
      <c r="N7" s="29" t="s">
        <v>193</v>
      </c>
      <c r="O7" s="33" t="s">
        <v>194</v>
      </c>
      <c r="P7" s="32">
        <f>SUM(P10+P15+P25)</f>
        <v>99753733</v>
      </c>
      <c r="Q7" s="32"/>
      <c r="R7" s="33"/>
    </row>
    <row r="8" spans="1:20" s="2" customFormat="1" ht="20" customHeight="1">
      <c r="A8" s="8"/>
      <c r="B8" s="85" t="s">
        <v>160</v>
      </c>
      <c r="C8" s="86"/>
      <c r="D8" s="86"/>
      <c r="E8" s="10"/>
      <c r="F8" s="86"/>
      <c r="G8" s="9"/>
      <c r="H8" s="10"/>
      <c r="I8" s="10"/>
      <c r="J8" s="10"/>
      <c r="K8" s="10"/>
      <c r="L8" s="59"/>
      <c r="M8" s="32"/>
      <c r="N8" s="29"/>
      <c r="O8" s="33"/>
      <c r="P8" s="32"/>
      <c r="Q8" s="32"/>
      <c r="R8" s="33"/>
    </row>
    <row r="9" spans="1:20" s="2" customFormat="1" ht="20" customHeight="1">
      <c r="A9" s="8">
        <v>2</v>
      </c>
      <c r="B9" s="9" t="s">
        <v>32</v>
      </c>
      <c r="C9" s="16"/>
      <c r="D9" s="16"/>
      <c r="E9" s="10"/>
      <c r="F9" s="120"/>
      <c r="G9" s="118"/>
      <c r="H9" s="10"/>
      <c r="I9" s="10"/>
      <c r="J9" s="10"/>
      <c r="K9" s="10"/>
      <c r="L9" s="59"/>
      <c r="M9" s="47"/>
      <c r="N9" s="29" t="s">
        <v>43</v>
      </c>
      <c r="O9" s="29"/>
      <c r="P9" s="29"/>
      <c r="Q9" s="29"/>
      <c r="R9" s="34"/>
    </row>
    <row r="10" spans="1:20" s="2" customFormat="1" ht="20" customHeight="1">
      <c r="A10" s="8" t="s">
        <v>33</v>
      </c>
      <c r="B10" s="9" t="s">
        <v>12</v>
      </c>
      <c r="C10" s="9"/>
      <c r="D10" s="9"/>
      <c r="E10" s="10"/>
      <c r="F10" s="214" t="s">
        <v>180</v>
      </c>
      <c r="G10" s="216" t="s">
        <v>182</v>
      </c>
      <c r="H10" s="10">
        <f>7415600+10803402</f>
        <v>18219002</v>
      </c>
      <c r="I10" s="10">
        <f>7415600+10803402</f>
        <v>18219002</v>
      </c>
      <c r="J10" s="10">
        <f>H10-I10</f>
        <v>0</v>
      </c>
      <c r="K10" s="89"/>
      <c r="L10" s="66" t="s">
        <v>118</v>
      </c>
      <c r="M10" s="46"/>
      <c r="N10" s="32" t="s">
        <v>195</v>
      </c>
      <c r="O10" s="33" t="s">
        <v>194</v>
      </c>
      <c r="P10" s="29">
        <f>SUM(P11:P13)</f>
        <v>39763392</v>
      </c>
      <c r="Q10" s="29"/>
      <c r="R10" s="34"/>
      <c r="T10" s="15"/>
    </row>
    <row r="11" spans="1:20" s="2" customFormat="1" ht="20" customHeight="1">
      <c r="A11" s="8" t="s">
        <v>34</v>
      </c>
      <c r="B11" s="9" t="s">
        <v>13</v>
      </c>
      <c r="C11" s="9"/>
      <c r="D11" s="9"/>
      <c r="E11" s="10"/>
      <c r="F11" s="215"/>
      <c r="G11" s="217"/>
      <c r="H11" s="10">
        <v>13224228</v>
      </c>
      <c r="I11" s="10">
        <v>13224228</v>
      </c>
      <c r="J11" s="10">
        <f t="shared" ref="J11:J17" si="0">H11-I11</f>
        <v>0</v>
      </c>
      <c r="K11" s="115"/>
      <c r="L11" s="66" t="s">
        <v>118</v>
      </c>
      <c r="M11" s="47"/>
      <c r="N11" s="32" t="s">
        <v>21</v>
      </c>
      <c r="O11" s="32" t="s">
        <v>46</v>
      </c>
      <c r="P11" s="32">
        <v>314528</v>
      </c>
      <c r="Q11" s="32"/>
      <c r="R11" s="34"/>
      <c r="T11" s="15"/>
    </row>
    <row r="12" spans="1:20" s="2" customFormat="1" ht="20" customHeight="1">
      <c r="A12" s="8" t="s">
        <v>35</v>
      </c>
      <c r="B12" s="85" t="s">
        <v>15</v>
      </c>
      <c r="C12" s="9"/>
      <c r="D12" s="9"/>
      <c r="E12" s="10"/>
      <c r="F12" s="121"/>
      <c r="G12" s="122"/>
      <c r="H12" s="10"/>
      <c r="I12" s="10"/>
      <c r="J12" s="10">
        <f t="shared" si="0"/>
        <v>0</v>
      </c>
      <c r="K12" s="89"/>
      <c r="L12" s="66"/>
      <c r="M12" s="46"/>
      <c r="N12" s="32"/>
      <c r="O12" s="39" t="s">
        <v>47</v>
      </c>
      <c r="P12" s="41">
        <v>39448864</v>
      </c>
      <c r="Q12" s="32"/>
      <c r="R12" s="34"/>
      <c r="T12" s="15"/>
    </row>
    <row r="13" spans="1:20" s="2" customFormat="1" ht="20" customHeight="1">
      <c r="A13" s="8" t="s">
        <v>36</v>
      </c>
      <c r="B13" s="85" t="s">
        <v>15</v>
      </c>
      <c r="C13" s="9"/>
      <c r="D13" s="9"/>
      <c r="E13" s="10"/>
      <c r="F13" s="120"/>
      <c r="G13" s="118"/>
      <c r="H13" s="10"/>
      <c r="I13" s="10"/>
      <c r="J13" s="10">
        <f t="shared" si="0"/>
        <v>0</v>
      </c>
      <c r="K13" s="10"/>
      <c r="L13" s="66"/>
      <c r="M13" s="47"/>
      <c r="N13" s="32"/>
      <c r="O13" s="39"/>
      <c r="P13" s="41"/>
      <c r="Q13" s="32"/>
      <c r="R13" s="34"/>
      <c r="T13" s="15"/>
    </row>
    <row r="14" spans="1:20" s="2" customFormat="1" ht="20" customHeight="1">
      <c r="A14" s="8" t="s">
        <v>37</v>
      </c>
      <c r="B14" s="9" t="s">
        <v>16</v>
      </c>
      <c r="C14" s="9"/>
      <c r="D14" s="9"/>
      <c r="E14" s="10"/>
      <c r="F14" s="121" t="s">
        <v>180</v>
      </c>
      <c r="G14" s="122" t="s">
        <v>181</v>
      </c>
      <c r="H14" s="10">
        <v>4092801</v>
      </c>
      <c r="I14" s="10">
        <v>4092801</v>
      </c>
      <c r="J14" s="10">
        <f t="shared" si="0"/>
        <v>0</v>
      </c>
      <c r="K14" s="21"/>
      <c r="L14" s="66" t="s">
        <v>118</v>
      </c>
      <c r="M14" s="47"/>
      <c r="N14" s="32"/>
      <c r="O14" s="33"/>
      <c r="P14" s="29"/>
      <c r="Q14" s="29"/>
      <c r="R14" s="34"/>
    </row>
    <row r="15" spans="1:20" s="2" customFormat="1" ht="20" customHeight="1">
      <c r="A15" s="8" t="s">
        <v>38</v>
      </c>
      <c r="B15" s="9" t="s">
        <v>17</v>
      </c>
      <c r="C15" s="9"/>
      <c r="D15" s="9"/>
      <c r="E15" s="10"/>
      <c r="F15" s="82"/>
      <c r="G15" s="82"/>
      <c r="H15" s="10"/>
      <c r="I15" s="10"/>
      <c r="J15" s="10">
        <f t="shared" si="0"/>
        <v>0</v>
      </c>
      <c r="K15" s="10"/>
      <c r="L15" s="66"/>
      <c r="M15" s="47"/>
      <c r="N15" s="32" t="s">
        <v>196</v>
      </c>
      <c r="O15" s="33" t="s">
        <v>194</v>
      </c>
      <c r="P15" s="29">
        <f>SUM(P16:P23)</f>
        <v>51101841</v>
      </c>
      <c r="Q15" s="32"/>
      <c r="R15" s="34"/>
    </row>
    <row r="16" spans="1:20" s="2" customFormat="1" ht="20" customHeight="1">
      <c r="A16" s="8" t="s">
        <v>39</v>
      </c>
      <c r="B16" s="9" t="s">
        <v>18</v>
      </c>
      <c r="C16" s="9"/>
      <c r="D16" s="9"/>
      <c r="E16" s="10"/>
      <c r="F16" s="213" t="s">
        <v>180</v>
      </c>
      <c r="G16" s="213" t="s">
        <v>183</v>
      </c>
      <c r="H16" s="56">
        <f>38732720+6185720+45529</f>
        <v>44963969</v>
      </c>
      <c r="I16" s="56">
        <f>38732720+6185720</f>
        <v>44918440</v>
      </c>
      <c r="J16" s="10">
        <f t="shared" si="0"/>
        <v>45529</v>
      </c>
      <c r="K16" s="84"/>
      <c r="L16" s="66" t="s">
        <v>118</v>
      </c>
      <c r="M16" s="75"/>
      <c r="N16" s="32" t="s">
        <v>22</v>
      </c>
      <c r="O16" s="51" t="s">
        <v>49</v>
      </c>
      <c r="P16" s="39">
        <v>13167240</v>
      </c>
      <c r="Q16" s="32"/>
      <c r="R16" s="34"/>
    </row>
    <row r="17" spans="1:18" s="2" customFormat="1" ht="20" customHeight="1">
      <c r="A17" s="8" t="s">
        <v>40</v>
      </c>
      <c r="B17" s="9" t="s">
        <v>19</v>
      </c>
      <c r="C17" s="9"/>
      <c r="D17" s="9"/>
      <c r="E17" s="10"/>
      <c r="F17" s="213"/>
      <c r="G17" s="213"/>
      <c r="H17" s="111">
        <f>19500000</f>
        <v>19500000</v>
      </c>
      <c r="I17" s="56">
        <v>19299262</v>
      </c>
      <c r="J17" s="10">
        <f t="shared" si="0"/>
        <v>200738</v>
      </c>
      <c r="K17" s="89"/>
      <c r="L17" s="66" t="s">
        <v>118</v>
      </c>
      <c r="M17" s="69"/>
      <c r="N17" s="39"/>
      <c r="O17" s="39" t="s">
        <v>50</v>
      </c>
      <c r="P17" s="39">
        <v>248000</v>
      </c>
      <c r="Q17" s="32"/>
      <c r="R17" s="34"/>
    </row>
    <row r="18" spans="1:18" s="2" customFormat="1" ht="20" customHeight="1">
      <c r="A18" s="8"/>
      <c r="B18" s="9"/>
      <c r="C18" s="9"/>
      <c r="D18" s="9"/>
      <c r="E18" s="10"/>
      <c r="F18" s="87"/>
      <c r="G18" s="88"/>
      <c r="H18" s="10"/>
      <c r="I18" s="10"/>
      <c r="J18" s="10"/>
      <c r="K18" s="10"/>
      <c r="L18" s="62"/>
      <c r="M18" s="47"/>
      <c r="N18" s="32"/>
      <c r="O18" s="33" t="s">
        <v>45</v>
      </c>
      <c r="P18" s="29">
        <v>2090600</v>
      </c>
      <c r="Q18" s="29"/>
      <c r="R18" s="34"/>
    </row>
    <row r="19" spans="1:18" s="3" customFormat="1" ht="20" customHeight="1">
      <c r="A19" s="11"/>
      <c r="B19" s="11" t="s">
        <v>20</v>
      </c>
      <c r="C19" s="11"/>
      <c r="D19" s="12"/>
      <c r="E19" s="13">
        <f>SUM(E6:E17)</f>
        <v>100000000</v>
      </c>
      <c r="F19" s="12"/>
      <c r="G19" s="12"/>
      <c r="H19" s="13">
        <f>SUM(H6:H18)</f>
        <v>100000000</v>
      </c>
      <c r="I19" s="18">
        <f>SUM(I6:I18)</f>
        <v>99753733</v>
      </c>
      <c r="J19" s="13">
        <f>SUM(J6:J18)</f>
        <v>246267</v>
      </c>
      <c r="K19" s="13">
        <f>E19-H19</f>
        <v>0</v>
      </c>
      <c r="L19" s="103">
        <f>H19+K19</f>
        <v>100000000</v>
      </c>
      <c r="M19" s="48"/>
      <c r="N19" s="32"/>
      <c r="O19" s="39" t="s">
        <v>51</v>
      </c>
      <c r="P19" s="41">
        <v>8950000</v>
      </c>
      <c r="Q19" s="32"/>
      <c r="R19" s="34"/>
    </row>
    <row r="20" spans="1:18" s="37" customFormat="1" ht="20" customHeight="1">
      <c r="A20" s="1"/>
      <c r="J20" s="15"/>
      <c r="K20" s="90" t="s">
        <v>161</v>
      </c>
      <c r="L20" s="61"/>
      <c r="M20" s="49"/>
      <c r="N20" s="39"/>
      <c r="O20" s="39" t="s">
        <v>76</v>
      </c>
      <c r="P20" s="41">
        <v>13441300</v>
      </c>
      <c r="Q20" s="32"/>
      <c r="R20" s="34"/>
    </row>
    <row r="21" spans="1:18" ht="20" customHeight="1">
      <c r="H21">
        <v>18219002</v>
      </c>
      <c r="N21" s="32"/>
      <c r="O21" s="33" t="s">
        <v>108</v>
      </c>
      <c r="P21" s="29">
        <v>5825000</v>
      </c>
      <c r="Q21" s="23"/>
      <c r="R21" s="23"/>
    </row>
    <row r="22" spans="1:18" ht="20" customHeight="1">
      <c r="H22" s="116"/>
      <c r="I22" s="117"/>
      <c r="J22" s="14"/>
      <c r="N22" s="32"/>
      <c r="O22" s="39" t="s">
        <v>47</v>
      </c>
      <c r="P22" s="41">
        <v>7229701</v>
      </c>
      <c r="Q22" s="23"/>
      <c r="R22" s="23"/>
    </row>
    <row r="23" spans="1:18" ht="20" customHeight="1">
      <c r="H23" s="116" t="s">
        <v>175</v>
      </c>
      <c r="I23" s="117">
        <v>10803402</v>
      </c>
      <c r="J23" s="14">
        <f>I23</f>
        <v>10803402</v>
      </c>
      <c r="K23">
        <v>44963969</v>
      </c>
      <c r="N23" s="32"/>
      <c r="O23" s="33" t="s">
        <v>74</v>
      </c>
      <c r="P23" s="29">
        <v>150000</v>
      </c>
      <c r="Q23" s="23"/>
      <c r="R23" s="23"/>
    </row>
    <row r="24" spans="1:18" ht="20" customHeight="1">
      <c r="H24" s="116" t="s">
        <v>176</v>
      </c>
      <c r="I24" s="117">
        <v>6185720</v>
      </c>
      <c r="J24" s="14">
        <v>6185720</v>
      </c>
      <c r="N24" s="32"/>
      <c r="O24" s="39"/>
      <c r="P24" s="41"/>
      <c r="Q24" s="23"/>
      <c r="R24" s="23"/>
    </row>
    <row r="25" spans="1:18" ht="20" customHeight="1">
      <c r="I25" s="117" t="e">
        <f>SUM(I23+#REF!+I24)</f>
        <v>#REF!</v>
      </c>
      <c r="J25" s="14"/>
      <c r="K25" s="14"/>
      <c r="N25" s="32" t="s">
        <v>197</v>
      </c>
      <c r="O25" s="33" t="s">
        <v>194</v>
      </c>
      <c r="P25" s="29">
        <f>SUM(P26:P27)</f>
        <v>8888500</v>
      </c>
      <c r="Q25" s="29"/>
      <c r="R25" s="34"/>
    </row>
    <row r="26" spans="1:18" ht="20" customHeight="1">
      <c r="J26" s="14">
        <f>SUM(I19+J25)</f>
        <v>99753733</v>
      </c>
      <c r="K26">
        <v>99753733</v>
      </c>
      <c r="N26" s="32" t="s">
        <v>87</v>
      </c>
      <c r="O26" s="39" t="s">
        <v>45</v>
      </c>
      <c r="P26" s="41">
        <v>6233500</v>
      </c>
      <c r="Q26" s="32"/>
      <c r="R26" s="34"/>
    </row>
    <row r="27" spans="1:18" ht="20" customHeight="1">
      <c r="J27" s="14"/>
      <c r="N27" s="39"/>
      <c r="O27" s="39" t="s">
        <v>47</v>
      </c>
      <c r="P27" s="41">
        <v>2655000</v>
      </c>
      <c r="Q27" s="32"/>
      <c r="R27" s="34"/>
    </row>
  </sheetData>
  <mergeCells count="19">
    <mergeCell ref="N4:P5"/>
    <mergeCell ref="Q4:Q5"/>
    <mergeCell ref="R4:R5"/>
    <mergeCell ref="F16:F17"/>
    <mergeCell ref="G16:G17"/>
    <mergeCell ref="F10:F11"/>
    <mergeCell ref="G10:G11"/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6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0A53-617A-4460-A801-E516B88E3047}">
  <dimension ref="A1:T27"/>
  <sheetViews>
    <sheetView view="pageBreakPreview" topLeftCell="A5" zoomScale="80" zoomScaleNormal="100" zoomScaleSheetLayoutView="80" workbookViewId="0">
      <selection activeCell="H17" sqref="H17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4.9062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186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118"/>
      <c r="D6" s="118"/>
      <c r="E6" s="119">
        <v>246267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124" t="s">
        <v>187</v>
      </c>
      <c r="C7" s="125" t="s">
        <v>188</v>
      </c>
      <c r="D7" s="125" t="s">
        <v>189</v>
      </c>
      <c r="E7" s="119">
        <v>99753733</v>
      </c>
      <c r="F7" s="9"/>
      <c r="G7" s="9"/>
      <c r="H7" s="10"/>
      <c r="I7" s="10"/>
      <c r="J7" s="10"/>
      <c r="K7" s="10"/>
      <c r="L7" s="59"/>
      <c r="M7" s="32"/>
      <c r="N7" s="29" t="s">
        <v>198</v>
      </c>
      <c r="O7" s="33" t="s">
        <v>199</v>
      </c>
      <c r="P7" s="32">
        <f>SUM(P10+P14)</f>
        <v>99490784</v>
      </c>
      <c r="Q7" s="32"/>
      <c r="R7" s="33"/>
    </row>
    <row r="8" spans="1:20" s="2" customFormat="1" ht="20" customHeight="1">
      <c r="A8" s="8"/>
      <c r="B8" s="85" t="s">
        <v>160</v>
      </c>
      <c r="C8" s="86"/>
      <c r="D8" s="86"/>
      <c r="E8" s="10"/>
      <c r="F8" s="86"/>
      <c r="G8" s="9"/>
      <c r="H8" s="10"/>
      <c r="I8" s="10"/>
      <c r="J8" s="10"/>
      <c r="K8" s="10"/>
      <c r="L8" s="59"/>
      <c r="M8" s="32"/>
      <c r="N8" s="29"/>
      <c r="O8" s="33"/>
      <c r="P8" s="32"/>
      <c r="Q8" s="32"/>
      <c r="R8" s="33"/>
    </row>
    <row r="9" spans="1:20" s="2" customFormat="1" ht="20" customHeight="1">
      <c r="A9" s="8">
        <v>2</v>
      </c>
      <c r="B9" s="9" t="s">
        <v>32</v>
      </c>
      <c r="C9" s="16"/>
      <c r="D9" s="16"/>
      <c r="E9" s="10"/>
      <c r="F9" s="120"/>
      <c r="G9" s="118"/>
      <c r="H9" s="10"/>
      <c r="I9" s="10"/>
      <c r="J9" s="10"/>
      <c r="K9" s="10"/>
      <c r="L9" s="59"/>
      <c r="M9" s="47"/>
      <c r="N9" s="29" t="s">
        <v>43</v>
      </c>
      <c r="O9" s="29"/>
      <c r="P9" s="29"/>
      <c r="Q9" s="29"/>
      <c r="R9" s="34"/>
    </row>
    <row r="10" spans="1:20" s="2" customFormat="1" ht="20" customHeight="1">
      <c r="A10" s="8" t="s">
        <v>33</v>
      </c>
      <c r="B10" s="9" t="s">
        <v>12</v>
      </c>
      <c r="C10" s="9"/>
      <c r="D10" s="9"/>
      <c r="E10" s="10"/>
      <c r="F10" s="214"/>
      <c r="G10" s="216"/>
      <c r="H10" s="10"/>
      <c r="I10" s="10"/>
      <c r="J10" s="10">
        <f>H10-I10</f>
        <v>0</v>
      </c>
      <c r="K10" s="89"/>
      <c r="L10" s="66"/>
      <c r="M10" s="46"/>
      <c r="N10" s="32" t="s">
        <v>200</v>
      </c>
      <c r="O10" s="33" t="s">
        <v>199</v>
      </c>
      <c r="P10" s="29">
        <f>SUM(P11:P12)</f>
        <v>1758000</v>
      </c>
      <c r="Q10" s="29"/>
      <c r="R10" s="34"/>
      <c r="T10" s="15"/>
    </row>
    <row r="11" spans="1:20" s="2" customFormat="1" ht="20" customHeight="1">
      <c r="A11" s="8" t="s">
        <v>34</v>
      </c>
      <c r="B11" s="9" t="s">
        <v>13</v>
      </c>
      <c r="C11" s="9"/>
      <c r="D11" s="9"/>
      <c r="E11" s="10"/>
      <c r="F11" s="215"/>
      <c r="G11" s="217"/>
      <c r="H11" s="10"/>
      <c r="I11" s="10"/>
      <c r="J11" s="10">
        <f t="shared" ref="J11:J17" si="0">H11-I11</f>
        <v>0</v>
      </c>
      <c r="K11" s="115"/>
      <c r="L11" s="66"/>
      <c r="M11" s="47"/>
      <c r="N11" s="32" t="s">
        <v>21</v>
      </c>
      <c r="O11" s="32" t="s">
        <v>45</v>
      </c>
      <c r="P11" s="32">
        <v>858000</v>
      </c>
      <c r="Q11" s="32"/>
      <c r="R11" s="34"/>
      <c r="T11" s="15"/>
    </row>
    <row r="12" spans="1:20" s="2" customFormat="1" ht="20" customHeight="1">
      <c r="A12" s="8" t="s">
        <v>35</v>
      </c>
      <c r="B12" s="85" t="s">
        <v>15</v>
      </c>
      <c r="C12" s="9"/>
      <c r="D12" s="9"/>
      <c r="E12" s="10"/>
      <c r="F12" s="121"/>
      <c r="G12" s="122"/>
      <c r="H12" s="10"/>
      <c r="I12" s="10"/>
      <c r="J12" s="10">
        <f t="shared" si="0"/>
        <v>0</v>
      </c>
      <c r="K12" s="89"/>
      <c r="L12" s="66"/>
      <c r="M12" s="46"/>
      <c r="N12" s="32"/>
      <c r="O12" s="39" t="s">
        <v>47</v>
      </c>
      <c r="P12" s="32">
        <v>900000</v>
      </c>
      <c r="Q12" s="32"/>
      <c r="R12" s="34"/>
      <c r="T12" s="15"/>
    </row>
    <row r="13" spans="1:20" s="2" customFormat="1" ht="20" customHeight="1">
      <c r="A13" s="8" t="s">
        <v>36</v>
      </c>
      <c r="B13" s="85" t="s">
        <v>15</v>
      </c>
      <c r="C13" s="9"/>
      <c r="D13" s="9"/>
      <c r="E13" s="10"/>
      <c r="F13" s="120"/>
      <c r="G13" s="118"/>
      <c r="H13" s="10"/>
      <c r="I13" s="10"/>
      <c r="J13" s="10">
        <f t="shared" si="0"/>
        <v>0</v>
      </c>
      <c r="K13" s="10"/>
      <c r="L13" s="66"/>
      <c r="M13" s="47"/>
      <c r="N13" s="32"/>
      <c r="O13" s="39"/>
      <c r="P13" s="41"/>
      <c r="Q13" s="32"/>
      <c r="R13" s="34"/>
      <c r="T13" s="15"/>
    </row>
    <row r="14" spans="1:20" s="2" customFormat="1" ht="20" customHeight="1">
      <c r="A14" s="8" t="s">
        <v>37</v>
      </c>
      <c r="B14" s="9" t="s">
        <v>16</v>
      </c>
      <c r="C14" s="9"/>
      <c r="D14" s="9"/>
      <c r="E14" s="10"/>
      <c r="F14" s="121"/>
      <c r="G14" s="122"/>
      <c r="H14" s="10"/>
      <c r="I14" s="10"/>
      <c r="J14" s="10">
        <f t="shared" si="0"/>
        <v>0</v>
      </c>
      <c r="K14" s="21"/>
      <c r="L14" s="66"/>
      <c r="M14" s="47"/>
      <c r="N14" s="32" t="s">
        <v>201</v>
      </c>
      <c r="O14" s="33" t="s">
        <v>199</v>
      </c>
      <c r="P14" s="29">
        <f>SUM(P15:P23)</f>
        <v>97732784</v>
      </c>
      <c r="Q14" s="29"/>
      <c r="R14" s="34"/>
    </row>
    <row r="15" spans="1:20" s="2" customFormat="1" ht="20" customHeight="1">
      <c r="A15" s="8" t="s">
        <v>38</v>
      </c>
      <c r="B15" s="9" t="s">
        <v>17</v>
      </c>
      <c r="C15" s="9"/>
      <c r="D15" s="9"/>
      <c r="E15" s="10"/>
      <c r="F15" s="82"/>
      <c r="G15" s="82"/>
      <c r="H15" s="10"/>
      <c r="I15" s="10"/>
      <c r="J15" s="10">
        <f t="shared" si="0"/>
        <v>0</v>
      </c>
      <c r="K15" s="10"/>
      <c r="L15" s="66"/>
      <c r="M15" s="47"/>
      <c r="N15" s="32" t="s">
        <v>22</v>
      </c>
      <c r="O15" s="51" t="s">
        <v>49</v>
      </c>
      <c r="P15" s="39">
        <v>7823800</v>
      </c>
      <c r="Q15" s="32"/>
      <c r="R15" s="34"/>
    </row>
    <row r="16" spans="1:20" s="2" customFormat="1" ht="20" customHeight="1">
      <c r="A16" s="8" t="s">
        <v>39</v>
      </c>
      <c r="B16" s="9" t="s">
        <v>18</v>
      </c>
      <c r="C16" s="9"/>
      <c r="D16" s="9"/>
      <c r="E16" s="10"/>
      <c r="F16" s="218" t="s">
        <v>190</v>
      </c>
      <c r="G16" s="218" t="s">
        <v>191</v>
      </c>
      <c r="H16" s="56">
        <v>98041262</v>
      </c>
      <c r="I16" s="56">
        <v>97732784</v>
      </c>
      <c r="J16" s="10">
        <f t="shared" si="0"/>
        <v>308478</v>
      </c>
      <c r="K16" s="84"/>
      <c r="L16" s="66"/>
      <c r="M16" s="75"/>
      <c r="N16" s="32"/>
      <c r="O16" s="51" t="s">
        <v>50</v>
      </c>
      <c r="P16" s="39">
        <v>1316900</v>
      </c>
      <c r="Q16" s="32"/>
      <c r="R16" s="34"/>
    </row>
    <row r="17" spans="1:18" s="2" customFormat="1" ht="20" customHeight="1">
      <c r="A17" s="8" t="s">
        <v>40</v>
      </c>
      <c r="B17" s="9" t="s">
        <v>19</v>
      </c>
      <c r="C17" s="9"/>
      <c r="D17" s="9"/>
      <c r="E17" s="10"/>
      <c r="F17" s="213"/>
      <c r="G17" s="213"/>
      <c r="H17" s="111">
        <v>1958738</v>
      </c>
      <c r="I17" s="56">
        <v>1758000</v>
      </c>
      <c r="J17" s="10">
        <f t="shared" si="0"/>
        <v>200738</v>
      </c>
      <c r="K17" s="89"/>
      <c r="L17" s="66"/>
      <c r="M17" s="69"/>
      <c r="N17" s="39"/>
      <c r="O17" s="39" t="s">
        <v>107</v>
      </c>
      <c r="P17" s="39">
        <v>7704000</v>
      </c>
      <c r="Q17" s="32"/>
      <c r="R17" s="34"/>
    </row>
    <row r="18" spans="1:18" s="2" customFormat="1" ht="20" customHeight="1">
      <c r="A18" s="8"/>
      <c r="B18" s="9"/>
      <c r="C18" s="9"/>
      <c r="D18" s="9"/>
      <c r="E18" s="10"/>
      <c r="F18" s="87"/>
      <c r="G18" s="88"/>
      <c r="H18" s="10"/>
      <c r="I18" s="10"/>
      <c r="J18" s="10"/>
      <c r="K18" s="10"/>
      <c r="L18" s="62"/>
      <c r="M18" s="47"/>
      <c r="N18" s="32"/>
      <c r="O18" s="33" t="s">
        <v>51</v>
      </c>
      <c r="P18" s="29">
        <v>11652000</v>
      </c>
      <c r="Q18" s="29"/>
      <c r="R18" s="34"/>
    </row>
    <row r="19" spans="1:18" s="3" customFormat="1" ht="20" customHeight="1">
      <c r="A19" s="11"/>
      <c r="B19" s="11" t="s">
        <v>20</v>
      </c>
      <c r="C19" s="11"/>
      <c r="D19" s="12"/>
      <c r="E19" s="13">
        <f>SUM(E6:E17)</f>
        <v>100000000</v>
      </c>
      <c r="F19" s="12"/>
      <c r="G19" s="12"/>
      <c r="H19" s="13">
        <f>SUM(H6:H18)</f>
        <v>100000000</v>
      </c>
      <c r="I19" s="18">
        <f>SUM(I6:I18)</f>
        <v>99490784</v>
      </c>
      <c r="J19" s="13">
        <f>SUM(J6:J18)</f>
        <v>509216</v>
      </c>
      <c r="K19" s="13">
        <f>E19-H19</f>
        <v>0</v>
      </c>
      <c r="L19" s="103">
        <f>H19+K19</f>
        <v>100000000</v>
      </c>
      <c r="M19" s="48"/>
      <c r="N19" s="32"/>
      <c r="O19" s="39" t="s">
        <v>77</v>
      </c>
      <c r="P19" s="41">
        <v>5172000</v>
      </c>
      <c r="Q19" s="32"/>
      <c r="R19" s="34"/>
    </row>
    <row r="20" spans="1:18" s="37" customFormat="1" ht="20" customHeight="1">
      <c r="A20" s="1"/>
      <c r="J20" s="15"/>
      <c r="K20" s="90" t="s">
        <v>161</v>
      </c>
      <c r="L20" s="61"/>
      <c r="M20" s="49"/>
      <c r="N20" s="39"/>
      <c r="O20" s="39" t="s">
        <v>76</v>
      </c>
      <c r="P20" s="41">
        <v>41746589</v>
      </c>
      <c r="Q20" s="32"/>
      <c r="R20" s="34"/>
    </row>
    <row r="21" spans="1:18">
      <c r="N21" s="126"/>
      <c r="O21" s="127" t="s">
        <v>108</v>
      </c>
      <c r="P21" s="128">
        <v>2940000</v>
      </c>
      <c r="Q21" s="129"/>
      <c r="R21" s="129"/>
    </row>
    <row r="22" spans="1:18">
      <c r="H22" s="116" t="s">
        <v>174</v>
      </c>
      <c r="I22" s="117">
        <v>19500000</v>
      </c>
      <c r="J22" s="14">
        <f>I22</f>
        <v>19500000</v>
      </c>
      <c r="K22" s="14">
        <f>SUM(J16:J17)</f>
        <v>509216</v>
      </c>
      <c r="L22" s="61"/>
      <c r="N22" s="130"/>
      <c r="O22" s="131" t="s">
        <v>47</v>
      </c>
      <c r="P22" s="132">
        <v>19227495</v>
      </c>
      <c r="Q22" s="133"/>
      <c r="R22" s="133"/>
    </row>
    <row r="23" spans="1:18">
      <c r="H23" s="116" t="s">
        <v>175</v>
      </c>
      <c r="I23" s="117">
        <v>10803402</v>
      </c>
      <c r="J23" s="14">
        <f>I23</f>
        <v>10803402</v>
      </c>
      <c r="K23">
        <v>509216</v>
      </c>
      <c r="N23" s="134"/>
      <c r="O23" s="134" t="s">
        <v>74</v>
      </c>
      <c r="P23" s="135">
        <v>150000</v>
      </c>
      <c r="Q23" s="136"/>
      <c r="R23" s="136"/>
    </row>
    <row r="24" spans="1:18">
      <c r="H24" s="116" t="s">
        <v>176</v>
      </c>
      <c r="I24" s="117">
        <v>6185720</v>
      </c>
      <c r="J24" s="14">
        <v>6185720</v>
      </c>
      <c r="N24" s="97"/>
      <c r="O24" s="97"/>
      <c r="P24" s="98"/>
    </row>
    <row r="25" spans="1:18">
      <c r="I25" s="117">
        <f>SUM(I23+I22+I24)</f>
        <v>36489122</v>
      </c>
      <c r="J25" s="14"/>
      <c r="K25" s="14"/>
      <c r="N25" s="95"/>
      <c r="O25" s="99"/>
      <c r="P25" s="100"/>
      <c r="Q25" s="100"/>
      <c r="R25" s="101"/>
    </row>
    <row r="26" spans="1:18">
      <c r="J26" s="14">
        <f>SUM(I19+J25)</f>
        <v>99490784</v>
      </c>
      <c r="N26" s="95"/>
      <c r="O26" s="102"/>
      <c r="P26" s="97"/>
      <c r="Q26" s="95"/>
      <c r="R26" s="101"/>
    </row>
    <row r="27" spans="1:18">
      <c r="J27" s="14"/>
      <c r="N27" s="97"/>
      <c r="O27" s="97"/>
      <c r="P27" s="98"/>
      <c r="Q27" s="95"/>
      <c r="R27" s="101"/>
    </row>
  </sheetData>
  <mergeCells count="19">
    <mergeCell ref="Q4:Q5"/>
    <mergeCell ref="R4:R5"/>
    <mergeCell ref="F10:F11"/>
    <mergeCell ref="G10:G11"/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F16:F17"/>
    <mergeCell ref="G16:G17"/>
    <mergeCell ref="L4:L5"/>
    <mergeCell ref="M4:M5"/>
    <mergeCell ref="N4:P5"/>
  </mergeCells>
  <pageMargins left="0.7" right="0.7" top="0.75" bottom="0.75" header="0.3" footer="0.3"/>
  <pageSetup paperSize="9" scale="6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336B-A909-4F54-842E-C8BF53E4833A}">
  <dimension ref="A1:T32"/>
  <sheetViews>
    <sheetView view="pageBreakPreview" topLeftCell="A11" zoomScale="80" zoomScaleNormal="100" zoomScaleSheetLayoutView="80" workbookViewId="0">
      <selection activeCell="L18" sqref="L18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24.6328125" customWidth="1"/>
    <col min="12" max="12" width="14.90625" style="4" customWidth="1"/>
    <col min="13" max="13" width="13.54296875" customWidth="1"/>
    <col min="14" max="14" width="23.81640625" customWidth="1"/>
    <col min="15" max="15" width="14.54296875" customWidth="1"/>
    <col min="16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202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118"/>
      <c r="D6" s="118"/>
      <c r="E6" s="119">
        <v>509216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137" t="s">
        <v>203</v>
      </c>
      <c r="C7" s="138" t="s">
        <v>204</v>
      </c>
      <c r="D7" s="138" t="s">
        <v>205</v>
      </c>
      <c r="E7" s="119">
        <v>99490784</v>
      </c>
      <c r="F7" s="9"/>
      <c r="G7" s="9"/>
      <c r="H7" s="10"/>
      <c r="I7" s="10"/>
      <c r="J7" s="10"/>
      <c r="K7" s="10"/>
      <c r="L7" s="59"/>
      <c r="M7" s="32"/>
      <c r="N7" s="29" t="s">
        <v>211</v>
      </c>
      <c r="O7" s="33" t="s">
        <v>212</v>
      </c>
      <c r="P7" s="32">
        <f>SUM(P10+P15+P26+P30)</f>
        <v>99721149</v>
      </c>
      <c r="Q7" s="32"/>
      <c r="R7" s="33"/>
    </row>
    <row r="8" spans="1:20" s="2" customFormat="1" ht="20" customHeight="1">
      <c r="A8" s="8"/>
      <c r="B8" s="85" t="s">
        <v>160</v>
      </c>
      <c r="C8" s="86"/>
      <c r="D8" s="86"/>
      <c r="E8" s="10"/>
      <c r="F8" s="86"/>
      <c r="G8" s="9"/>
      <c r="H8" s="10"/>
      <c r="I8" s="10"/>
      <c r="J8" s="10"/>
      <c r="K8" s="10"/>
      <c r="L8" s="59"/>
      <c r="M8" s="32"/>
      <c r="N8" s="29"/>
      <c r="O8" s="33"/>
      <c r="P8" s="32"/>
      <c r="Q8" s="32"/>
      <c r="R8" s="33"/>
    </row>
    <row r="9" spans="1:20" s="2" customFormat="1" ht="20" customHeight="1">
      <c r="A9" s="8">
        <v>2</v>
      </c>
      <c r="B9" s="9" t="s">
        <v>32</v>
      </c>
      <c r="C9" s="16"/>
      <c r="D9" s="16"/>
      <c r="E9" s="10"/>
      <c r="F9" s="120"/>
      <c r="G9" s="118"/>
      <c r="H9" s="10"/>
      <c r="I9" s="10"/>
      <c r="J9" s="10"/>
      <c r="K9" s="10"/>
      <c r="L9" s="59"/>
      <c r="M9" s="47"/>
      <c r="N9" s="29" t="s">
        <v>43</v>
      </c>
      <c r="O9" s="29"/>
      <c r="P9" s="29"/>
      <c r="Q9" s="29"/>
      <c r="R9" s="34"/>
    </row>
    <row r="10" spans="1:20" s="2" customFormat="1" ht="20" customHeight="1">
      <c r="A10" s="8" t="s">
        <v>33</v>
      </c>
      <c r="B10" s="9" t="s">
        <v>12</v>
      </c>
      <c r="C10" s="9"/>
      <c r="D10" s="9"/>
      <c r="E10" s="10"/>
      <c r="F10" s="219" t="s">
        <v>206</v>
      </c>
      <c r="G10" s="211" t="s">
        <v>207</v>
      </c>
      <c r="H10" s="10">
        <v>4123800</v>
      </c>
      <c r="I10" s="10">
        <f>4123800</f>
        <v>4123800</v>
      </c>
      <c r="J10" s="10">
        <f>H10-I10</f>
        <v>0</v>
      </c>
      <c r="K10" s="89"/>
      <c r="L10" s="66"/>
      <c r="M10" s="46"/>
      <c r="N10" s="32" t="s">
        <v>213</v>
      </c>
      <c r="O10" s="33" t="s">
        <v>212</v>
      </c>
      <c r="P10" s="29">
        <f>SUM(P11:P13)</f>
        <v>14474230</v>
      </c>
      <c r="Q10" s="29"/>
      <c r="R10" s="34"/>
      <c r="T10" s="15"/>
    </row>
    <row r="11" spans="1:20" s="2" customFormat="1" ht="20" customHeight="1">
      <c r="A11" s="8" t="s">
        <v>34</v>
      </c>
      <c r="B11" s="9" t="s">
        <v>13</v>
      </c>
      <c r="C11" s="9"/>
      <c r="D11" s="9"/>
      <c r="E11" s="10"/>
      <c r="F11" s="215"/>
      <c r="G11" s="213"/>
      <c r="H11" s="10">
        <v>2294730</v>
      </c>
      <c r="I11" s="10">
        <f>1210000+47730+1037000</f>
        <v>2294730</v>
      </c>
      <c r="J11" s="10">
        <f t="shared" ref="J11:J17" si="0">H11-I11</f>
        <v>0</v>
      </c>
      <c r="K11" s="115"/>
      <c r="L11" s="66"/>
      <c r="M11" s="47"/>
      <c r="N11" s="32" t="s">
        <v>21</v>
      </c>
      <c r="O11" s="32" t="s">
        <v>45</v>
      </c>
      <c r="P11" s="32">
        <v>8108500</v>
      </c>
      <c r="Q11" s="32"/>
      <c r="R11" s="34"/>
      <c r="T11" s="15"/>
    </row>
    <row r="12" spans="1:20" s="2" customFormat="1" ht="20" customHeight="1">
      <c r="A12" s="8" t="s">
        <v>35</v>
      </c>
      <c r="B12" s="85" t="s">
        <v>15</v>
      </c>
      <c r="C12" s="9"/>
      <c r="D12" s="9"/>
      <c r="E12" s="10"/>
      <c r="F12" s="219" t="s">
        <v>206</v>
      </c>
      <c r="G12" s="211" t="s">
        <v>208</v>
      </c>
      <c r="H12" s="10">
        <v>4131200</v>
      </c>
      <c r="I12" s="10">
        <f>150000+3981200</f>
        <v>4131200</v>
      </c>
      <c r="J12" s="10">
        <f t="shared" si="0"/>
        <v>0</v>
      </c>
      <c r="K12" s="89"/>
      <c r="L12" s="66"/>
      <c r="M12" s="46"/>
      <c r="N12" s="32"/>
      <c r="O12" s="39" t="s">
        <v>46</v>
      </c>
      <c r="P12" s="32">
        <v>47730</v>
      </c>
      <c r="Q12" s="32"/>
      <c r="R12" s="34"/>
      <c r="T12" s="15"/>
    </row>
    <row r="13" spans="1:20" s="2" customFormat="1" ht="20" customHeight="1">
      <c r="A13" s="8" t="s">
        <v>36</v>
      </c>
      <c r="B13" s="140" t="s">
        <v>14</v>
      </c>
      <c r="C13" s="9"/>
      <c r="D13" s="9"/>
      <c r="E13" s="10"/>
      <c r="F13" s="215"/>
      <c r="G13" s="213"/>
      <c r="H13" s="10">
        <v>1601500</v>
      </c>
      <c r="I13" s="10">
        <f>1601500</f>
        <v>1601500</v>
      </c>
      <c r="J13" s="10">
        <f t="shared" si="0"/>
        <v>0</v>
      </c>
      <c r="K13" s="10"/>
      <c r="L13" s="66"/>
      <c r="M13" s="47"/>
      <c r="N13" s="32"/>
      <c r="O13" s="39" t="s">
        <v>47</v>
      </c>
      <c r="P13" s="41">
        <v>6318000</v>
      </c>
      <c r="Q13" s="32"/>
      <c r="R13" s="34"/>
      <c r="T13" s="15"/>
    </row>
    <row r="14" spans="1:20" s="2" customFormat="1" ht="20" customHeight="1">
      <c r="A14" s="8" t="s">
        <v>37</v>
      </c>
      <c r="B14" s="9" t="s">
        <v>16</v>
      </c>
      <c r="C14" s="9"/>
      <c r="D14" s="9"/>
      <c r="E14" s="10"/>
      <c r="F14" s="219" t="s">
        <v>206</v>
      </c>
      <c r="G14" s="211" t="s">
        <v>209</v>
      </c>
      <c r="H14" s="10">
        <f>4133500-7000</f>
        <v>4126500</v>
      </c>
      <c r="I14" s="10">
        <f>820000+210000+2953500</f>
        <v>3983500</v>
      </c>
      <c r="J14" s="10">
        <f t="shared" si="0"/>
        <v>143000</v>
      </c>
      <c r="K14" s="21"/>
      <c r="L14" s="66"/>
      <c r="M14" s="47"/>
      <c r="N14" s="32"/>
      <c r="O14" s="33"/>
      <c r="P14" s="29"/>
      <c r="Q14" s="29"/>
      <c r="R14" s="34"/>
    </row>
    <row r="15" spans="1:20" s="2" customFormat="1" ht="20" customHeight="1">
      <c r="A15" s="8" t="s">
        <v>38</v>
      </c>
      <c r="B15" s="9" t="s">
        <v>17</v>
      </c>
      <c r="C15" s="9"/>
      <c r="D15" s="9"/>
      <c r="E15" s="10"/>
      <c r="F15" s="215"/>
      <c r="G15" s="213"/>
      <c r="H15" s="10">
        <f>5721000+7000</f>
        <v>5728000</v>
      </c>
      <c r="I15" s="10">
        <f>1945000+3783000</f>
        <v>5728000</v>
      </c>
      <c r="J15" s="10">
        <f t="shared" si="0"/>
        <v>0</v>
      </c>
      <c r="K15" s="10"/>
      <c r="L15" s="66"/>
      <c r="M15" s="47"/>
      <c r="N15" s="32" t="s">
        <v>214</v>
      </c>
      <c r="O15" s="33" t="s">
        <v>212</v>
      </c>
      <c r="P15" s="29">
        <f>SUM(P16:P24)</f>
        <v>68632419</v>
      </c>
      <c r="Q15" s="32"/>
      <c r="R15" s="34"/>
    </row>
    <row r="16" spans="1:20" s="2" customFormat="1" ht="20" customHeight="1">
      <c r="A16" s="8" t="s">
        <v>39</v>
      </c>
      <c r="B16" s="9" t="s">
        <v>18</v>
      </c>
      <c r="C16" s="9"/>
      <c r="D16" s="9"/>
      <c r="E16" s="10"/>
      <c r="F16" s="219" t="s">
        <v>206</v>
      </c>
      <c r="G16" s="211" t="s">
        <v>210</v>
      </c>
      <c r="H16" s="56">
        <v>65700770</v>
      </c>
      <c r="I16" s="56">
        <v>65678919</v>
      </c>
      <c r="J16" s="10">
        <f t="shared" si="0"/>
        <v>21851</v>
      </c>
      <c r="K16" s="84"/>
      <c r="L16" s="66"/>
      <c r="M16" s="75"/>
      <c r="N16" s="32" t="s">
        <v>22</v>
      </c>
      <c r="O16" s="51" t="s">
        <v>49</v>
      </c>
      <c r="P16" s="39">
        <v>11472319</v>
      </c>
      <c r="Q16" s="32"/>
      <c r="R16" s="34"/>
    </row>
    <row r="17" spans="1:18" s="2" customFormat="1" ht="20" customHeight="1">
      <c r="A17" s="8" t="s">
        <v>40</v>
      </c>
      <c r="B17" s="9" t="s">
        <v>19</v>
      </c>
      <c r="C17" s="9"/>
      <c r="D17" s="9"/>
      <c r="E17" s="10"/>
      <c r="F17" s="215"/>
      <c r="G17" s="213"/>
      <c r="H17" s="111">
        <v>12293500</v>
      </c>
      <c r="I17" s="56">
        <v>12179500</v>
      </c>
      <c r="J17" s="10">
        <f t="shared" si="0"/>
        <v>114000</v>
      </c>
      <c r="K17" s="89"/>
      <c r="L17" s="66" t="s">
        <v>118</v>
      </c>
      <c r="M17" s="69"/>
      <c r="N17" s="32"/>
      <c r="O17" s="51" t="s">
        <v>50</v>
      </c>
      <c r="P17" s="39">
        <v>602000</v>
      </c>
      <c r="Q17" s="32"/>
      <c r="R17" s="34"/>
    </row>
    <row r="18" spans="1:18" s="2" customFormat="1" ht="20" customHeight="1">
      <c r="A18" s="8"/>
      <c r="B18" s="9"/>
      <c r="C18" s="9"/>
      <c r="D18" s="9"/>
      <c r="E18" s="10"/>
      <c r="F18" s="87"/>
      <c r="G18" s="88"/>
      <c r="H18" s="10"/>
      <c r="I18" s="10"/>
      <c r="J18" s="10"/>
      <c r="K18" s="10"/>
      <c r="L18" s="62"/>
      <c r="M18" s="47"/>
      <c r="N18" s="39"/>
      <c r="O18" s="39" t="s">
        <v>107</v>
      </c>
      <c r="P18" s="39">
        <v>2976000</v>
      </c>
      <c r="Q18" s="29"/>
      <c r="R18" s="34"/>
    </row>
    <row r="19" spans="1:18" s="3" customFormat="1" ht="20" customHeight="1">
      <c r="A19" s="11"/>
      <c r="B19" s="11" t="s">
        <v>20</v>
      </c>
      <c r="C19" s="11"/>
      <c r="D19" s="12"/>
      <c r="E19" s="13">
        <f>SUM(E6:E17)</f>
        <v>100000000</v>
      </c>
      <c r="F19" s="12"/>
      <c r="G19" s="12"/>
      <c r="H19" s="13">
        <f>SUM(H6:H18)</f>
        <v>100000000</v>
      </c>
      <c r="I19" s="18">
        <f>SUM(I6:I18)</f>
        <v>99721149</v>
      </c>
      <c r="J19" s="13">
        <f>SUM(J6:J18)</f>
        <v>278851</v>
      </c>
      <c r="K19" s="13">
        <f>E19-H19</f>
        <v>0</v>
      </c>
      <c r="L19" s="103">
        <f>H19+K19</f>
        <v>100000000</v>
      </c>
      <c r="M19" s="48"/>
      <c r="N19" s="32"/>
      <c r="O19" s="33" t="s">
        <v>51</v>
      </c>
      <c r="P19" s="29">
        <v>13335000</v>
      </c>
      <c r="Q19" s="32"/>
      <c r="R19" s="34"/>
    </row>
    <row r="20" spans="1:18" s="37" customFormat="1" ht="20" customHeight="1">
      <c r="A20" s="1"/>
      <c r="J20" s="15"/>
      <c r="K20" s="90" t="s">
        <v>161</v>
      </c>
      <c r="L20" s="61"/>
      <c r="M20" s="49"/>
      <c r="N20" s="32"/>
      <c r="O20" s="39" t="s">
        <v>77</v>
      </c>
      <c r="P20" s="41">
        <v>9900000</v>
      </c>
      <c r="Q20" s="32"/>
      <c r="R20" s="34"/>
    </row>
    <row r="21" spans="1:18">
      <c r="N21" s="128"/>
      <c r="O21" s="128" t="s">
        <v>76</v>
      </c>
      <c r="P21" s="142">
        <v>22061000</v>
      </c>
      <c r="Q21" s="129"/>
      <c r="R21" s="129"/>
    </row>
    <row r="22" spans="1:18">
      <c r="G22" s="14"/>
      <c r="H22" s="116" t="s">
        <v>174</v>
      </c>
      <c r="I22" s="117">
        <v>19500000</v>
      </c>
      <c r="J22" s="14">
        <f>I22</f>
        <v>19500000</v>
      </c>
      <c r="K22" s="14">
        <f>SUM(H12:H13)</f>
        <v>5732700</v>
      </c>
      <c r="L22" s="61"/>
      <c r="N22" s="32"/>
      <c r="O22" s="51" t="s">
        <v>108</v>
      </c>
      <c r="P22" s="39">
        <v>2965000</v>
      </c>
      <c r="Q22" s="23"/>
      <c r="R22" s="23"/>
    </row>
    <row r="23" spans="1:18">
      <c r="H23" s="116" t="s">
        <v>175</v>
      </c>
      <c r="I23" s="117">
        <v>10803402</v>
      </c>
      <c r="J23" s="14">
        <f>I23</f>
        <v>10803402</v>
      </c>
      <c r="N23" s="32"/>
      <c r="O23" s="40" t="s">
        <v>47</v>
      </c>
      <c r="P23" s="39">
        <v>4871100</v>
      </c>
      <c r="Q23" s="23"/>
      <c r="R23" s="23"/>
    </row>
    <row r="24" spans="1:18">
      <c r="H24" s="116" t="s">
        <v>176</v>
      </c>
      <c r="I24" s="117">
        <v>6185720</v>
      </c>
      <c r="J24" s="14">
        <v>6185720</v>
      </c>
      <c r="K24">
        <v>278851</v>
      </c>
      <c r="N24" s="39"/>
      <c r="O24" s="39" t="s">
        <v>74</v>
      </c>
      <c r="P24" s="41">
        <v>450000</v>
      </c>
      <c r="Q24" s="23"/>
      <c r="R24" s="23"/>
    </row>
    <row r="25" spans="1:18">
      <c r="I25" s="117">
        <f>SUM(I23+I22+I24)</f>
        <v>36489122</v>
      </c>
      <c r="J25" s="14"/>
      <c r="K25" s="14"/>
      <c r="N25" s="32"/>
      <c r="O25" s="33"/>
      <c r="P25" s="29"/>
      <c r="Q25" s="29"/>
      <c r="R25" s="34"/>
    </row>
    <row r="26" spans="1:18">
      <c r="J26" s="14">
        <f>SUM(I19+J25)</f>
        <v>99721149</v>
      </c>
      <c r="K26" s="139"/>
      <c r="N26" s="32" t="s">
        <v>215</v>
      </c>
      <c r="O26" s="33" t="s">
        <v>212</v>
      </c>
      <c r="P26" s="29">
        <f>SUM(P27:P28)</f>
        <v>12490700</v>
      </c>
      <c r="Q26" s="32"/>
      <c r="R26" s="34"/>
    </row>
    <row r="27" spans="1:18">
      <c r="J27" s="14"/>
      <c r="N27" s="32" t="s">
        <v>134</v>
      </c>
      <c r="O27" s="32" t="s">
        <v>45</v>
      </c>
      <c r="P27" s="32">
        <v>6746200</v>
      </c>
      <c r="Q27" s="32"/>
      <c r="R27" s="34"/>
    </row>
    <row r="28" spans="1:18">
      <c r="J28">
        <v>99721149</v>
      </c>
      <c r="N28" s="32"/>
      <c r="O28" s="39" t="s">
        <v>47</v>
      </c>
      <c r="P28" s="41">
        <v>5744500</v>
      </c>
      <c r="Q28" s="23"/>
      <c r="R28" s="23"/>
    </row>
    <row r="29" spans="1:18">
      <c r="N29" s="32"/>
      <c r="O29" s="39"/>
      <c r="P29" s="41"/>
      <c r="Q29" s="23"/>
      <c r="R29" s="23"/>
    </row>
    <row r="30" spans="1:18">
      <c r="N30" s="32" t="s">
        <v>216</v>
      </c>
      <c r="O30" s="33" t="s">
        <v>212</v>
      </c>
      <c r="P30" s="29">
        <f>SUM(P31:P32)</f>
        <v>4123800</v>
      </c>
      <c r="Q30" s="32"/>
      <c r="R30" s="34"/>
    </row>
    <row r="31" spans="1:18">
      <c r="N31" s="32" t="s">
        <v>87</v>
      </c>
      <c r="O31" s="32" t="s">
        <v>45</v>
      </c>
      <c r="P31" s="32">
        <v>4123800</v>
      </c>
      <c r="Q31" s="32"/>
      <c r="R31" s="34"/>
    </row>
    <row r="32" spans="1:18">
      <c r="N32" s="32"/>
      <c r="O32" s="39"/>
      <c r="P32" s="41"/>
      <c r="Q32" s="23"/>
      <c r="R32" s="23"/>
    </row>
  </sheetData>
  <mergeCells count="23">
    <mergeCell ref="N4:P5"/>
    <mergeCell ref="Q4:Q5"/>
    <mergeCell ref="R4:R5"/>
    <mergeCell ref="F16:F17"/>
    <mergeCell ref="G16:G17"/>
    <mergeCell ref="F12:F13"/>
    <mergeCell ref="G12:G13"/>
    <mergeCell ref="F14:F15"/>
    <mergeCell ref="G14:G15"/>
    <mergeCell ref="F10:F11"/>
    <mergeCell ref="G10:G11"/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6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443F-D309-4D6B-A1FF-C7A2CFD7DBC4}">
  <dimension ref="A1:T34"/>
  <sheetViews>
    <sheetView view="pageBreakPreview" topLeftCell="A6" zoomScale="80" zoomScaleNormal="100" zoomScaleSheetLayoutView="80" workbookViewId="0">
      <selection activeCell="K17" sqref="K17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24.6328125" customWidth="1"/>
    <col min="12" max="12" width="14.90625" style="4" customWidth="1"/>
    <col min="13" max="13" width="13.54296875" customWidth="1"/>
    <col min="14" max="14" width="23.81640625" customWidth="1"/>
    <col min="15" max="15" width="14.54296875" customWidth="1"/>
    <col min="16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217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118"/>
      <c r="D6" s="118"/>
      <c r="E6" s="119">
        <v>278851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144" t="s">
        <v>218</v>
      </c>
      <c r="C7" s="145" t="s">
        <v>220</v>
      </c>
      <c r="D7" s="145" t="s">
        <v>219</v>
      </c>
      <c r="E7" s="119">
        <v>99721149</v>
      </c>
      <c r="F7" s="9"/>
      <c r="G7" s="9"/>
      <c r="H7" s="10"/>
      <c r="I7" s="10"/>
      <c r="J7" s="10"/>
      <c r="K7" s="10"/>
      <c r="L7" s="59"/>
      <c r="M7" s="32"/>
      <c r="N7" s="29" t="s">
        <v>211</v>
      </c>
      <c r="O7" s="33" t="s">
        <v>212</v>
      </c>
      <c r="P7" s="32">
        <f>SUM(P11+P16+P28+P32)</f>
        <v>99721149</v>
      </c>
      <c r="Q7" s="32"/>
      <c r="R7" s="33"/>
    </row>
    <row r="8" spans="1:20" s="2" customFormat="1" ht="20" customHeight="1">
      <c r="A8" s="8"/>
      <c r="B8" s="85" t="s">
        <v>160</v>
      </c>
      <c r="C8" s="86"/>
      <c r="D8" s="86"/>
      <c r="E8" s="10"/>
      <c r="F8" s="86"/>
      <c r="G8" s="9"/>
      <c r="H8" s="10"/>
      <c r="I8" s="10"/>
      <c r="J8" s="10"/>
      <c r="K8" s="10"/>
      <c r="L8" s="59"/>
      <c r="M8" s="32"/>
      <c r="N8" s="29"/>
      <c r="O8" s="33"/>
      <c r="P8" s="32"/>
      <c r="Q8" s="32"/>
      <c r="R8" s="33"/>
    </row>
    <row r="9" spans="1:20" s="2" customFormat="1" ht="20" customHeight="1">
      <c r="A9" s="8">
        <v>2</v>
      </c>
      <c r="B9" s="9" t="s">
        <v>32</v>
      </c>
      <c r="C9" s="16"/>
      <c r="D9" s="16"/>
      <c r="E9" s="10"/>
      <c r="F9" s="120"/>
      <c r="G9" s="118"/>
      <c r="H9" s="10"/>
      <c r="I9" s="10"/>
      <c r="J9" s="10"/>
      <c r="K9" s="10"/>
      <c r="L9" s="59"/>
      <c r="M9" s="47"/>
      <c r="N9" s="29" t="s">
        <v>43</v>
      </c>
      <c r="O9" s="29"/>
      <c r="P9" s="29"/>
      <c r="Q9" s="29"/>
      <c r="R9" s="34"/>
    </row>
    <row r="10" spans="1:20" s="2" customFormat="1" ht="20" customHeight="1">
      <c r="A10" s="220" t="s">
        <v>33</v>
      </c>
      <c r="B10" s="222" t="s">
        <v>12</v>
      </c>
      <c r="C10" s="16"/>
      <c r="D10" s="16"/>
      <c r="E10" s="10"/>
      <c r="F10" s="148" t="s">
        <v>227</v>
      </c>
      <c r="G10" s="149" t="s">
        <v>228</v>
      </c>
      <c r="H10" s="10">
        <v>3659100</v>
      </c>
      <c r="I10" s="10">
        <f>3659100</f>
        <v>3659100</v>
      </c>
      <c r="J10" s="10">
        <f>H10-I10</f>
        <v>0</v>
      </c>
      <c r="K10" s="10"/>
      <c r="L10" s="59"/>
      <c r="M10" s="47"/>
      <c r="N10" s="29"/>
      <c r="O10" s="29"/>
      <c r="P10" s="29"/>
      <c r="Q10" s="29"/>
      <c r="R10" s="34"/>
    </row>
    <row r="11" spans="1:20" s="2" customFormat="1" ht="20" customHeight="1">
      <c r="A11" s="221"/>
      <c r="B11" s="193"/>
      <c r="C11" s="9"/>
      <c r="D11" s="9"/>
      <c r="E11" s="10"/>
      <c r="F11" s="223" t="s">
        <v>222</v>
      </c>
      <c r="G11" s="224" t="s">
        <v>223</v>
      </c>
      <c r="H11" s="10">
        <v>4220000</v>
      </c>
      <c r="I11" s="10">
        <f>1220000+3000000</f>
        <v>4220000</v>
      </c>
      <c r="J11" s="10">
        <f>H11-I11</f>
        <v>0</v>
      </c>
      <c r="K11" s="89"/>
      <c r="L11" s="66"/>
      <c r="M11" s="46"/>
      <c r="N11" s="32" t="s">
        <v>213</v>
      </c>
      <c r="O11" s="33" t="s">
        <v>212</v>
      </c>
      <c r="P11" s="29">
        <f>SUM(P12:P14)</f>
        <v>14474230</v>
      </c>
      <c r="Q11" s="29"/>
      <c r="R11" s="34"/>
      <c r="T11" s="15"/>
    </row>
    <row r="12" spans="1:20" s="2" customFormat="1" ht="20" customHeight="1">
      <c r="A12" s="8" t="s">
        <v>34</v>
      </c>
      <c r="B12" s="9" t="s">
        <v>13</v>
      </c>
      <c r="C12" s="9"/>
      <c r="D12" s="9"/>
      <c r="E12" s="10"/>
      <c r="F12" s="215"/>
      <c r="G12" s="213"/>
      <c r="H12" s="10">
        <f>1525000+316158</f>
        <v>1841158</v>
      </c>
      <c r="I12" s="10">
        <f>316158+1525000</f>
        <v>1841158</v>
      </c>
      <c r="J12" s="10">
        <f t="shared" ref="J12:J19" si="0">H12-I12</f>
        <v>0</v>
      </c>
      <c r="K12" s="115"/>
      <c r="L12" s="66"/>
      <c r="M12" s="47"/>
      <c r="N12" s="32" t="s">
        <v>21</v>
      </c>
      <c r="O12" s="32" t="s">
        <v>45</v>
      </c>
      <c r="P12" s="32">
        <v>8108500</v>
      </c>
      <c r="Q12" s="32"/>
      <c r="R12" s="34"/>
      <c r="T12" s="15"/>
    </row>
    <row r="13" spans="1:20" s="2" customFormat="1" ht="20" customHeight="1">
      <c r="A13" s="8" t="s">
        <v>35</v>
      </c>
      <c r="B13" s="85" t="s">
        <v>15</v>
      </c>
      <c r="C13" s="9"/>
      <c r="D13" s="9"/>
      <c r="E13" s="10"/>
      <c r="F13" s="223" t="s">
        <v>222</v>
      </c>
      <c r="G13" s="224" t="s">
        <v>224</v>
      </c>
      <c r="H13" s="10">
        <v>1315200</v>
      </c>
      <c r="I13" s="10">
        <f>1315200</f>
        <v>1315200</v>
      </c>
      <c r="J13" s="10">
        <f t="shared" si="0"/>
        <v>0</v>
      </c>
      <c r="K13" s="89"/>
      <c r="L13" s="66"/>
      <c r="M13" s="46"/>
      <c r="N13" s="32"/>
      <c r="O13" s="39" t="s">
        <v>46</v>
      </c>
      <c r="P13" s="32">
        <v>47730</v>
      </c>
      <c r="Q13" s="32"/>
      <c r="R13" s="34"/>
      <c r="T13" s="15"/>
    </row>
    <row r="14" spans="1:20" s="2" customFormat="1" ht="20" customHeight="1">
      <c r="A14" s="8" t="s">
        <v>36</v>
      </c>
      <c r="B14" s="140" t="s">
        <v>14</v>
      </c>
      <c r="C14" s="9"/>
      <c r="D14" s="9"/>
      <c r="E14" s="10"/>
      <c r="F14" s="215"/>
      <c r="G14" s="213"/>
      <c r="H14" s="10">
        <v>2710000</v>
      </c>
      <c r="I14" s="10">
        <f>460000+300000+730000+1220000</f>
        <v>2710000</v>
      </c>
      <c r="J14" s="10">
        <f t="shared" si="0"/>
        <v>0</v>
      </c>
      <c r="K14" s="10"/>
      <c r="L14" s="66"/>
      <c r="M14" s="47"/>
      <c r="N14" s="32"/>
      <c r="O14" s="39" t="s">
        <v>47</v>
      </c>
      <c r="P14" s="41">
        <v>6318000</v>
      </c>
      <c r="Q14" s="32"/>
      <c r="R14" s="34"/>
      <c r="T14" s="15"/>
    </row>
    <row r="15" spans="1:20" s="2" customFormat="1" ht="20" customHeight="1">
      <c r="A15" s="8" t="s">
        <v>37</v>
      </c>
      <c r="B15" s="9" t="s">
        <v>16</v>
      </c>
      <c r="C15" s="9"/>
      <c r="D15" s="9"/>
      <c r="E15" s="10"/>
      <c r="F15" s="152" t="s">
        <v>229</v>
      </c>
      <c r="G15" s="153" t="s">
        <v>231</v>
      </c>
      <c r="H15" s="10">
        <v>3600000</v>
      </c>
      <c r="I15" s="10">
        <v>3587000</v>
      </c>
      <c r="J15" s="10">
        <f t="shared" si="0"/>
        <v>13000</v>
      </c>
      <c r="K15" s="21"/>
      <c r="L15" s="66"/>
      <c r="M15" s="47"/>
      <c r="N15" s="32"/>
      <c r="O15" s="33"/>
      <c r="P15" s="29"/>
      <c r="Q15" s="29"/>
      <c r="R15" s="34"/>
    </row>
    <row r="16" spans="1:20" s="2" customFormat="1" ht="20" customHeight="1">
      <c r="A16" s="8" t="s">
        <v>38</v>
      </c>
      <c r="B16" s="9" t="s">
        <v>17</v>
      </c>
      <c r="C16" s="9"/>
      <c r="D16" s="9"/>
      <c r="E16" s="10"/>
      <c r="F16" s="151" t="s">
        <v>222</v>
      </c>
      <c r="G16" s="145" t="s">
        <v>225</v>
      </c>
      <c r="H16" s="10">
        <v>2914500</v>
      </c>
      <c r="I16" s="10">
        <f>2465000+150000+299500</f>
        <v>2914500</v>
      </c>
      <c r="J16" s="10">
        <f t="shared" si="0"/>
        <v>0</v>
      </c>
      <c r="K16" s="10"/>
      <c r="L16" s="66"/>
      <c r="M16" s="47"/>
      <c r="N16" s="32" t="s">
        <v>214</v>
      </c>
      <c r="O16" s="33" t="s">
        <v>212</v>
      </c>
      <c r="P16" s="29">
        <f>SUM(P18:P26)</f>
        <v>68632419</v>
      </c>
      <c r="Q16" s="32"/>
      <c r="R16" s="34"/>
    </row>
    <row r="17" spans="1:18" s="2" customFormat="1" ht="20" customHeight="1">
      <c r="A17" s="220" t="s">
        <v>39</v>
      </c>
      <c r="B17" s="222" t="s">
        <v>18</v>
      </c>
      <c r="C17" s="9"/>
      <c r="D17" s="9"/>
      <c r="E17" s="10"/>
      <c r="F17" s="150" t="s">
        <v>229</v>
      </c>
      <c r="G17" s="150" t="s">
        <v>230</v>
      </c>
      <c r="H17" s="10">
        <f>15582861+1672100</f>
        <v>17254961</v>
      </c>
      <c r="I17" s="10">
        <v>17254961</v>
      </c>
      <c r="J17" s="10">
        <f t="shared" si="0"/>
        <v>0</v>
      </c>
      <c r="K17" s="10"/>
      <c r="L17" s="66"/>
      <c r="M17" s="47"/>
      <c r="N17" s="32"/>
      <c r="O17" s="33"/>
      <c r="P17" s="29"/>
      <c r="Q17" s="32"/>
      <c r="R17" s="34"/>
    </row>
    <row r="18" spans="1:18" s="2" customFormat="1" ht="20" customHeight="1">
      <c r="A18" s="221"/>
      <c r="B18" s="193"/>
      <c r="C18" s="9"/>
      <c r="D18" s="9"/>
      <c r="E18" s="10"/>
      <c r="F18" s="223" t="s">
        <v>222</v>
      </c>
      <c r="G18" s="224" t="s">
        <v>226</v>
      </c>
      <c r="H18" s="56">
        <v>50000000</v>
      </c>
      <c r="I18" s="56">
        <v>49828680</v>
      </c>
      <c r="J18" s="10">
        <f t="shared" si="0"/>
        <v>171320</v>
      </c>
      <c r="K18" s="146"/>
      <c r="L18" s="66"/>
      <c r="M18" s="75"/>
      <c r="N18" s="32" t="s">
        <v>22</v>
      </c>
      <c r="O18" s="51" t="s">
        <v>49</v>
      </c>
      <c r="P18" s="39">
        <v>11472319</v>
      </c>
      <c r="Q18" s="32"/>
      <c r="R18" s="34"/>
    </row>
    <row r="19" spans="1:18" s="2" customFormat="1" ht="20" customHeight="1">
      <c r="A19" s="8" t="s">
        <v>40</v>
      </c>
      <c r="B19" s="9" t="s">
        <v>19</v>
      </c>
      <c r="C19" s="9"/>
      <c r="D19" s="9"/>
      <c r="E19" s="10"/>
      <c r="F19" s="215"/>
      <c r="G19" s="213"/>
      <c r="H19" s="111">
        <f>11881600+340000</f>
        <v>12221600</v>
      </c>
      <c r="I19" s="56">
        <f>2902600+2790000+119000+176000+4594000+900000+176000+176000</f>
        <v>11833600</v>
      </c>
      <c r="J19" s="10">
        <f t="shared" si="0"/>
        <v>388000</v>
      </c>
      <c r="K19" s="89"/>
      <c r="L19" s="66"/>
      <c r="M19" s="69"/>
      <c r="N19" s="32"/>
      <c r="O19" s="51" t="s">
        <v>50</v>
      </c>
      <c r="P19" s="39">
        <v>602000</v>
      </c>
      <c r="Q19" s="32"/>
      <c r="R19" s="34"/>
    </row>
    <row r="20" spans="1:18" s="2" customFormat="1" ht="20" customHeight="1">
      <c r="A20" s="8"/>
      <c r="B20" s="9"/>
      <c r="C20" s="9"/>
      <c r="D20" s="9"/>
      <c r="E20" s="10"/>
      <c r="F20" s="87"/>
      <c r="G20" s="88"/>
      <c r="H20" s="10"/>
      <c r="I20" s="10"/>
      <c r="J20" s="10"/>
      <c r="K20" s="10"/>
      <c r="L20" s="62"/>
      <c r="M20" s="47"/>
      <c r="N20" s="39"/>
      <c r="O20" s="39" t="s">
        <v>107</v>
      </c>
      <c r="P20" s="39">
        <v>2976000</v>
      </c>
      <c r="Q20" s="29"/>
      <c r="R20" s="34"/>
    </row>
    <row r="21" spans="1:18" s="3" customFormat="1" ht="20" customHeight="1">
      <c r="A21" s="11"/>
      <c r="B21" s="11" t="s">
        <v>20</v>
      </c>
      <c r="C21" s="11"/>
      <c r="D21" s="12"/>
      <c r="E21" s="13">
        <f>SUM(E6:E19)</f>
        <v>100000000</v>
      </c>
      <c r="F21" s="12"/>
      <c r="G21" s="12"/>
      <c r="H21" s="13">
        <f>SUM(H6:H20)</f>
        <v>99736519</v>
      </c>
      <c r="I21" s="18">
        <f>SUM(I6:I20)</f>
        <v>99164199</v>
      </c>
      <c r="J21" s="13">
        <f>SUM(J6:J20)</f>
        <v>572320</v>
      </c>
      <c r="K21" s="13">
        <f>E21-H21</f>
        <v>263481</v>
      </c>
      <c r="L21" s="147" t="s">
        <v>221</v>
      </c>
      <c r="M21" s="48"/>
      <c r="N21" s="32"/>
      <c r="O21" s="33" t="s">
        <v>51</v>
      </c>
      <c r="P21" s="29">
        <v>13335000</v>
      </c>
      <c r="Q21" s="32"/>
      <c r="R21" s="34"/>
    </row>
    <row r="22" spans="1:18" s="37" customFormat="1" ht="20" customHeight="1">
      <c r="A22" s="1"/>
      <c r="J22" s="15"/>
      <c r="K22" s="90" t="s">
        <v>161</v>
      </c>
      <c r="L22" s="61">
        <f>SUM(K21+J21)</f>
        <v>835801</v>
      </c>
      <c r="M22" s="49"/>
      <c r="N22" s="32"/>
      <c r="O22" s="39" t="s">
        <v>77</v>
      </c>
      <c r="P22" s="41">
        <v>9900000</v>
      </c>
      <c r="Q22" s="32"/>
      <c r="R22" s="34"/>
    </row>
    <row r="23" spans="1:18">
      <c r="N23" s="128"/>
      <c r="O23" s="128" t="s">
        <v>76</v>
      </c>
      <c r="P23" s="142">
        <v>22061000</v>
      </c>
      <c r="Q23" s="129"/>
      <c r="R23" s="129"/>
    </row>
    <row r="24" spans="1:18">
      <c r="G24" s="14"/>
      <c r="H24" s="116" t="s">
        <v>174</v>
      </c>
      <c r="I24" s="117">
        <v>19500000</v>
      </c>
      <c r="J24" s="14">
        <f>I24</f>
        <v>19500000</v>
      </c>
      <c r="K24" s="14">
        <f>SUM(H13:H14)</f>
        <v>4025200</v>
      </c>
      <c r="L24" s="61">
        <v>835801</v>
      </c>
      <c r="N24" s="32"/>
      <c r="O24" s="51" t="s">
        <v>108</v>
      </c>
      <c r="P24" s="39">
        <v>2965000</v>
      </c>
      <c r="Q24" s="23"/>
      <c r="R24" s="23"/>
    </row>
    <row r="25" spans="1:18">
      <c r="H25" s="116" t="s">
        <v>175</v>
      </c>
      <c r="I25" s="117">
        <v>10803402</v>
      </c>
      <c r="J25" s="14">
        <f>I25</f>
        <v>10803402</v>
      </c>
      <c r="L25" s="4">
        <v>99164199</v>
      </c>
      <c r="N25" s="32"/>
      <c r="O25" s="40" t="s">
        <v>47</v>
      </c>
      <c r="P25" s="39">
        <v>4871100</v>
      </c>
      <c r="Q25" s="23"/>
      <c r="R25" s="23"/>
    </row>
    <row r="26" spans="1:18">
      <c r="H26" s="116" t="s">
        <v>176</v>
      </c>
      <c r="I26" s="117">
        <v>6185720</v>
      </c>
      <c r="J26" s="14">
        <v>6185720</v>
      </c>
      <c r="N26" s="39"/>
      <c r="O26" s="39" t="s">
        <v>74</v>
      </c>
      <c r="P26" s="41">
        <v>450000</v>
      </c>
      <c r="Q26" s="23"/>
      <c r="R26" s="23"/>
    </row>
    <row r="27" spans="1:18">
      <c r="I27" s="117">
        <f>SUM(I25+I24+I26)</f>
        <v>36489122</v>
      </c>
      <c r="J27" s="14"/>
      <c r="K27" s="14"/>
      <c r="N27" s="32"/>
      <c r="O27" s="33"/>
      <c r="P27" s="29"/>
      <c r="Q27" s="29"/>
      <c r="R27" s="34"/>
    </row>
    <row r="28" spans="1:18">
      <c r="J28" s="14">
        <f>SUM(I21+J27)</f>
        <v>99164199</v>
      </c>
      <c r="K28" s="139"/>
      <c r="N28" s="32" t="s">
        <v>215</v>
      </c>
      <c r="O28" s="33" t="s">
        <v>212</v>
      </c>
      <c r="P28" s="29">
        <f>SUM(P29:P30)</f>
        <v>12490700</v>
      </c>
      <c r="Q28" s="32"/>
      <c r="R28" s="34"/>
    </row>
    <row r="29" spans="1:18">
      <c r="J29" s="14"/>
      <c r="N29" s="32" t="s">
        <v>134</v>
      </c>
      <c r="O29" s="32" t="s">
        <v>45</v>
      </c>
      <c r="P29" s="32">
        <v>6746200</v>
      </c>
      <c r="Q29" s="32"/>
      <c r="R29" s="34"/>
    </row>
    <row r="30" spans="1:18">
      <c r="J30">
        <v>99721149</v>
      </c>
      <c r="N30" s="32"/>
      <c r="O30" s="39" t="s">
        <v>47</v>
      </c>
      <c r="P30" s="41">
        <v>5744500</v>
      </c>
      <c r="Q30" s="23"/>
      <c r="R30" s="23"/>
    </row>
    <row r="31" spans="1:18">
      <c r="N31" s="32"/>
      <c r="O31" s="39"/>
      <c r="P31" s="41"/>
      <c r="Q31" s="23"/>
      <c r="R31" s="23"/>
    </row>
    <row r="32" spans="1:18">
      <c r="N32" s="32" t="s">
        <v>216</v>
      </c>
      <c r="O32" s="33" t="s">
        <v>212</v>
      </c>
      <c r="P32" s="29">
        <f>SUM(P33:P34)</f>
        <v>4123800</v>
      </c>
      <c r="Q32" s="32"/>
      <c r="R32" s="34"/>
    </row>
    <row r="33" spans="14:18">
      <c r="N33" s="32" t="s">
        <v>87</v>
      </c>
      <c r="O33" s="32" t="s">
        <v>45</v>
      </c>
      <c r="P33" s="32">
        <v>4123800</v>
      </c>
      <c r="Q33" s="32"/>
      <c r="R33" s="34"/>
    </row>
    <row r="34" spans="14:18">
      <c r="N34" s="32"/>
      <c r="O34" s="39"/>
      <c r="P34" s="41"/>
      <c r="Q34" s="23"/>
      <c r="R34" s="23"/>
    </row>
  </sheetData>
  <mergeCells count="25">
    <mergeCell ref="N4:P5"/>
    <mergeCell ref="Q4:Q5"/>
    <mergeCell ref="R4:R5"/>
    <mergeCell ref="A17:A18"/>
    <mergeCell ref="B17:B18"/>
    <mergeCell ref="F11:F12"/>
    <mergeCell ref="G11:G12"/>
    <mergeCell ref="A10:A11"/>
    <mergeCell ref="B10:B11"/>
    <mergeCell ref="F13:F14"/>
    <mergeCell ref="G13:G14"/>
    <mergeCell ref="F18:F19"/>
    <mergeCell ref="G18:G19"/>
    <mergeCell ref="L4:L5"/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M4:M5"/>
  </mergeCells>
  <pageMargins left="0.7" right="0.7" top="0.75" bottom="0.75" header="0.3" footer="0.3"/>
  <pageSetup paperSize="9" scale="6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15BB-3115-4A82-989E-C9E14ED56E86}">
  <dimension ref="A1:T30"/>
  <sheetViews>
    <sheetView view="pageBreakPreview" topLeftCell="A5" zoomScale="80" zoomScaleNormal="100" zoomScaleSheetLayoutView="80" workbookViewId="0">
      <selection activeCell="H13" sqref="H13"/>
    </sheetView>
  </sheetViews>
  <sheetFormatPr defaultColWidth="9" defaultRowHeight="14.5"/>
  <cols>
    <col min="1" max="1" width="5.1796875" style="4" customWidth="1"/>
    <col min="2" max="2" width="33.726562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24.6328125" customWidth="1"/>
    <col min="12" max="12" width="14.90625" style="4" customWidth="1"/>
    <col min="13" max="13" width="13.54296875" customWidth="1"/>
    <col min="14" max="14" width="23.81640625" customWidth="1"/>
    <col min="15" max="15" width="14.54296875" customWidth="1"/>
    <col min="16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232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244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118"/>
      <c r="D6" s="118"/>
      <c r="E6" s="119">
        <v>835801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155" t="s">
        <v>233</v>
      </c>
      <c r="C7" s="156" t="s">
        <v>234</v>
      </c>
      <c r="D7" s="156" t="s">
        <v>235</v>
      </c>
      <c r="E7" s="119">
        <v>99164199</v>
      </c>
      <c r="F7" s="9"/>
      <c r="G7" s="9"/>
      <c r="H7" s="10"/>
      <c r="I7" s="10"/>
      <c r="J7" s="10"/>
      <c r="K7" s="10"/>
      <c r="L7" s="59"/>
      <c r="M7" s="32"/>
      <c r="N7" s="29" t="s">
        <v>211</v>
      </c>
      <c r="O7" s="33" t="s">
        <v>212</v>
      </c>
      <c r="P7" s="32" t="e">
        <f>SUM(#REF!+P15+P24+P28)</f>
        <v>#REF!</v>
      </c>
      <c r="Q7" s="32"/>
      <c r="R7" s="33"/>
    </row>
    <row r="8" spans="1:20" s="2" customFormat="1" ht="20" customHeight="1">
      <c r="A8" s="8"/>
      <c r="B8" s="155" t="s">
        <v>236</v>
      </c>
      <c r="C8" s="86"/>
      <c r="D8" s="86"/>
      <c r="E8" s="10"/>
      <c r="F8" s="86"/>
      <c r="G8" s="9"/>
      <c r="H8" s="10"/>
      <c r="I8" s="10"/>
      <c r="J8" s="10"/>
      <c r="K8" s="10"/>
      <c r="L8" s="59"/>
      <c r="M8" s="32"/>
      <c r="N8" s="29"/>
      <c r="O8" s="33"/>
      <c r="P8" s="32"/>
      <c r="Q8" s="32"/>
      <c r="R8" s="33"/>
    </row>
    <row r="9" spans="1:20" s="2" customFormat="1" ht="20" customHeight="1">
      <c r="A9" s="8">
        <v>2</v>
      </c>
      <c r="B9" s="9" t="s">
        <v>237</v>
      </c>
      <c r="C9" s="16"/>
      <c r="D9" s="16"/>
      <c r="E9" s="10"/>
      <c r="F9" s="120"/>
      <c r="G9" s="118"/>
      <c r="H9" s="10"/>
      <c r="I9" s="10"/>
      <c r="J9" s="10"/>
      <c r="K9" s="10"/>
      <c r="L9" s="59"/>
      <c r="M9" s="47"/>
      <c r="N9" s="29" t="s">
        <v>43</v>
      </c>
      <c r="O9" s="29"/>
      <c r="P9" s="29"/>
      <c r="Q9" s="29"/>
      <c r="R9" s="34"/>
    </row>
    <row r="10" spans="1:20" s="2" customFormat="1" ht="20" customHeight="1">
      <c r="A10" s="154" t="s">
        <v>33</v>
      </c>
      <c r="B10" s="157" t="s">
        <v>238</v>
      </c>
      <c r="C10" s="16"/>
      <c r="D10" s="16"/>
      <c r="E10" s="10"/>
      <c r="F10" s="158" t="s">
        <v>235</v>
      </c>
      <c r="G10" s="170" t="s">
        <v>273</v>
      </c>
      <c r="H10" s="10">
        <v>1055000</v>
      </c>
      <c r="I10" s="10">
        <f>150000+450000+235000+220000</f>
        <v>1055000</v>
      </c>
      <c r="J10" s="10"/>
      <c r="K10" s="10"/>
      <c r="L10" s="59"/>
      <c r="M10" s="47"/>
      <c r="N10" s="29"/>
      <c r="O10" s="29"/>
      <c r="P10" s="29"/>
      <c r="Q10" s="29"/>
      <c r="R10" s="34"/>
    </row>
    <row r="11" spans="1:20" s="2" customFormat="1" ht="20" customHeight="1">
      <c r="A11" s="8" t="s">
        <v>34</v>
      </c>
      <c r="B11" s="9" t="s">
        <v>239</v>
      </c>
      <c r="C11" s="9"/>
      <c r="D11" s="9"/>
      <c r="E11" s="10"/>
      <c r="F11" s="158" t="s">
        <v>235</v>
      </c>
      <c r="G11" s="171" t="s">
        <v>274</v>
      </c>
      <c r="H11" s="10">
        <v>4886000</v>
      </c>
      <c r="I11" s="10">
        <f>461000+1050000+1475000+1900000</f>
        <v>4886000</v>
      </c>
      <c r="J11" s="10">
        <f>H11-I11</f>
        <v>0</v>
      </c>
      <c r="K11" s="115"/>
      <c r="L11" s="66"/>
      <c r="M11" s="47"/>
      <c r="N11" s="32" t="s">
        <v>21</v>
      </c>
      <c r="O11" s="32" t="s">
        <v>45</v>
      </c>
      <c r="P11" s="32">
        <v>8108500</v>
      </c>
      <c r="Q11" s="32"/>
      <c r="R11" s="34"/>
      <c r="T11" s="15"/>
    </row>
    <row r="12" spans="1:20" s="2" customFormat="1" ht="20" customHeight="1">
      <c r="A12" s="8" t="s">
        <v>35</v>
      </c>
      <c r="B12" s="155" t="s">
        <v>240</v>
      </c>
      <c r="C12" s="9"/>
      <c r="D12" s="9"/>
      <c r="E12" s="10"/>
      <c r="F12" s="158" t="s">
        <v>235</v>
      </c>
      <c r="G12" s="171" t="s">
        <v>275</v>
      </c>
      <c r="H12" s="10">
        <f>1231000+106700</f>
        <v>1337700</v>
      </c>
      <c r="I12" s="10">
        <f>452000+160000+619000</f>
        <v>1231000</v>
      </c>
      <c r="J12" s="10">
        <f t="shared" ref="J12:J14" si="0">H12-I12</f>
        <v>106700</v>
      </c>
      <c r="K12" s="89"/>
      <c r="L12" s="66"/>
      <c r="M12" s="46"/>
      <c r="N12" s="32"/>
      <c r="O12" s="39" t="s">
        <v>46</v>
      </c>
      <c r="P12" s="32">
        <v>47730</v>
      </c>
      <c r="Q12" s="32"/>
      <c r="R12" s="34"/>
      <c r="T12" s="15"/>
    </row>
    <row r="13" spans="1:20" s="2" customFormat="1" ht="20" customHeight="1">
      <c r="A13" s="8" t="s">
        <v>36</v>
      </c>
      <c r="B13" s="155" t="s">
        <v>241</v>
      </c>
      <c r="C13" s="9"/>
      <c r="D13" s="9"/>
      <c r="E13" s="10"/>
      <c r="F13" s="158" t="s">
        <v>235</v>
      </c>
      <c r="G13" s="171" t="s">
        <v>276</v>
      </c>
      <c r="H13" s="10">
        <f>94780000-31800000</f>
        <v>62980000</v>
      </c>
      <c r="I13" s="10">
        <f>94780000-31800000</f>
        <v>62980000</v>
      </c>
      <c r="J13" s="10">
        <f t="shared" si="0"/>
        <v>0</v>
      </c>
      <c r="K13" s="10"/>
      <c r="L13" s="66"/>
      <c r="M13" s="47"/>
      <c r="N13" s="32"/>
      <c r="O13" s="39" t="s">
        <v>47</v>
      </c>
      <c r="P13" s="41">
        <v>6318000</v>
      </c>
      <c r="Q13" s="32"/>
      <c r="R13" s="34"/>
      <c r="T13" s="15"/>
    </row>
    <row r="14" spans="1:20" s="2" customFormat="1" ht="20" customHeight="1">
      <c r="A14" s="8" t="s">
        <v>37</v>
      </c>
      <c r="B14" s="9" t="s">
        <v>242</v>
      </c>
      <c r="C14" s="9"/>
      <c r="D14" s="9"/>
      <c r="E14" s="10"/>
      <c r="F14" s="158" t="s">
        <v>235</v>
      </c>
      <c r="G14" s="169" t="s">
        <v>272</v>
      </c>
      <c r="H14" s="10">
        <f>4996000+24745300</f>
        <v>29741300</v>
      </c>
      <c r="I14" s="10">
        <f>4996000+5090000+10254900+1499900+3162500+2498000+440000+1800000</f>
        <v>29741300</v>
      </c>
      <c r="J14" s="10">
        <f t="shared" si="0"/>
        <v>0</v>
      </c>
      <c r="K14" s="21"/>
      <c r="L14" s="66"/>
      <c r="M14" s="47"/>
      <c r="N14" s="32"/>
      <c r="O14" s="33"/>
      <c r="P14" s="29"/>
      <c r="Q14" s="29"/>
      <c r="R14" s="34"/>
    </row>
    <row r="15" spans="1:20" s="2" customFormat="1" ht="20" customHeight="1">
      <c r="A15" s="8" t="s">
        <v>38</v>
      </c>
      <c r="B15" s="9" t="s">
        <v>243</v>
      </c>
      <c r="C15" s="9"/>
      <c r="D15" s="9"/>
      <c r="E15" s="10"/>
      <c r="F15" s="151"/>
      <c r="G15" s="145"/>
      <c r="H15" s="10"/>
      <c r="I15" s="10"/>
      <c r="J15" s="10"/>
      <c r="K15" s="10"/>
      <c r="L15" s="66"/>
      <c r="M15" s="47"/>
      <c r="N15" s="32" t="s">
        <v>214</v>
      </c>
      <c r="O15" s="33" t="s">
        <v>212</v>
      </c>
      <c r="P15" s="29">
        <f>SUM(P16:P22)</f>
        <v>56558100</v>
      </c>
      <c r="Q15" s="32"/>
      <c r="R15" s="34"/>
    </row>
    <row r="16" spans="1:20" s="2" customFormat="1" ht="20" customHeight="1">
      <c r="A16" s="8"/>
      <c r="B16" s="9"/>
      <c r="C16" s="9"/>
      <c r="D16" s="9"/>
      <c r="E16" s="10"/>
      <c r="F16" s="87"/>
      <c r="G16" s="88"/>
      <c r="H16" s="10"/>
      <c r="I16" s="10"/>
      <c r="J16" s="10"/>
      <c r="K16" s="10"/>
      <c r="L16" s="62"/>
      <c r="M16" s="47"/>
      <c r="N16" s="39"/>
      <c r="O16" s="39" t="s">
        <v>107</v>
      </c>
      <c r="P16" s="39">
        <v>2976000</v>
      </c>
      <c r="Q16" s="29"/>
      <c r="R16" s="34"/>
    </row>
    <row r="17" spans="1:18" s="3" customFormat="1" ht="20" customHeight="1">
      <c r="A17" s="11"/>
      <c r="B17" s="11" t="s">
        <v>20</v>
      </c>
      <c r="C17" s="11"/>
      <c r="D17" s="12"/>
      <c r="E17" s="13">
        <f>SUM(E6:E15)</f>
        <v>100000000</v>
      </c>
      <c r="F17" s="12"/>
      <c r="G17" s="12"/>
      <c r="H17" s="13">
        <f>SUM(H6:H16)</f>
        <v>100000000</v>
      </c>
      <c r="I17" s="18">
        <f>SUM(I6:I16)</f>
        <v>99893300</v>
      </c>
      <c r="J17" s="13">
        <f>E17-I17</f>
        <v>106700</v>
      </c>
      <c r="K17" s="13"/>
      <c r="L17" s="147"/>
      <c r="M17" s="48"/>
      <c r="N17" s="32"/>
      <c r="O17" s="33" t="s">
        <v>51</v>
      </c>
      <c r="P17" s="29">
        <v>13335000</v>
      </c>
      <c r="Q17" s="32"/>
      <c r="R17" s="34"/>
    </row>
    <row r="18" spans="1:18" s="37" customFormat="1" ht="20" customHeight="1">
      <c r="A18" s="1"/>
      <c r="J18" s="15"/>
      <c r="K18" s="90"/>
      <c r="L18" s="61"/>
      <c r="M18" s="49"/>
      <c r="N18" s="32"/>
      <c r="O18" s="39" t="s">
        <v>77</v>
      </c>
      <c r="P18" s="41">
        <v>9900000</v>
      </c>
      <c r="Q18" s="32"/>
      <c r="R18" s="34"/>
    </row>
    <row r="19" spans="1:18">
      <c r="N19" s="128"/>
      <c r="O19" s="128" t="s">
        <v>76</v>
      </c>
      <c r="P19" s="142">
        <v>22061000</v>
      </c>
      <c r="Q19" s="129"/>
      <c r="R19" s="129"/>
    </row>
    <row r="20" spans="1:18">
      <c r="G20" s="14"/>
      <c r="H20" s="159" t="s">
        <v>245</v>
      </c>
      <c r="I20" s="117"/>
      <c r="J20" s="14" t="s">
        <v>271</v>
      </c>
      <c r="K20" s="14"/>
      <c r="L20" s="61"/>
      <c r="N20" s="32"/>
      <c r="O20" s="51" t="s">
        <v>108</v>
      </c>
      <c r="P20" s="39">
        <v>2965000</v>
      </c>
      <c r="Q20" s="23"/>
      <c r="R20" s="23"/>
    </row>
    <row r="21" spans="1:18">
      <c r="H21" s="159" t="s">
        <v>246</v>
      </c>
      <c r="I21" s="117">
        <v>45000000</v>
      </c>
      <c r="J21" s="14"/>
      <c r="N21" s="32"/>
      <c r="O21" s="40" t="s">
        <v>47</v>
      </c>
      <c r="P21" s="39">
        <v>4871100</v>
      </c>
      <c r="Q21" s="23"/>
      <c r="R21" s="23"/>
    </row>
    <row r="22" spans="1:18">
      <c r="H22" s="116"/>
      <c r="I22" s="117">
        <v>3990500</v>
      </c>
      <c r="J22" s="14"/>
      <c r="N22" s="39"/>
      <c r="O22" s="39" t="s">
        <v>74</v>
      </c>
      <c r="P22" s="41">
        <v>450000</v>
      </c>
      <c r="Q22" s="23"/>
      <c r="R22" s="23"/>
    </row>
    <row r="23" spans="1:18">
      <c r="I23" s="117">
        <f>SUM(I21:I22)</f>
        <v>48990500</v>
      </c>
      <c r="J23" s="14">
        <v>1055000</v>
      </c>
      <c r="K23" s="14"/>
      <c r="N23" s="32"/>
      <c r="O23" s="33"/>
      <c r="P23" s="29"/>
      <c r="Q23" s="29"/>
      <c r="R23" s="34"/>
    </row>
    <row r="24" spans="1:18">
      <c r="H24" t="s">
        <v>247</v>
      </c>
      <c r="I24" s="160">
        <v>26009500</v>
      </c>
      <c r="J24" s="14">
        <f>SUM(I11+I12)</f>
        <v>6117000</v>
      </c>
      <c r="K24" s="139"/>
      <c r="N24" s="32" t="s">
        <v>215</v>
      </c>
      <c r="O24" s="33" t="s">
        <v>212</v>
      </c>
      <c r="P24" s="29">
        <f>SUM(P25:P26)</f>
        <v>12490700</v>
      </c>
      <c r="Q24" s="32"/>
      <c r="R24" s="34"/>
    </row>
    <row r="25" spans="1:18">
      <c r="H25" s="159" t="s">
        <v>248</v>
      </c>
      <c r="I25" s="117">
        <v>25000000</v>
      </c>
      <c r="J25" s="14">
        <v>25000000</v>
      </c>
      <c r="N25" s="32" t="s">
        <v>134</v>
      </c>
      <c r="O25" s="32" t="s">
        <v>45</v>
      </c>
      <c r="P25" s="32">
        <v>6746200</v>
      </c>
      <c r="Q25" s="32"/>
      <c r="R25" s="34"/>
    </row>
    <row r="26" spans="1:18">
      <c r="I26" s="14">
        <f>SUM(I23:I25)</f>
        <v>100000000</v>
      </c>
      <c r="J26" s="160">
        <v>4741300</v>
      </c>
      <c r="N26" s="32"/>
      <c r="O26" s="39" t="s">
        <v>47</v>
      </c>
      <c r="P26" s="41">
        <v>5744500</v>
      </c>
      <c r="Q26" s="23"/>
      <c r="R26" s="23"/>
    </row>
    <row r="27" spans="1:18">
      <c r="J27" s="14">
        <f>I13</f>
        <v>62980000</v>
      </c>
      <c r="N27" s="32"/>
      <c r="O27" s="39"/>
      <c r="P27" s="41"/>
      <c r="Q27" s="23"/>
      <c r="R27" s="23"/>
    </row>
    <row r="28" spans="1:18">
      <c r="J28" s="14">
        <f>SUM(J21:J27)</f>
        <v>99893300</v>
      </c>
      <c r="N28" s="32" t="s">
        <v>216</v>
      </c>
      <c r="O28" s="33" t="s">
        <v>212</v>
      </c>
      <c r="P28" s="29">
        <f>SUM(P29:P30)</f>
        <v>4123800</v>
      </c>
      <c r="Q28" s="32"/>
      <c r="R28" s="34"/>
    </row>
    <row r="29" spans="1:18">
      <c r="N29" s="32" t="s">
        <v>87</v>
      </c>
      <c r="O29" s="32" t="s">
        <v>45</v>
      </c>
      <c r="P29" s="32">
        <v>4123800</v>
      </c>
      <c r="Q29" s="32"/>
      <c r="R29" s="34"/>
    </row>
    <row r="30" spans="1:18">
      <c r="N30" s="32"/>
      <c r="O30" s="39"/>
      <c r="P30" s="41"/>
      <c r="Q30" s="23"/>
      <c r="R30" s="23"/>
    </row>
  </sheetData>
  <mergeCells count="15">
    <mergeCell ref="N4:P5"/>
    <mergeCell ref="Q4:Q5"/>
    <mergeCell ref="R4:R5"/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C833-9789-4FE2-98CF-E00A6D12364D}">
  <dimension ref="A1:D30"/>
  <sheetViews>
    <sheetView workbookViewId="0">
      <selection activeCell="I6" sqref="I6"/>
    </sheetView>
  </sheetViews>
  <sheetFormatPr defaultRowHeight="14.5"/>
  <cols>
    <col min="1" max="1" width="5.453125" style="4" customWidth="1"/>
    <col min="2" max="2" width="27.81640625" customWidth="1"/>
    <col min="3" max="3" width="12.6328125" customWidth="1"/>
    <col min="4" max="4" width="12.453125" customWidth="1"/>
  </cols>
  <sheetData>
    <row r="1" spans="1:4">
      <c r="A1" s="176" t="s">
        <v>249</v>
      </c>
      <c r="B1" s="176"/>
      <c r="C1" s="176"/>
      <c r="D1" s="176"/>
    </row>
    <row r="3" spans="1:4" s="5" customFormat="1">
      <c r="A3" s="161" t="s">
        <v>0</v>
      </c>
      <c r="B3" s="161" t="s">
        <v>250</v>
      </c>
      <c r="C3" s="225" t="s">
        <v>251</v>
      </c>
      <c r="D3" s="225"/>
    </row>
    <row r="4" spans="1:4">
      <c r="A4" s="162">
        <v>1</v>
      </c>
      <c r="B4" s="163" t="s">
        <v>252</v>
      </c>
      <c r="C4" s="164">
        <v>2497000</v>
      </c>
      <c r="D4" s="164"/>
    </row>
    <row r="5" spans="1:4">
      <c r="A5" s="162"/>
      <c r="B5" s="163" t="s">
        <v>254</v>
      </c>
      <c r="C5" s="164">
        <v>5090000</v>
      </c>
      <c r="D5" s="164"/>
    </row>
    <row r="6" spans="1:4">
      <c r="A6" s="162"/>
      <c r="B6" s="163" t="s">
        <v>254</v>
      </c>
      <c r="C6" s="164">
        <v>440000</v>
      </c>
      <c r="D6" s="164"/>
    </row>
    <row r="7" spans="1:4">
      <c r="A7" s="162"/>
      <c r="B7" s="163" t="s">
        <v>256</v>
      </c>
      <c r="C7" s="164">
        <v>3162500</v>
      </c>
      <c r="D7" s="164"/>
    </row>
    <row r="8" spans="1:4">
      <c r="A8" s="162">
        <v>2</v>
      </c>
      <c r="B8" s="163" t="s">
        <v>253</v>
      </c>
      <c r="C8" s="164">
        <v>2499000</v>
      </c>
      <c r="D8" s="164"/>
    </row>
    <row r="9" spans="1:4">
      <c r="A9" s="162"/>
      <c r="B9" s="163" t="s">
        <v>253</v>
      </c>
      <c r="C9" s="164">
        <v>1499900</v>
      </c>
      <c r="D9" s="164"/>
    </row>
    <row r="10" spans="1:4">
      <c r="A10" s="162"/>
      <c r="B10" s="163" t="s">
        <v>255</v>
      </c>
      <c r="C10" s="164">
        <v>10254900</v>
      </c>
      <c r="D10" s="164"/>
    </row>
    <row r="11" spans="1:4">
      <c r="A11" s="162">
        <v>3</v>
      </c>
      <c r="B11" s="163" t="s">
        <v>257</v>
      </c>
      <c r="C11" s="164">
        <v>2498000</v>
      </c>
      <c r="D11" s="164"/>
    </row>
    <row r="12" spans="1:4">
      <c r="A12" s="162"/>
      <c r="B12" s="163" t="s">
        <v>257</v>
      </c>
      <c r="C12" s="164">
        <v>1800000</v>
      </c>
      <c r="D12" s="164"/>
    </row>
    <row r="13" spans="1:4">
      <c r="A13" s="162"/>
      <c r="B13" s="165"/>
      <c r="C13" s="164"/>
      <c r="D13" s="164">
        <f>SUM(C4:C12)</f>
        <v>29741300</v>
      </c>
    </row>
    <row r="14" spans="1:4">
      <c r="A14" s="162">
        <v>1</v>
      </c>
      <c r="B14" s="166" t="s">
        <v>258</v>
      </c>
      <c r="C14" s="164">
        <v>461000</v>
      </c>
      <c r="D14" s="164"/>
    </row>
    <row r="15" spans="1:4">
      <c r="A15" s="162"/>
      <c r="B15" s="166" t="s">
        <v>259</v>
      </c>
      <c r="C15" s="164">
        <v>1050000</v>
      </c>
      <c r="D15" s="164"/>
    </row>
    <row r="16" spans="1:4">
      <c r="A16" s="162"/>
      <c r="B16" s="166" t="s">
        <v>260</v>
      </c>
      <c r="C16" s="164">
        <v>1475000</v>
      </c>
      <c r="D16" s="164"/>
    </row>
    <row r="17" spans="1:4">
      <c r="A17" s="162"/>
      <c r="B17" s="166" t="s">
        <v>261</v>
      </c>
      <c r="C17" s="164">
        <v>1900000</v>
      </c>
      <c r="D17" s="164"/>
    </row>
    <row r="18" spans="1:4">
      <c r="A18" s="162"/>
      <c r="B18" s="23"/>
      <c r="C18" s="164"/>
      <c r="D18" s="164">
        <f>SUM(C14:C17)</f>
        <v>4886000</v>
      </c>
    </row>
    <row r="19" spans="1:4">
      <c r="A19" s="162">
        <v>1</v>
      </c>
      <c r="B19" s="166" t="s">
        <v>262</v>
      </c>
      <c r="C19" s="164">
        <v>452000</v>
      </c>
      <c r="D19" s="164"/>
    </row>
    <row r="20" spans="1:4">
      <c r="A20" s="162"/>
      <c r="B20" s="166" t="s">
        <v>263</v>
      </c>
      <c r="C20" s="164">
        <v>160000</v>
      </c>
      <c r="D20" s="23"/>
    </row>
    <row r="21" spans="1:4">
      <c r="A21" s="162"/>
      <c r="B21" s="166" t="s">
        <v>264</v>
      </c>
      <c r="C21" s="164">
        <v>619000</v>
      </c>
      <c r="D21" s="23"/>
    </row>
    <row r="22" spans="1:4">
      <c r="A22" s="162"/>
      <c r="B22" s="23"/>
      <c r="C22" s="23"/>
      <c r="D22" s="164">
        <f>SUM(C19:C21)</f>
        <v>1231000</v>
      </c>
    </row>
    <row r="23" spans="1:4">
      <c r="A23" s="162">
        <v>1</v>
      </c>
      <c r="B23" s="166" t="s">
        <v>265</v>
      </c>
      <c r="C23" s="164">
        <v>150000</v>
      </c>
      <c r="D23" s="23"/>
    </row>
    <row r="24" spans="1:4">
      <c r="A24" s="162"/>
      <c r="B24" s="166" t="s">
        <v>266</v>
      </c>
      <c r="C24" s="164">
        <v>450000</v>
      </c>
      <c r="D24" s="23"/>
    </row>
    <row r="25" spans="1:4">
      <c r="A25" s="162"/>
      <c r="B25" s="166" t="s">
        <v>267</v>
      </c>
      <c r="C25" s="164">
        <v>235000</v>
      </c>
      <c r="D25" s="23"/>
    </row>
    <row r="26" spans="1:4">
      <c r="A26" s="162"/>
      <c r="B26" s="166" t="s">
        <v>268</v>
      </c>
      <c r="C26" s="164">
        <v>220000</v>
      </c>
      <c r="D26" s="23"/>
    </row>
    <row r="27" spans="1:4">
      <c r="A27" s="162"/>
      <c r="B27" s="23"/>
      <c r="C27" s="23"/>
      <c r="D27" s="164">
        <f>SUM(C23:C26)</f>
        <v>1055000</v>
      </c>
    </row>
    <row r="28" spans="1:4">
      <c r="A28" s="162">
        <v>1</v>
      </c>
      <c r="B28" s="166" t="s">
        <v>269</v>
      </c>
      <c r="C28" s="164">
        <v>62980000</v>
      </c>
      <c r="D28" s="23"/>
    </row>
    <row r="29" spans="1:4">
      <c r="A29" s="162"/>
      <c r="B29" s="23"/>
      <c r="C29" s="23"/>
      <c r="D29" s="164">
        <f>C28</f>
        <v>62980000</v>
      </c>
    </row>
    <row r="30" spans="1:4">
      <c r="A30" s="162"/>
      <c r="B30" s="167" t="s">
        <v>270</v>
      </c>
      <c r="C30" s="168">
        <f>SUM(C4:C29)</f>
        <v>99893300</v>
      </c>
      <c r="D30" s="168">
        <f>SUM(D4:D29)</f>
        <v>99893300</v>
      </c>
    </row>
  </sheetData>
  <mergeCells count="2">
    <mergeCell ref="C3:D3"/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37C9-8B3B-418D-8ABE-E07F6F16F75D}">
  <dimension ref="A1:T30"/>
  <sheetViews>
    <sheetView view="pageBreakPreview" topLeftCell="A5" zoomScale="80" zoomScaleNormal="100" zoomScaleSheetLayoutView="80" workbookViewId="0">
      <selection activeCell="I11" sqref="I11"/>
    </sheetView>
  </sheetViews>
  <sheetFormatPr defaultColWidth="9" defaultRowHeight="14.5"/>
  <cols>
    <col min="1" max="1" width="5.1796875" style="4" customWidth="1"/>
    <col min="2" max="2" width="33.726562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7.81640625" customWidth="1"/>
    <col min="9" max="9" width="13.90625" customWidth="1"/>
    <col min="10" max="10" width="19.36328125" customWidth="1"/>
    <col min="11" max="11" width="24.6328125" customWidth="1"/>
    <col min="12" max="12" width="14.90625" style="4" customWidth="1"/>
    <col min="13" max="13" width="13.54296875" customWidth="1"/>
    <col min="14" max="14" width="23.81640625" customWidth="1"/>
    <col min="15" max="15" width="14.54296875" customWidth="1"/>
    <col min="16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277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244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118"/>
      <c r="D6" s="118"/>
      <c r="E6" s="119">
        <v>106700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170" t="s">
        <v>278</v>
      </c>
      <c r="C7" s="169" t="s">
        <v>279</v>
      </c>
      <c r="D7" s="169" t="s">
        <v>280</v>
      </c>
      <c r="E7" s="119">
        <v>99893300</v>
      </c>
      <c r="F7" s="9"/>
      <c r="G7" s="9"/>
      <c r="H7" s="10"/>
      <c r="I7" s="10"/>
      <c r="J7" s="10"/>
      <c r="K7" s="10"/>
      <c r="L7" s="59"/>
      <c r="M7" s="32"/>
      <c r="N7" s="29" t="s">
        <v>211</v>
      </c>
      <c r="O7" s="33" t="s">
        <v>212</v>
      </c>
      <c r="P7" s="32" t="e">
        <f>SUM(#REF!+P15+P24+P28)</f>
        <v>#REF!</v>
      </c>
      <c r="Q7" s="32"/>
      <c r="R7" s="33"/>
    </row>
    <row r="8" spans="1:20" s="2" customFormat="1" ht="20" customHeight="1">
      <c r="A8" s="8"/>
      <c r="B8" s="155" t="s">
        <v>236</v>
      </c>
      <c r="C8" s="86"/>
      <c r="D8" s="86"/>
      <c r="E8" s="10"/>
      <c r="F8" s="86"/>
      <c r="G8" s="9"/>
      <c r="H8" s="10"/>
      <c r="I8" s="10"/>
      <c r="J8" s="10"/>
      <c r="K8" s="10"/>
      <c r="L8" s="59"/>
      <c r="M8" s="32"/>
      <c r="N8" s="29"/>
      <c r="O8" s="33"/>
      <c r="P8" s="32"/>
      <c r="Q8" s="32"/>
      <c r="R8" s="33"/>
    </row>
    <row r="9" spans="1:20" s="2" customFormat="1" ht="20" customHeight="1">
      <c r="A9" s="8">
        <v>2</v>
      </c>
      <c r="B9" s="9" t="s">
        <v>237</v>
      </c>
      <c r="C9" s="16"/>
      <c r="D9" s="16"/>
      <c r="E9" s="10"/>
      <c r="F9" s="120"/>
      <c r="G9" s="118"/>
      <c r="H9" s="10"/>
      <c r="I9" s="10"/>
      <c r="J9" s="10"/>
      <c r="K9" s="10"/>
      <c r="L9" s="59"/>
      <c r="M9" s="47"/>
      <c r="N9" s="29" t="s">
        <v>43</v>
      </c>
      <c r="O9" s="29"/>
      <c r="P9" s="29"/>
      <c r="Q9" s="29"/>
      <c r="R9" s="34"/>
    </row>
    <row r="10" spans="1:20" s="2" customFormat="1" ht="20" customHeight="1">
      <c r="A10" s="154" t="s">
        <v>33</v>
      </c>
      <c r="B10" s="157" t="s">
        <v>238</v>
      </c>
      <c r="C10" s="16"/>
      <c r="D10" s="16"/>
      <c r="E10" s="10"/>
      <c r="F10" s="172" t="s">
        <v>280</v>
      </c>
      <c r="G10" s="170" t="s">
        <v>281</v>
      </c>
      <c r="H10" s="10">
        <f>(47935500+32172000)-5790000</f>
        <v>74317500</v>
      </c>
      <c r="I10" s="10">
        <f>6755882+5185500+62369108</f>
        <v>74310490</v>
      </c>
      <c r="J10" s="10">
        <f>H10-I10</f>
        <v>7010</v>
      </c>
      <c r="K10" s="10"/>
      <c r="L10" s="59"/>
      <c r="M10" s="47"/>
      <c r="N10" s="29"/>
      <c r="O10" s="29"/>
      <c r="P10" s="29"/>
      <c r="Q10" s="29"/>
      <c r="R10" s="34"/>
    </row>
    <row r="11" spans="1:20" s="2" customFormat="1" ht="20" customHeight="1">
      <c r="A11" s="8" t="s">
        <v>34</v>
      </c>
      <c r="B11" s="9" t="s">
        <v>239</v>
      </c>
      <c r="C11" s="9"/>
      <c r="D11" s="9"/>
      <c r="E11" s="10"/>
      <c r="F11" s="158"/>
      <c r="G11" s="171"/>
      <c r="H11" s="10"/>
      <c r="I11" s="10">
        <v>0</v>
      </c>
      <c r="J11" s="10">
        <f>H11-I11</f>
        <v>0</v>
      </c>
      <c r="K11" s="115"/>
      <c r="L11" s="66"/>
      <c r="M11" s="47"/>
      <c r="N11" s="32" t="s">
        <v>21</v>
      </c>
      <c r="O11" s="32" t="s">
        <v>45</v>
      </c>
      <c r="P11" s="32">
        <v>8108500</v>
      </c>
      <c r="Q11" s="32"/>
      <c r="R11" s="34"/>
      <c r="T11" s="15"/>
    </row>
    <row r="12" spans="1:20" s="2" customFormat="1" ht="20" customHeight="1">
      <c r="A12" s="8" t="s">
        <v>35</v>
      </c>
      <c r="B12" s="155" t="s">
        <v>240</v>
      </c>
      <c r="C12" s="9"/>
      <c r="D12" s="9"/>
      <c r="E12" s="10"/>
      <c r="F12" s="172" t="s">
        <v>280</v>
      </c>
      <c r="G12" s="170" t="s">
        <v>282</v>
      </c>
      <c r="H12" s="10">
        <v>1372500</v>
      </c>
      <c r="I12" s="10">
        <v>990000</v>
      </c>
      <c r="J12" s="10">
        <f t="shared" ref="J12:J15" si="0">H12-I12</f>
        <v>382500</v>
      </c>
      <c r="K12" s="89"/>
      <c r="L12" s="66"/>
      <c r="M12" s="46"/>
      <c r="N12" s="32"/>
      <c r="O12" s="39" t="s">
        <v>46</v>
      </c>
      <c r="P12" s="32">
        <v>47730</v>
      </c>
      <c r="Q12" s="32"/>
      <c r="R12" s="34"/>
      <c r="T12" s="15"/>
    </row>
    <row r="13" spans="1:20" s="2" customFormat="1" ht="20" customHeight="1">
      <c r="A13" s="8" t="s">
        <v>36</v>
      </c>
      <c r="B13" s="155" t="s">
        <v>241</v>
      </c>
      <c r="C13" s="9"/>
      <c r="D13" s="9"/>
      <c r="E13" s="10"/>
      <c r="F13" s="172" t="s">
        <v>280</v>
      </c>
      <c r="G13" s="170" t="s">
        <v>283</v>
      </c>
      <c r="H13" s="10">
        <v>18520000</v>
      </c>
      <c r="I13" s="10">
        <f>10520000+8000000</f>
        <v>18520000</v>
      </c>
      <c r="J13" s="10">
        <f t="shared" si="0"/>
        <v>0</v>
      </c>
      <c r="K13" s="10"/>
      <c r="L13" s="66"/>
      <c r="M13" s="47"/>
      <c r="N13" s="32"/>
      <c r="O13" s="39" t="s">
        <v>47</v>
      </c>
      <c r="P13" s="41">
        <v>6318000</v>
      </c>
      <c r="Q13" s="32"/>
      <c r="R13" s="34"/>
      <c r="T13" s="15"/>
    </row>
    <row r="14" spans="1:20" s="2" customFormat="1" ht="20" customHeight="1">
      <c r="A14" s="8" t="s">
        <v>37</v>
      </c>
      <c r="B14" s="9" t="s">
        <v>242</v>
      </c>
      <c r="C14" s="9"/>
      <c r="D14" s="9"/>
      <c r="E14" s="10"/>
      <c r="F14" s="158"/>
      <c r="G14" s="169"/>
      <c r="H14" s="10"/>
      <c r="I14" s="10">
        <v>0</v>
      </c>
      <c r="J14" s="10">
        <f t="shared" si="0"/>
        <v>0</v>
      </c>
      <c r="K14" s="21"/>
      <c r="L14" s="66"/>
      <c r="M14" s="47"/>
      <c r="N14" s="32"/>
      <c r="O14" s="33"/>
      <c r="P14" s="29"/>
      <c r="Q14" s="29"/>
      <c r="R14" s="34"/>
    </row>
    <row r="15" spans="1:20" s="2" customFormat="1" ht="20" customHeight="1">
      <c r="A15" s="8" t="s">
        <v>38</v>
      </c>
      <c r="B15" s="9" t="s">
        <v>243</v>
      </c>
      <c r="C15" s="9"/>
      <c r="D15" s="9"/>
      <c r="E15" s="10"/>
      <c r="F15" s="172" t="s">
        <v>280</v>
      </c>
      <c r="G15" s="34" t="s">
        <v>294</v>
      </c>
      <c r="H15" s="10">
        <v>5790000</v>
      </c>
      <c r="I15" s="10">
        <v>5790000</v>
      </c>
      <c r="J15" s="10">
        <f t="shared" si="0"/>
        <v>0</v>
      </c>
      <c r="K15" s="10"/>
      <c r="L15" s="66"/>
      <c r="M15" s="47"/>
      <c r="N15" s="32" t="s">
        <v>214</v>
      </c>
      <c r="O15" s="33" t="s">
        <v>212</v>
      </c>
      <c r="P15" s="29">
        <f>SUM(P16:P22)</f>
        <v>56558100</v>
      </c>
      <c r="Q15" s="32"/>
      <c r="R15" s="34"/>
    </row>
    <row r="16" spans="1:20" s="2" customFormat="1" ht="20" customHeight="1">
      <c r="A16" s="8"/>
      <c r="B16" s="9"/>
      <c r="C16" s="9"/>
      <c r="D16" s="9"/>
      <c r="E16" s="10"/>
      <c r="F16" s="87"/>
      <c r="G16" s="88"/>
      <c r="H16" s="10"/>
      <c r="I16" s="10"/>
      <c r="J16" s="10"/>
      <c r="K16" s="10"/>
      <c r="L16" s="62"/>
      <c r="M16" s="47"/>
      <c r="N16" s="39"/>
      <c r="O16" s="39" t="s">
        <v>107</v>
      </c>
      <c r="P16" s="39">
        <v>2976000</v>
      </c>
      <c r="Q16" s="29"/>
      <c r="R16" s="34"/>
    </row>
    <row r="17" spans="1:18" s="3" customFormat="1" ht="20" customHeight="1">
      <c r="A17" s="11"/>
      <c r="B17" s="11" t="s">
        <v>20</v>
      </c>
      <c r="C17" s="11"/>
      <c r="D17" s="12"/>
      <c r="E17" s="13">
        <f>SUM(E6:E15)</f>
        <v>100000000</v>
      </c>
      <c r="F17" s="12"/>
      <c r="G17" s="12"/>
      <c r="H17" s="13">
        <f>SUM(H6:H16)</f>
        <v>100000000</v>
      </c>
      <c r="I17" s="18">
        <f>SUM(I6:I16)</f>
        <v>99610490</v>
      </c>
      <c r="J17" s="13">
        <f>E17-I17</f>
        <v>389510</v>
      </c>
      <c r="K17" s="13"/>
      <c r="L17" s="147"/>
      <c r="M17" s="48"/>
      <c r="N17" s="32"/>
      <c r="O17" s="33" t="s">
        <v>51</v>
      </c>
      <c r="P17" s="29">
        <v>13335000</v>
      </c>
      <c r="Q17" s="32"/>
      <c r="R17" s="34"/>
    </row>
    <row r="18" spans="1:18" s="37" customFormat="1" ht="20" customHeight="1">
      <c r="A18" s="1"/>
      <c r="J18" s="15"/>
      <c r="K18" s="90"/>
      <c r="L18" s="61"/>
      <c r="M18" s="49"/>
      <c r="N18" s="32"/>
      <c r="O18" s="39" t="s">
        <v>77</v>
      </c>
      <c r="P18" s="41">
        <v>9900000</v>
      </c>
      <c r="Q18" s="32"/>
      <c r="R18" s="34"/>
    </row>
    <row r="19" spans="1:18">
      <c r="N19" s="128"/>
      <c r="O19" s="128" t="s">
        <v>76</v>
      </c>
      <c r="P19" s="142">
        <v>22061000</v>
      </c>
      <c r="Q19" s="129"/>
      <c r="R19" s="129"/>
    </row>
    <row r="20" spans="1:18">
      <c r="G20" s="14"/>
      <c r="H20" s="159" t="s">
        <v>245</v>
      </c>
      <c r="I20" s="117"/>
      <c r="J20" s="174" t="s">
        <v>288</v>
      </c>
      <c r="K20" s="14"/>
      <c r="L20" s="61"/>
      <c r="N20" s="32"/>
      <c r="O20" s="51" t="s">
        <v>108</v>
      </c>
      <c r="P20" s="39">
        <v>2965000</v>
      </c>
      <c r="Q20" s="23"/>
      <c r="R20" s="23"/>
    </row>
    <row r="21" spans="1:18">
      <c r="H21" s="173" t="s">
        <v>284</v>
      </c>
      <c r="I21" s="117">
        <v>62980000</v>
      </c>
      <c r="J21" s="174" t="s">
        <v>289</v>
      </c>
      <c r="K21" s="160">
        <f>47935500+32172000</f>
        <v>80107500</v>
      </c>
      <c r="N21" s="32"/>
      <c r="O21" s="40" t="s">
        <v>47</v>
      </c>
      <c r="P21" s="39">
        <v>4871100</v>
      </c>
      <c r="Q21" s="23"/>
      <c r="R21" s="23"/>
    </row>
    <row r="22" spans="1:18">
      <c r="H22" s="173" t="s">
        <v>285</v>
      </c>
      <c r="I22" s="117">
        <v>4741300</v>
      </c>
      <c r="J22" s="174" t="s">
        <v>290</v>
      </c>
      <c r="K22" s="160"/>
      <c r="N22" s="39"/>
      <c r="O22" s="39" t="s">
        <v>74</v>
      </c>
      <c r="P22" s="41">
        <v>450000</v>
      </c>
      <c r="Q22" s="23"/>
      <c r="R22" s="23"/>
    </row>
    <row r="23" spans="1:18">
      <c r="H23" s="173" t="s">
        <v>286</v>
      </c>
      <c r="I23" s="117">
        <v>32172000</v>
      </c>
      <c r="J23" s="174" t="s">
        <v>291</v>
      </c>
      <c r="K23" s="160">
        <v>1372500</v>
      </c>
      <c r="N23" s="32"/>
      <c r="O23" s="33"/>
      <c r="P23" s="29"/>
      <c r="Q23" s="29"/>
      <c r="R23" s="34"/>
    </row>
    <row r="24" spans="1:18">
      <c r="H24" s="173" t="s">
        <v>287</v>
      </c>
      <c r="I24" s="160">
        <f>SUM(I20:I23)</f>
        <v>99893300</v>
      </c>
      <c r="J24" s="174" t="s">
        <v>292</v>
      </c>
      <c r="K24" s="175"/>
      <c r="N24" s="32" t="s">
        <v>215</v>
      </c>
      <c r="O24" s="33" t="s">
        <v>212</v>
      </c>
      <c r="P24" s="29">
        <f>SUM(P25:P26)</f>
        <v>12490700</v>
      </c>
      <c r="Q24" s="32"/>
      <c r="R24" s="34"/>
    </row>
    <row r="25" spans="1:18">
      <c r="H25" s="159"/>
      <c r="I25" s="117"/>
      <c r="J25" s="174" t="s">
        <v>293</v>
      </c>
      <c r="K25" s="160">
        <v>18520000</v>
      </c>
      <c r="N25" s="32" t="s">
        <v>134</v>
      </c>
      <c r="O25" s="32" t="s">
        <v>45</v>
      </c>
      <c r="P25" s="32">
        <v>6746200</v>
      </c>
      <c r="Q25" s="32"/>
      <c r="R25" s="34"/>
    </row>
    <row r="26" spans="1:18">
      <c r="I26" s="14"/>
      <c r="J26" s="160"/>
      <c r="K26" s="160">
        <f>SUM(K21:K25)</f>
        <v>100000000</v>
      </c>
      <c r="N26" s="32"/>
      <c r="O26" s="39" t="s">
        <v>47</v>
      </c>
      <c r="P26" s="41">
        <v>5744500</v>
      </c>
      <c r="Q26" s="23"/>
      <c r="R26" s="23"/>
    </row>
    <row r="27" spans="1:18">
      <c r="J27" s="14"/>
      <c r="N27" s="32"/>
      <c r="O27" s="39"/>
      <c r="P27" s="41"/>
      <c r="Q27" s="23"/>
      <c r="R27" s="23"/>
    </row>
    <row r="28" spans="1:18">
      <c r="J28" s="14"/>
      <c r="N28" s="32" t="s">
        <v>216</v>
      </c>
      <c r="O28" s="33" t="s">
        <v>212</v>
      </c>
      <c r="P28" s="29">
        <f>SUM(P29:P30)</f>
        <v>4123800</v>
      </c>
      <c r="Q28" s="32"/>
      <c r="R28" s="34"/>
    </row>
    <row r="29" spans="1:18">
      <c r="N29" s="32" t="s">
        <v>87</v>
      </c>
      <c r="O29" s="32" t="s">
        <v>45</v>
      </c>
      <c r="P29" s="32">
        <v>4123800</v>
      </c>
      <c r="Q29" s="32"/>
      <c r="R29" s="34"/>
    </row>
    <row r="30" spans="1:18">
      <c r="N30" s="32"/>
      <c r="O30" s="39"/>
      <c r="P30" s="41"/>
      <c r="Q30" s="23"/>
      <c r="R30" s="23"/>
    </row>
  </sheetData>
  <mergeCells count="15"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L4:L5"/>
    <mergeCell ref="M4:M5"/>
    <mergeCell ref="N4:P5"/>
    <mergeCell ref="Q4:Q5"/>
    <mergeCell ref="R4:R5"/>
  </mergeCells>
  <pageMargins left="0.7" right="0.7" top="0.75" bottom="0.75" header="0.3" footer="0.3"/>
  <pageSetup paperSize="9" scale="6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B4FD-9EEC-428A-8B0B-601D34BD2AF1}">
  <dimension ref="A1:G41"/>
  <sheetViews>
    <sheetView tabSelected="1" topLeftCell="A4" workbookViewId="0">
      <selection activeCell="D43" sqref="D43"/>
    </sheetView>
  </sheetViews>
  <sheetFormatPr defaultRowHeight="14.5"/>
  <cols>
    <col min="1" max="1" width="5.453125" style="4" customWidth="1"/>
    <col min="2" max="2" width="41.08984375" customWidth="1"/>
    <col min="3" max="3" width="12.6328125" customWidth="1"/>
    <col min="4" max="4" width="12.453125" customWidth="1"/>
  </cols>
  <sheetData>
    <row r="1" spans="1:7">
      <c r="A1" s="176" t="s">
        <v>295</v>
      </c>
      <c r="B1" s="176"/>
      <c r="C1" s="176"/>
      <c r="D1" s="176"/>
    </row>
    <row r="3" spans="1:7" s="5" customFormat="1">
      <c r="A3" s="161" t="s">
        <v>0</v>
      </c>
      <c r="B3" s="161" t="s">
        <v>296</v>
      </c>
      <c r="C3" s="225" t="s">
        <v>251</v>
      </c>
      <c r="D3" s="225"/>
    </row>
    <row r="4" spans="1:7" s="227" customFormat="1">
      <c r="A4" s="226">
        <v>1</v>
      </c>
      <c r="B4" s="229" t="s">
        <v>314</v>
      </c>
      <c r="C4" s="226"/>
      <c r="D4" s="226"/>
    </row>
    <row r="5" spans="1:7">
      <c r="A5" s="162"/>
      <c r="B5" s="230" t="s">
        <v>297</v>
      </c>
      <c r="C5" s="164">
        <v>10287606</v>
      </c>
      <c r="D5" s="164"/>
    </row>
    <row r="6" spans="1:7">
      <c r="A6" s="162"/>
      <c r="B6" s="230" t="s">
        <v>298</v>
      </c>
      <c r="C6" s="164">
        <v>13525813</v>
      </c>
      <c r="D6" s="164"/>
    </row>
    <row r="7" spans="1:7">
      <c r="A7" s="162"/>
      <c r="B7" s="230" t="s">
        <v>299</v>
      </c>
      <c r="C7" s="164">
        <v>6386000</v>
      </c>
      <c r="D7" s="164"/>
    </row>
    <row r="8" spans="1:7">
      <c r="A8" s="162"/>
      <c r="B8" s="230" t="s">
        <v>300</v>
      </c>
      <c r="C8" s="164">
        <v>4542000</v>
      </c>
      <c r="D8" s="164"/>
    </row>
    <row r="9" spans="1:7">
      <c r="A9" s="162"/>
      <c r="B9" s="230" t="s">
        <v>267</v>
      </c>
      <c r="C9" s="164">
        <v>3493099</v>
      </c>
      <c r="D9" s="164"/>
      <c r="G9" s="228"/>
    </row>
    <row r="10" spans="1:7">
      <c r="A10" s="162"/>
      <c r="B10" s="230" t="s">
        <v>301</v>
      </c>
      <c r="C10" s="164">
        <v>33500</v>
      </c>
      <c r="D10" s="164"/>
    </row>
    <row r="11" spans="1:7">
      <c r="A11" s="162"/>
      <c r="B11" s="230" t="s">
        <v>302</v>
      </c>
      <c r="C11" s="164">
        <v>4950000</v>
      </c>
      <c r="D11" s="164"/>
    </row>
    <row r="12" spans="1:7">
      <c r="A12" s="162"/>
      <c r="B12" s="230" t="s">
        <v>303</v>
      </c>
      <c r="C12" s="164">
        <v>9001000</v>
      </c>
      <c r="D12" s="164"/>
    </row>
    <row r="13" spans="1:7">
      <c r="A13" s="162"/>
      <c r="B13" s="230" t="s">
        <v>304</v>
      </c>
      <c r="C13" s="164">
        <v>3114535</v>
      </c>
      <c r="D13" s="164"/>
    </row>
    <row r="14" spans="1:7">
      <c r="A14" s="162"/>
      <c r="B14" s="230" t="s">
        <v>305</v>
      </c>
      <c r="C14" s="164">
        <v>2862000</v>
      </c>
      <c r="D14" s="164"/>
    </row>
    <row r="15" spans="1:7">
      <c r="A15" s="162"/>
      <c r="B15" s="230" t="s">
        <v>306</v>
      </c>
      <c r="C15" s="164">
        <v>369020</v>
      </c>
      <c r="D15" s="164"/>
    </row>
    <row r="16" spans="1:7">
      <c r="A16" s="162"/>
      <c r="B16" s="230" t="s">
        <v>307</v>
      </c>
      <c r="C16" s="164">
        <v>3474535</v>
      </c>
      <c r="D16" s="164"/>
    </row>
    <row r="17" spans="1:4">
      <c r="A17" s="162"/>
      <c r="B17" s="230" t="s">
        <v>268</v>
      </c>
      <c r="C17" s="164">
        <v>330000</v>
      </c>
      <c r="D17" s="164"/>
    </row>
    <row r="18" spans="1:4">
      <c r="A18" s="162"/>
      <c r="B18" s="165"/>
      <c r="C18" s="164"/>
      <c r="D18" s="164">
        <f>SUM(C5:C17)</f>
        <v>62369108</v>
      </c>
    </row>
    <row r="19" spans="1:4">
      <c r="A19" s="162">
        <v>2</v>
      </c>
      <c r="B19" s="229" t="s">
        <v>313</v>
      </c>
      <c r="C19" s="164"/>
      <c r="D19" s="164"/>
    </row>
    <row r="20" spans="1:4">
      <c r="A20" s="162"/>
      <c r="B20" s="230" t="s">
        <v>310</v>
      </c>
      <c r="C20" s="164">
        <v>3190500</v>
      </c>
      <c r="D20" s="164"/>
    </row>
    <row r="21" spans="1:4">
      <c r="A21" s="162"/>
      <c r="B21" s="230" t="s">
        <v>311</v>
      </c>
      <c r="C21" s="164">
        <v>1995000</v>
      </c>
      <c r="D21" s="164"/>
    </row>
    <row r="22" spans="1:4">
      <c r="A22" s="162"/>
      <c r="B22" s="165"/>
      <c r="C22" s="164"/>
      <c r="D22" s="164">
        <f>SUM(C20:C21)</f>
        <v>5185500</v>
      </c>
    </row>
    <row r="23" spans="1:4">
      <c r="A23" s="162">
        <v>3</v>
      </c>
      <c r="B23" s="229" t="s">
        <v>312</v>
      </c>
      <c r="C23" s="164"/>
      <c r="D23" s="164"/>
    </row>
    <row r="24" spans="1:4">
      <c r="A24" s="162"/>
      <c r="B24" s="230" t="s">
        <v>315</v>
      </c>
      <c r="C24" s="164">
        <v>47730</v>
      </c>
      <c r="D24" s="164"/>
    </row>
    <row r="25" spans="1:4">
      <c r="A25" s="162"/>
      <c r="B25" s="230" t="s">
        <v>316</v>
      </c>
      <c r="C25" s="164">
        <v>444725</v>
      </c>
      <c r="D25" s="164"/>
    </row>
    <row r="26" spans="1:4">
      <c r="A26" s="162"/>
      <c r="B26" s="230" t="s">
        <v>317</v>
      </c>
      <c r="C26" s="164">
        <v>5527200</v>
      </c>
      <c r="D26" s="164"/>
    </row>
    <row r="27" spans="1:4">
      <c r="A27" s="162"/>
      <c r="B27" s="230" t="s">
        <v>318</v>
      </c>
      <c r="C27" s="164">
        <v>416000</v>
      </c>
      <c r="D27" s="164"/>
    </row>
    <row r="28" spans="1:4">
      <c r="A28" s="162"/>
      <c r="B28" s="230" t="s">
        <v>319</v>
      </c>
      <c r="C28" s="164">
        <v>320227</v>
      </c>
      <c r="D28" s="164"/>
    </row>
    <row r="29" spans="1:4">
      <c r="A29" s="162"/>
      <c r="B29" s="230"/>
      <c r="C29" s="164"/>
      <c r="D29" s="164">
        <f>SUM(C24:C28)</f>
        <v>6755882</v>
      </c>
    </row>
    <row r="30" spans="1:4">
      <c r="A30" s="162">
        <v>4</v>
      </c>
      <c r="B30" s="229" t="s">
        <v>243</v>
      </c>
      <c r="C30" s="164"/>
      <c r="D30" s="164"/>
    </row>
    <row r="31" spans="1:4">
      <c r="A31" s="162"/>
      <c r="B31" s="230" t="s">
        <v>308</v>
      </c>
      <c r="C31" s="164">
        <f>325000+545000+330000+690000</f>
        <v>1890000</v>
      </c>
      <c r="D31" s="164"/>
    </row>
    <row r="32" spans="1:4">
      <c r="A32" s="162"/>
      <c r="B32" s="230" t="s">
        <v>309</v>
      </c>
      <c r="C32" s="164">
        <v>3900000</v>
      </c>
      <c r="D32" s="164"/>
    </row>
    <row r="33" spans="1:4">
      <c r="A33" s="162"/>
      <c r="B33" s="166"/>
      <c r="C33" s="164"/>
      <c r="D33" s="164">
        <f>SUM(C31:C32)</f>
        <v>5790000</v>
      </c>
    </row>
    <row r="34" spans="1:4">
      <c r="A34" s="162">
        <v>5</v>
      </c>
      <c r="B34" s="230" t="s">
        <v>320</v>
      </c>
      <c r="C34" s="164"/>
      <c r="D34" s="164"/>
    </row>
    <row r="35" spans="1:4">
      <c r="A35" s="162"/>
      <c r="B35" s="230" t="s">
        <v>321</v>
      </c>
      <c r="C35" s="164">
        <v>990000</v>
      </c>
      <c r="D35" s="164"/>
    </row>
    <row r="36" spans="1:4">
      <c r="A36" s="162"/>
      <c r="B36" s="230"/>
      <c r="C36" s="164"/>
      <c r="D36" s="164">
        <f>C35</f>
        <v>990000</v>
      </c>
    </row>
    <row r="37" spans="1:4">
      <c r="A37" s="162">
        <v>6</v>
      </c>
      <c r="B37" s="230" t="s">
        <v>241</v>
      </c>
      <c r="C37" s="164"/>
      <c r="D37" s="164"/>
    </row>
    <row r="38" spans="1:4">
      <c r="A38" s="162"/>
      <c r="B38" s="230" t="s">
        <v>322</v>
      </c>
      <c r="C38" s="164">
        <v>10520000</v>
      </c>
      <c r="D38" s="164"/>
    </row>
    <row r="39" spans="1:4">
      <c r="A39" s="162"/>
      <c r="B39" s="230" t="s">
        <v>323</v>
      </c>
      <c r="C39" s="164">
        <v>8000000</v>
      </c>
      <c r="D39" s="23"/>
    </row>
    <row r="40" spans="1:4">
      <c r="A40" s="162"/>
      <c r="B40" s="23"/>
      <c r="C40" s="23"/>
      <c r="D40" s="164">
        <f>SUM(C38:C39)</f>
        <v>18520000</v>
      </c>
    </row>
    <row r="41" spans="1:4">
      <c r="A41" s="162"/>
      <c r="B41" s="161" t="s">
        <v>270</v>
      </c>
      <c r="C41" s="168">
        <f>SUM(C5:C40)</f>
        <v>99610490</v>
      </c>
      <c r="D41" s="168">
        <f>SUM(D5:D40)</f>
        <v>99610490</v>
      </c>
    </row>
  </sheetData>
  <mergeCells count="2">
    <mergeCell ref="A1:D1"/>
    <mergeCell ref="C3:D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6E15-D741-454F-8D2B-36ABB71B418A}">
  <dimension ref="A1:T29"/>
  <sheetViews>
    <sheetView view="pageBreakPreview" topLeftCell="B6" zoomScale="80" zoomScaleNormal="100" zoomScaleSheetLayoutView="80" workbookViewId="0">
      <selection activeCell="H10" sqref="H10"/>
    </sheetView>
  </sheetViews>
  <sheetFormatPr defaultColWidth="9" defaultRowHeight="14.5"/>
  <cols>
    <col min="1" max="1" width="5.1796875" style="4" customWidth="1"/>
    <col min="2" max="2" width="29.1796875" customWidth="1"/>
    <col min="3" max="3" width="12.08984375" customWidth="1"/>
    <col min="4" max="4" width="12.81640625" customWidth="1"/>
    <col min="5" max="5" width="13.1796875" customWidth="1"/>
    <col min="6" max="6" width="12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5.0898437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61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9"/>
      <c r="D6" s="9"/>
      <c r="E6" s="10">
        <v>44531</v>
      </c>
      <c r="F6" s="9"/>
      <c r="G6" s="9"/>
      <c r="H6" s="10"/>
      <c r="I6" s="10"/>
      <c r="J6" s="10"/>
      <c r="K6" s="10"/>
      <c r="L6" s="59"/>
      <c r="M6" s="10"/>
      <c r="N6" s="10"/>
      <c r="O6" s="10"/>
      <c r="P6" s="10"/>
      <c r="Q6" s="10"/>
      <c r="R6" s="9"/>
    </row>
    <row r="7" spans="1:20" s="2" customFormat="1" ht="20" customHeight="1">
      <c r="A7" s="8"/>
      <c r="B7" s="9" t="s">
        <v>31</v>
      </c>
      <c r="C7" s="25" t="s">
        <v>57</v>
      </c>
      <c r="D7" s="25" t="s">
        <v>64</v>
      </c>
      <c r="E7" s="10">
        <v>99955469</v>
      </c>
      <c r="F7" s="9"/>
      <c r="G7" s="9"/>
      <c r="H7" s="10"/>
      <c r="I7" s="10"/>
      <c r="J7" s="10"/>
      <c r="K7" s="10"/>
      <c r="L7" s="59"/>
      <c r="M7" s="32" t="s">
        <v>84</v>
      </c>
      <c r="N7" s="29" t="s">
        <v>85</v>
      </c>
      <c r="O7" s="33" t="s">
        <v>84</v>
      </c>
      <c r="P7" s="32">
        <v>99937617</v>
      </c>
      <c r="Q7" s="32">
        <v>48</v>
      </c>
      <c r="R7" s="33">
        <v>48</v>
      </c>
    </row>
    <row r="8" spans="1:20" s="2" customFormat="1" ht="20" customHeight="1">
      <c r="A8" s="8">
        <v>2</v>
      </c>
      <c r="B8" s="9" t="s">
        <v>32</v>
      </c>
      <c r="C8" s="16"/>
      <c r="D8" s="16"/>
      <c r="E8" s="10"/>
      <c r="F8" s="9"/>
      <c r="G8" s="9"/>
      <c r="H8" s="10"/>
      <c r="I8" s="10"/>
      <c r="J8" s="10"/>
      <c r="K8" s="10"/>
      <c r="L8" s="59"/>
      <c r="M8" s="29"/>
      <c r="N8" s="29" t="s">
        <v>43</v>
      </c>
      <c r="O8" s="29"/>
      <c r="P8" s="29"/>
      <c r="Q8" s="29"/>
      <c r="R8" s="34"/>
    </row>
    <row r="9" spans="1:20" s="2" customFormat="1" ht="20" customHeight="1">
      <c r="A9" s="8" t="s">
        <v>33</v>
      </c>
      <c r="B9" s="9" t="s">
        <v>12</v>
      </c>
      <c r="C9" s="9"/>
      <c r="D9" s="9"/>
      <c r="E9" s="10"/>
      <c r="F9" s="197" t="s">
        <v>64</v>
      </c>
      <c r="G9" s="197" t="s">
        <v>65</v>
      </c>
      <c r="H9" s="10">
        <v>6013023</v>
      </c>
      <c r="I9" s="10">
        <f>2910000+181023+2370000+506000</f>
        <v>5967023</v>
      </c>
      <c r="J9" s="10">
        <f>H9-I9</f>
        <v>46000</v>
      </c>
      <c r="K9" s="17"/>
      <c r="L9" s="108" t="s">
        <v>118</v>
      </c>
      <c r="M9" s="32"/>
      <c r="N9" s="32" t="s">
        <v>86</v>
      </c>
      <c r="O9" s="33" t="s">
        <v>84</v>
      </c>
      <c r="P9" s="29">
        <f>P10</f>
        <v>506000</v>
      </c>
      <c r="Q9" s="29"/>
      <c r="R9" s="34"/>
      <c r="T9" s="15"/>
    </row>
    <row r="10" spans="1:20" s="2" customFormat="1" ht="20" customHeight="1">
      <c r="A10" s="8" t="s">
        <v>34</v>
      </c>
      <c r="B10" s="9" t="s">
        <v>13</v>
      </c>
      <c r="C10" s="9"/>
      <c r="D10" s="9"/>
      <c r="E10" s="10"/>
      <c r="F10" s="195"/>
      <c r="G10" s="198"/>
      <c r="H10" s="10">
        <v>7273000</v>
      </c>
      <c r="I10" s="10">
        <f>1228000+5150000+895000</f>
        <v>7273000</v>
      </c>
      <c r="J10" s="10">
        <f>H10-I10</f>
        <v>0</v>
      </c>
      <c r="K10" s="10"/>
      <c r="L10" s="108" t="s">
        <v>118</v>
      </c>
      <c r="M10" s="29"/>
      <c r="N10" s="32" t="s">
        <v>87</v>
      </c>
      <c r="O10" s="32" t="s">
        <v>45</v>
      </c>
      <c r="P10" s="32">
        <v>506000</v>
      </c>
      <c r="Q10" s="32"/>
      <c r="R10" s="34"/>
      <c r="T10" s="15"/>
    </row>
    <row r="11" spans="1:20" s="2" customFormat="1" ht="20" customHeight="1">
      <c r="A11" s="8" t="s">
        <v>35</v>
      </c>
      <c r="B11" s="9" t="s">
        <v>14</v>
      </c>
      <c r="C11" s="9"/>
      <c r="D11" s="9"/>
      <c r="E11" s="10"/>
      <c r="F11" s="197" t="s">
        <v>64</v>
      </c>
      <c r="G11" s="196" t="s">
        <v>66</v>
      </c>
      <c r="H11" s="10">
        <v>4979957</v>
      </c>
      <c r="I11" s="10">
        <f>4665500+314457</f>
        <v>4979957</v>
      </c>
      <c r="J11" s="10">
        <f>H11-I11</f>
        <v>0</v>
      </c>
      <c r="K11" s="17"/>
      <c r="L11" s="108" t="s">
        <v>118</v>
      </c>
      <c r="M11" s="32"/>
      <c r="N11" s="32"/>
      <c r="O11" s="32"/>
      <c r="P11" s="32"/>
      <c r="Q11" s="32"/>
      <c r="R11" s="34"/>
      <c r="T11" s="15"/>
    </row>
    <row r="12" spans="1:20" s="2" customFormat="1" ht="20" customHeight="1">
      <c r="A12" s="8" t="s">
        <v>36</v>
      </c>
      <c r="B12" s="9" t="s">
        <v>15</v>
      </c>
      <c r="C12" s="9"/>
      <c r="D12" s="9"/>
      <c r="E12" s="10"/>
      <c r="F12" s="195"/>
      <c r="G12" s="193"/>
      <c r="H12" s="10">
        <v>0</v>
      </c>
      <c r="I12" s="10"/>
      <c r="J12" s="10">
        <f>H12-I12</f>
        <v>0</v>
      </c>
      <c r="K12" s="10"/>
      <c r="L12" s="55"/>
      <c r="M12" s="29"/>
      <c r="N12" s="32" t="s">
        <v>88</v>
      </c>
      <c r="O12" s="33" t="s">
        <v>84</v>
      </c>
      <c r="P12" s="29">
        <f>P13</f>
        <v>4665500</v>
      </c>
      <c r="Q12" s="32"/>
      <c r="R12" s="34"/>
      <c r="T12" s="15"/>
    </row>
    <row r="13" spans="1:20" s="2" customFormat="1" ht="20" customHeight="1">
      <c r="A13" s="8" t="s">
        <v>37</v>
      </c>
      <c r="B13" s="9" t="s">
        <v>16</v>
      </c>
      <c r="C13" s="9"/>
      <c r="D13" s="9"/>
      <c r="E13" s="10"/>
      <c r="F13" s="194" t="s">
        <v>72</v>
      </c>
      <c r="G13" s="196" t="s">
        <v>67</v>
      </c>
      <c r="H13" s="10">
        <v>0</v>
      </c>
      <c r="I13" s="10"/>
      <c r="J13" s="10">
        <f t="shared" ref="J13:J17" si="0">H13-I13</f>
        <v>0</v>
      </c>
      <c r="K13" s="21"/>
      <c r="L13" s="60"/>
      <c r="M13" s="29"/>
      <c r="N13" s="32" t="s">
        <v>89</v>
      </c>
      <c r="O13" s="32" t="s">
        <v>47</v>
      </c>
      <c r="P13" s="32">
        <v>4665500</v>
      </c>
      <c r="Q13" s="29"/>
      <c r="R13" s="34"/>
    </row>
    <row r="14" spans="1:20" s="2" customFormat="1" ht="20" customHeight="1">
      <c r="A14" s="8" t="s">
        <v>38</v>
      </c>
      <c r="B14" s="9" t="s">
        <v>17</v>
      </c>
      <c r="C14" s="9"/>
      <c r="D14" s="9"/>
      <c r="E14" s="10"/>
      <c r="F14" s="195"/>
      <c r="G14" s="193"/>
      <c r="H14" s="10">
        <v>930000</v>
      </c>
      <c r="I14" s="10">
        <v>930000</v>
      </c>
      <c r="J14" s="10">
        <f t="shared" si="0"/>
        <v>0</v>
      </c>
      <c r="K14" s="10"/>
      <c r="L14" s="108" t="s">
        <v>118</v>
      </c>
      <c r="M14" s="29"/>
      <c r="N14" s="32"/>
      <c r="O14" s="32"/>
      <c r="P14" s="32"/>
      <c r="Q14" s="32"/>
      <c r="R14" s="34"/>
    </row>
    <row r="15" spans="1:20" s="2" customFormat="1" ht="20" customHeight="1">
      <c r="A15" s="8" t="s">
        <v>39</v>
      </c>
      <c r="B15" s="9" t="s">
        <v>18</v>
      </c>
      <c r="C15" s="9"/>
      <c r="D15" s="9"/>
      <c r="E15" s="10"/>
      <c r="F15" s="197" t="s">
        <v>64</v>
      </c>
      <c r="G15" s="196" t="s">
        <v>68</v>
      </c>
      <c r="H15" s="56">
        <v>50000000</v>
      </c>
      <c r="I15" s="56">
        <f>11712266+600000+30266921+4076000+2279500+995000+62900</f>
        <v>49992587</v>
      </c>
      <c r="J15" s="56">
        <f t="shared" si="0"/>
        <v>7413</v>
      </c>
      <c r="K15" s="74"/>
      <c r="L15" s="105" t="s">
        <v>118</v>
      </c>
      <c r="M15" s="106"/>
      <c r="N15" s="32" t="s">
        <v>90</v>
      </c>
      <c r="O15" s="33" t="s">
        <v>84</v>
      </c>
      <c r="P15" s="29">
        <f>SUM(P16:P18)</f>
        <v>15344023</v>
      </c>
      <c r="Q15" s="32"/>
      <c r="R15" s="34"/>
    </row>
    <row r="16" spans="1:20" s="2" customFormat="1" ht="20" customHeight="1">
      <c r="A16" s="8" t="s">
        <v>40</v>
      </c>
      <c r="B16" s="9" t="s">
        <v>19</v>
      </c>
      <c r="C16" s="9"/>
      <c r="D16" s="9"/>
      <c r="E16" s="10"/>
      <c r="F16" s="195"/>
      <c r="G16" s="193"/>
      <c r="H16" s="56">
        <v>1680000</v>
      </c>
      <c r="I16" s="56">
        <v>1680000</v>
      </c>
      <c r="J16" s="56">
        <f t="shared" si="0"/>
        <v>0</v>
      </c>
      <c r="K16" s="56"/>
      <c r="L16" s="66" t="s">
        <v>118</v>
      </c>
      <c r="M16" s="107"/>
      <c r="N16" s="32" t="s">
        <v>21</v>
      </c>
      <c r="O16" s="32" t="s">
        <v>45</v>
      </c>
      <c r="P16" s="32">
        <v>4138000</v>
      </c>
      <c r="Q16" s="32"/>
      <c r="R16" s="34"/>
    </row>
    <row r="17" spans="1:18" s="2" customFormat="1" ht="20" customHeight="1">
      <c r="A17" s="8" t="s">
        <v>70</v>
      </c>
      <c r="B17" s="9" t="s">
        <v>18</v>
      </c>
      <c r="C17" s="9"/>
      <c r="D17" s="9"/>
      <c r="E17" s="10"/>
      <c r="F17" s="26" t="s">
        <v>71</v>
      </c>
      <c r="G17" s="22" t="s">
        <v>69</v>
      </c>
      <c r="H17" s="56">
        <v>29124020</v>
      </c>
      <c r="I17" s="56">
        <f>3506050+10623000+1133000+4950000+8903000</f>
        <v>29115050</v>
      </c>
      <c r="J17" s="56">
        <f t="shared" si="0"/>
        <v>8970</v>
      </c>
      <c r="K17" s="56"/>
      <c r="L17" s="62" t="s">
        <v>118</v>
      </c>
      <c r="M17" s="107"/>
      <c r="N17" s="35"/>
      <c r="O17" s="32" t="s">
        <v>46</v>
      </c>
      <c r="P17" s="29">
        <v>181023</v>
      </c>
      <c r="Q17" s="32"/>
      <c r="R17" s="34"/>
    </row>
    <row r="18" spans="1:18" s="3" customFormat="1" ht="20" customHeight="1">
      <c r="A18" s="11"/>
      <c r="B18" s="11" t="s">
        <v>20</v>
      </c>
      <c r="C18" s="11"/>
      <c r="D18" s="12"/>
      <c r="E18" s="13">
        <f>SUM(E6:E16)</f>
        <v>100000000</v>
      </c>
      <c r="F18" s="12"/>
      <c r="G18" s="12"/>
      <c r="H18" s="13">
        <f>SUM(H6:H17)</f>
        <v>100000000</v>
      </c>
      <c r="I18" s="18">
        <f>SUM(I6:I17)</f>
        <v>99937617</v>
      </c>
      <c r="J18" s="13">
        <f>SUM(J6:J17)</f>
        <v>62383</v>
      </c>
      <c r="K18" s="13"/>
      <c r="L18" s="61"/>
      <c r="M18" s="35"/>
      <c r="N18" s="35"/>
      <c r="O18" s="32" t="s">
        <v>47</v>
      </c>
      <c r="P18" s="29">
        <v>11025000</v>
      </c>
      <c r="Q18" s="29"/>
      <c r="R18" s="36"/>
    </row>
    <row r="19" spans="1:18" s="37" customFormat="1" ht="20" customHeight="1">
      <c r="A19" s="1"/>
      <c r="I19" s="15"/>
      <c r="J19" s="15"/>
      <c r="K19" s="15"/>
      <c r="L19" s="61"/>
      <c r="M19" s="38"/>
      <c r="N19" s="39"/>
      <c r="O19" s="40"/>
      <c r="P19" s="41"/>
      <c r="Q19" s="41"/>
      <c r="R19" s="42"/>
    </row>
    <row r="20" spans="1:18" s="37" customFormat="1" ht="20" customHeight="1">
      <c r="A20" s="1"/>
      <c r="I20" s="15">
        <v>49992587</v>
      </c>
      <c r="J20" s="15"/>
      <c r="K20" s="15"/>
      <c r="L20" s="4"/>
      <c r="M20" s="38"/>
      <c r="N20" s="39" t="s">
        <v>91</v>
      </c>
      <c r="O20" s="40" t="s">
        <v>84</v>
      </c>
      <c r="P20" s="41">
        <f>SUM(P21:P29)</f>
        <v>79422094</v>
      </c>
      <c r="Q20" s="39"/>
      <c r="R20" s="42"/>
    </row>
    <row r="21" spans="1:18" s="37" customFormat="1" ht="20" customHeight="1">
      <c r="A21" s="1"/>
      <c r="I21" s="37">
        <v>29115050</v>
      </c>
      <c r="L21" s="4"/>
      <c r="M21" s="38"/>
      <c r="N21" s="39" t="s">
        <v>22</v>
      </c>
      <c r="O21" s="39" t="s">
        <v>49</v>
      </c>
      <c r="P21" s="39">
        <v>30266921</v>
      </c>
      <c r="Q21" s="41"/>
      <c r="R21" s="42"/>
    </row>
    <row r="22" spans="1:18" s="37" customFormat="1" ht="20" customHeight="1">
      <c r="A22" s="1"/>
      <c r="I22" s="15">
        <f>SUM(I15+I17)</f>
        <v>79107637</v>
      </c>
      <c r="L22" s="4"/>
      <c r="M22" s="38"/>
      <c r="N22" s="43"/>
      <c r="O22" s="39" t="s">
        <v>50</v>
      </c>
      <c r="P22" s="41">
        <v>1133000</v>
      </c>
      <c r="Q22" s="42"/>
      <c r="R22" s="42"/>
    </row>
    <row r="23" spans="1:18" s="37" customFormat="1" ht="20" customHeight="1">
      <c r="A23" s="1"/>
      <c r="L23" s="4"/>
      <c r="M23" s="38"/>
      <c r="N23" s="43"/>
      <c r="O23" s="39" t="s">
        <v>75</v>
      </c>
      <c r="P23" s="41">
        <v>9861550</v>
      </c>
      <c r="Q23" s="42"/>
      <c r="R23" s="42"/>
    </row>
    <row r="24" spans="1:18" s="37" customFormat="1" ht="20" customHeight="1">
      <c r="A24" s="1"/>
      <c r="L24" s="4"/>
      <c r="M24" s="38"/>
      <c r="N24" s="42"/>
      <c r="O24" s="40" t="s">
        <v>46</v>
      </c>
      <c r="P24" s="41">
        <v>314457</v>
      </c>
      <c r="Q24" s="42"/>
      <c r="R24" s="42"/>
    </row>
    <row r="25" spans="1:18" s="37" customFormat="1" ht="20" customHeight="1">
      <c r="A25" s="1"/>
      <c r="L25" s="4"/>
      <c r="M25" s="38"/>
      <c r="N25" s="42"/>
      <c r="O25" s="40" t="s">
        <v>51</v>
      </c>
      <c r="P25" s="41">
        <v>11618000</v>
      </c>
      <c r="Q25" s="42"/>
      <c r="R25" s="42"/>
    </row>
    <row r="26" spans="1:18" s="37" customFormat="1" ht="20" customHeight="1">
      <c r="A26" s="1"/>
      <c r="L26" s="4"/>
      <c r="M26" s="38"/>
      <c r="N26" s="42"/>
      <c r="O26" s="40" t="s">
        <v>77</v>
      </c>
      <c r="P26" s="41">
        <v>4950000</v>
      </c>
      <c r="Q26" s="42"/>
      <c r="R26" s="42"/>
    </row>
    <row r="27" spans="1:18" s="37" customFormat="1" ht="20" customHeight="1">
      <c r="A27" s="1"/>
      <c r="L27" s="4"/>
      <c r="M27" s="38"/>
      <c r="N27" s="42"/>
      <c r="O27" s="40" t="s">
        <v>76</v>
      </c>
      <c r="P27" s="41">
        <v>8965900</v>
      </c>
      <c r="Q27" s="42"/>
      <c r="R27" s="42"/>
    </row>
    <row r="28" spans="1:18" s="37" customFormat="1" ht="20" customHeight="1">
      <c r="A28" s="1"/>
      <c r="L28" s="4"/>
      <c r="M28" s="38"/>
      <c r="N28" s="42"/>
      <c r="O28" s="40" t="s">
        <v>47</v>
      </c>
      <c r="P28" s="41">
        <v>11712266</v>
      </c>
      <c r="Q28" s="42"/>
      <c r="R28" s="42"/>
    </row>
    <row r="29" spans="1:18" s="37" customFormat="1" ht="20" customHeight="1">
      <c r="A29" s="1"/>
      <c r="L29" s="4"/>
      <c r="M29" s="38"/>
      <c r="N29" s="42"/>
      <c r="O29" s="40" t="s">
        <v>74</v>
      </c>
      <c r="P29" s="41">
        <v>600000</v>
      </c>
      <c r="Q29" s="42"/>
      <c r="R29" s="42"/>
    </row>
  </sheetData>
  <mergeCells count="23">
    <mergeCell ref="A1:R1"/>
    <mergeCell ref="A2:R2"/>
    <mergeCell ref="A4:A5"/>
    <mergeCell ref="B4:B5"/>
    <mergeCell ref="C4:C5"/>
    <mergeCell ref="D4:E4"/>
    <mergeCell ref="F4:H4"/>
    <mergeCell ref="I4:I5"/>
    <mergeCell ref="J4:J5"/>
    <mergeCell ref="K4:K5"/>
    <mergeCell ref="M4:M5"/>
    <mergeCell ref="N4:P5"/>
    <mergeCell ref="L4:L5"/>
    <mergeCell ref="Q4:Q5"/>
    <mergeCell ref="R4:R5"/>
    <mergeCell ref="F13:F14"/>
    <mergeCell ref="G13:G14"/>
    <mergeCell ref="F15:F16"/>
    <mergeCell ref="G15:G16"/>
    <mergeCell ref="F9:F10"/>
    <mergeCell ref="G9:G10"/>
    <mergeCell ref="F11:F12"/>
    <mergeCell ref="G11:G12"/>
  </mergeCells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4AA9-8441-40FF-818F-2F7EECDE3A17}">
  <dimension ref="A1:V21"/>
  <sheetViews>
    <sheetView view="pageBreakPreview" zoomScale="70" zoomScaleNormal="100" zoomScaleSheetLayoutView="70" workbookViewId="0">
      <selection activeCell="Y11" sqref="Y11"/>
    </sheetView>
  </sheetViews>
  <sheetFormatPr defaultColWidth="9" defaultRowHeight="14.5"/>
  <cols>
    <col min="1" max="1" width="5.1796875" style="4" customWidth="1"/>
    <col min="2" max="2" width="21.453125" customWidth="1"/>
    <col min="3" max="3" width="11.6328125" customWidth="1"/>
    <col min="4" max="4" width="12" customWidth="1"/>
    <col min="5" max="5" width="12.453125" customWidth="1"/>
    <col min="6" max="6" width="11.54296875" customWidth="1"/>
    <col min="7" max="7" width="21.7265625" customWidth="1"/>
    <col min="8" max="8" width="13" customWidth="1"/>
    <col min="9" max="19" width="12.6328125" customWidth="1"/>
    <col min="20" max="20" width="12.81640625" customWidth="1"/>
    <col min="22" max="22" width="13.26953125" customWidth="1"/>
  </cols>
  <sheetData>
    <row r="1" spans="1:22">
      <c r="A1" s="176" t="s">
        <v>82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</row>
    <row r="2" spans="1:22">
      <c r="A2" s="176" t="s">
        <v>83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s="1" customFormat="1" ht="28" customHeight="1">
      <c r="A4" s="179" t="s">
        <v>0</v>
      </c>
      <c r="B4" s="179" t="s">
        <v>1</v>
      </c>
      <c r="C4" s="179" t="s">
        <v>6</v>
      </c>
      <c r="D4" s="177" t="s">
        <v>80</v>
      </c>
      <c r="E4" s="178"/>
      <c r="F4" s="177" t="s">
        <v>3</v>
      </c>
      <c r="G4" s="199"/>
      <c r="H4" s="178"/>
      <c r="I4" s="177" t="s">
        <v>78</v>
      </c>
      <c r="J4" s="199"/>
      <c r="K4" s="199"/>
      <c r="L4" s="199"/>
      <c r="M4" s="199"/>
      <c r="N4" s="199"/>
      <c r="O4" s="199"/>
      <c r="P4" s="199"/>
      <c r="Q4" s="199"/>
      <c r="R4" s="199"/>
      <c r="S4" s="188" t="s">
        <v>79</v>
      </c>
      <c r="T4" s="179" t="s">
        <v>4</v>
      </c>
    </row>
    <row r="5" spans="1:22" s="1" customFormat="1" ht="45" customHeight="1">
      <c r="A5" s="179"/>
      <c r="B5" s="179"/>
      <c r="C5" s="179"/>
      <c r="D5" s="7" t="s">
        <v>81</v>
      </c>
      <c r="E5" s="7" t="s">
        <v>9</v>
      </c>
      <c r="F5" s="7" t="s">
        <v>8</v>
      </c>
      <c r="G5" s="7" t="s">
        <v>10</v>
      </c>
      <c r="H5" s="7" t="s">
        <v>9</v>
      </c>
      <c r="I5" s="27">
        <v>521111</v>
      </c>
      <c r="J5" s="28" t="s">
        <v>50</v>
      </c>
      <c r="K5" s="28" t="s">
        <v>75</v>
      </c>
      <c r="L5" s="28" t="s">
        <v>45</v>
      </c>
      <c r="M5" s="28" t="s">
        <v>46</v>
      </c>
      <c r="N5" s="28" t="s">
        <v>51</v>
      </c>
      <c r="O5" s="28" t="s">
        <v>77</v>
      </c>
      <c r="P5" s="28" t="s">
        <v>76</v>
      </c>
      <c r="Q5" s="28" t="s">
        <v>47</v>
      </c>
      <c r="R5" s="30" t="s">
        <v>74</v>
      </c>
      <c r="S5" s="189"/>
      <c r="T5" s="179"/>
    </row>
    <row r="6" spans="1:22" s="2" customFormat="1" ht="20" customHeight="1">
      <c r="A6" s="11">
        <v>1</v>
      </c>
      <c r="B6" s="12" t="s">
        <v>11</v>
      </c>
      <c r="C6" s="9"/>
      <c r="D6" s="9"/>
      <c r="E6" s="10">
        <v>44531</v>
      </c>
      <c r="F6" s="9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2" s="2" customFormat="1" ht="20" customHeight="1">
      <c r="A7" s="8"/>
      <c r="B7" s="9" t="s">
        <v>31</v>
      </c>
      <c r="C7" s="25" t="s">
        <v>57</v>
      </c>
      <c r="D7" s="25" t="s">
        <v>64</v>
      </c>
      <c r="E7" s="10">
        <v>99955469</v>
      </c>
      <c r="F7" s="9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2" s="2" customFormat="1" ht="20" customHeight="1">
      <c r="A8" s="11">
        <v>2</v>
      </c>
      <c r="B8" s="12" t="s">
        <v>73</v>
      </c>
      <c r="C8" s="16"/>
      <c r="D8" s="16"/>
      <c r="E8" s="10"/>
      <c r="F8" s="9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2" s="2" customFormat="1" ht="20" customHeight="1">
      <c r="A9" s="8"/>
      <c r="B9" s="9" t="s">
        <v>12</v>
      </c>
      <c r="C9" s="9"/>
      <c r="D9" s="9"/>
      <c r="E9" s="10"/>
      <c r="F9" s="197" t="s">
        <v>64</v>
      </c>
      <c r="G9" s="197" t="s">
        <v>65</v>
      </c>
      <c r="H9" s="10">
        <v>6013023</v>
      </c>
      <c r="I9" s="10"/>
      <c r="J9" s="10"/>
      <c r="K9" s="10"/>
      <c r="L9" s="10">
        <f>2910000+506000</f>
        <v>3416000</v>
      </c>
      <c r="M9" s="10">
        <f>181023</f>
        <v>181023</v>
      </c>
      <c r="N9" s="10"/>
      <c r="O9" s="10"/>
      <c r="P9" s="10"/>
      <c r="Q9" s="10">
        <f>2370000</f>
        <v>2370000</v>
      </c>
      <c r="R9" s="10"/>
      <c r="S9" s="10">
        <f>SUM(I9:R9)</f>
        <v>5967023</v>
      </c>
      <c r="T9" s="10">
        <f t="shared" ref="T9:T17" si="0">H9-S9</f>
        <v>46000</v>
      </c>
      <c r="V9" s="15"/>
    </row>
    <row r="10" spans="1:22" s="2" customFormat="1" ht="20" customHeight="1">
      <c r="A10" s="8"/>
      <c r="B10" s="9" t="s">
        <v>13</v>
      </c>
      <c r="C10" s="9"/>
      <c r="D10" s="9"/>
      <c r="E10" s="10"/>
      <c r="F10" s="195"/>
      <c r="G10" s="198"/>
      <c r="H10" s="10">
        <v>7273000</v>
      </c>
      <c r="I10" s="10"/>
      <c r="J10" s="10"/>
      <c r="K10" s="10"/>
      <c r="L10" s="10">
        <f>1228000</f>
        <v>1228000</v>
      </c>
      <c r="M10" s="10"/>
      <c r="N10" s="10"/>
      <c r="O10" s="10"/>
      <c r="P10" s="10"/>
      <c r="Q10" s="10">
        <f>5150000+895000</f>
        <v>6045000</v>
      </c>
      <c r="R10" s="10"/>
      <c r="S10" s="10">
        <f t="shared" ref="S10:S17" si="1">SUM(I10:R10)</f>
        <v>7273000</v>
      </c>
      <c r="T10" s="10">
        <f t="shared" si="0"/>
        <v>0</v>
      </c>
      <c r="V10" s="15"/>
    </row>
    <row r="11" spans="1:22" s="2" customFormat="1" ht="20" customHeight="1">
      <c r="A11" s="8"/>
      <c r="B11" s="9" t="s">
        <v>14</v>
      </c>
      <c r="C11" s="9"/>
      <c r="D11" s="9"/>
      <c r="E11" s="10"/>
      <c r="F11" s="197" t="s">
        <v>64</v>
      </c>
      <c r="G11" s="196" t="s">
        <v>66</v>
      </c>
      <c r="H11" s="10">
        <v>4979957</v>
      </c>
      <c r="I11" s="10"/>
      <c r="J11" s="10"/>
      <c r="K11" s="10"/>
      <c r="L11" s="10"/>
      <c r="M11" s="10">
        <f>314457</f>
        <v>314457</v>
      </c>
      <c r="N11" s="10"/>
      <c r="O11" s="10"/>
      <c r="P11" s="10"/>
      <c r="Q11" s="10">
        <f>4665500</f>
        <v>4665500</v>
      </c>
      <c r="R11" s="10"/>
      <c r="S11" s="10">
        <f t="shared" si="1"/>
        <v>4979957</v>
      </c>
      <c r="T11" s="10">
        <f t="shared" si="0"/>
        <v>0</v>
      </c>
      <c r="V11" s="15"/>
    </row>
    <row r="12" spans="1:22" s="2" customFormat="1" ht="20" customHeight="1">
      <c r="A12" s="8"/>
      <c r="B12" s="9" t="s">
        <v>15</v>
      </c>
      <c r="C12" s="9"/>
      <c r="D12" s="9"/>
      <c r="E12" s="10"/>
      <c r="F12" s="195"/>
      <c r="G12" s="193"/>
      <c r="H12" s="10">
        <v>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>
        <f t="shared" si="1"/>
        <v>0</v>
      </c>
      <c r="T12" s="10">
        <f t="shared" si="0"/>
        <v>0</v>
      </c>
      <c r="V12" s="15"/>
    </row>
    <row r="13" spans="1:22" s="2" customFormat="1" ht="20" customHeight="1">
      <c r="A13" s="8"/>
      <c r="B13" s="9" t="s">
        <v>16</v>
      </c>
      <c r="C13" s="9"/>
      <c r="D13" s="9"/>
      <c r="E13" s="10"/>
      <c r="F13" s="194" t="s">
        <v>72</v>
      </c>
      <c r="G13" s="196" t="s">
        <v>67</v>
      </c>
      <c r="H13" s="10"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>
        <f t="shared" si="1"/>
        <v>0</v>
      </c>
      <c r="T13" s="10">
        <f t="shared" si="0"/>
        <v>0</v>
      </c>
    </row>
    <row r="14" spans="1:22" s="2" customFormat="1" ht="20" customHeight="1">
      <c r="A14" s="8"/>
      <c r="B14" s="9" t="s">
        <v>17</v>
      </c>
      <c r="C14" s="9"/>
      <c r="D14" s="9"/>
      <c r="E14" s="10"/>
      <c r="F14" s="195"/>
      <c r="G14" s="193"/>
      <c r="H14" s="10">
        <v>930000</v>
      </c>
      <c r="I14" s="10"/>
      <c r="J14" s="10"/>
      <c r="K14" s="10"/>
      <c r="L14" s="10"/>
      <c r="M14" s="10"/>
      <c r="N14" s="10"/>
      <c r="O14" s="10"/>
      <c r="P14" s="10"/>
      <c r="Q14" s="10">
        <v>930000</v>
      </c>
      <c r="R14" s="10"/>
      <c r="S14" s="10">
        <f t="shared" si="1"/>
        <v>930000</v>
      </c>
      <c r="T14" s="10">
        <f t="shared" si="0"/>
        <v>0</v>
      </c>
    </row>
    <row r="15" spans="1:22" s="2" customFormat="1" ht="20" customHeight="1">
      <c r="A15" s="8"/>
      <c r="B15" s="9" t="s">
        <v>18</v>
      </c>
      <c r="C15" s="9"/>
      <c r="D15" s="9"/>
      <c r="E15" s="10"/>
      <c r="F15" s="197" t="s">
        <v>64</v>
      </c>
      <c r="G15" s="196" t="s">
        <v>68</v>
      </c>
      <c r="H15" s="10">
        <v>50000000</v>
      </c>
      <c r="I15" s="29">
        <f>30266921</f>
        <v>30266921</v>
      </c>
      <c r="J15" s="29"/>
      <c r="K15" s="29">
        <f>4076000+2279500</f>
        <v>6355500</v>
      </c>
      <c r="L15" s="10"/>
      <c r="M15" s="29"/>
      <c r="N15" s="29">
        <f>995000</f>
        <v>995000</v>
      </c>
      <c r="O15" s="29"/>
      <c r="P15" s="29">
        <v>62900</v>
      </c>
      <c r="Q15" s="29">
        <f>11712266</f>
        <v>11712266</v>
      </c>
      <c r="R15" s="29">
        <v>600000</v>
      </c>
      <c r="S15" s="10">
        <f t="shared" si="1"/>
        <v>49992587</v>
      </c>
      <c r="T15" s="10">
        <f t="shared" si="0"/>
        <v>7413</v>
      </c>
    </row>
    <row r="16" spans="1:22" s="2" customFormat="1" ht="20" customHeight="1">
      <c r="A16" s="8"/>
      <c r="B16" s="9" t="s">
        <v>19</v>
      </c>
      <c r="C16" s="9"/>
      <c r="D16" s="9"/>
      <c r="E16" s="10"/>
      <c r="F16" s="195"/>
      <c r="G16" s="193"/>
      <c r="H16" s="10">
        <v>1680000</v>
      </c>
      <c r="I16" s="29"/>
      <c r="J16" s="29"/>
      <c r="K16" s="29"/>
      <c r="L16" s="10"/>
      <c r="M16" s="29"/>
      <c r="N16" s="29"/>
      <c r="O16" s="29"/>
      <c r="P16" s="29"/>
      <c r="Q16" s="29">
        <v>1680000</v>
      </c>
      <c r="R16" s="29"/>
      <c r="S16" s="10">
        <f t="shared" si="1"/>
        <v>1680000</v>
      </c>
      <c r="T16" s="10">
        <f t="shared" si="0"/>
        <v>0</v>
      </c>
    </row>
    <row r="17" spans="1:20" s="2" customFormat="1" ht="20" customHeight="1">
      <c r="A17" s="8"/>
      <c r="B17" s="9" t="s">
        <v>18</v>
      </c>
      <c r="C17" s="9"/>
      <c r="D17" s="9"/>
      <c r="E17" s="10"/>
      <c r="F17" s="26" t="s">
        <v>71</v>
      </c>
      <c r="G17" s="22" t="s">
        <v>69</v>
      </c>
      <c r="H17" s="10">
        <v>29124020</v>
      </c>
      <c r="I17" s="29"/>
      <c r="J17" s="29">
        <f>1133000</f>
        <v>1133000</v>
      </c>
      <c r="K17" s="29">
        <f>3506050</f>
        <v>3506050</v>
      </c>
      <c r="L17" s="10"/>
      <c r="M17" s="29"/>
      <c r="N17" s="29">
        <f>11618000-995000</f>
        <v>10623000</v>
      </c>
      <c r="O17" s="29">
        <f>4950000</f>
        <v>4950000</v>
      </c>
      <c r="P17" s="29">
        <f>8965900-62900</f>
        <v>8903000</v>
      </c>
      <c r="Q17" s="29"/>
      <c r="R17" s="29"/>
      <c r="S17" s="10">
        <f t="shared" si="1"/>
        <v>29115050</v>
      </c>
      <c r="T17" s="10">
        <f t="shared" si="0"/>
        <v>8970</v>
      </c>
    </row>
    <row r="18" spans="1:20" s="3" customFormat="1" ht="23.5" customHeight="1">
      <c r="A18" s="11"/>
      <c r="B18" s="11" t="s">
        <v>20</v>
      </c>
      <c r="C18" s="11"/>
      <c r="D18" s="12"/>
      <c r="E18" s="18">
        <f>SUM(E6:E16)</f>
        <v>100000000</v>
      </c>
      <c r="F18" s="12"/>
      <c r="G18" s="12"/>
      <c r="H18" s="18">
        <f>SUM(H6:H17)</f>
        <v>100000000</v>
      </c>
      <c r="I18" s="31">
        <f>SUM(I6:I17)</f>
        <v>30266921</v>
      </c>
      <c r="J18" s="31">
        <f t="shared" ref="J18" si="2">SUM(J6:J17)</f>
        <v>1133000</v>
      </c>
      <c r="K18" s="31">
        <f t="shared" ref="K18:Q18" si="3">SUM(K6:K17)</f>
        <v>9861550</v>
      </c>
      <c r="L18" s="31">
        <f>SUM(L6:L17)</f>
        <v>4644000</v>
      </c>
      <c r="M18" s="31">
        <f t="shared" si="3"/>
        <v>495480</v>
      </c>
      <c r="N18" s="31">
        <f t="shared" si="3"/>
        <v>11618000</v>
      </c>
      <c r="O18" s="31">
        <f t="shared" si="3"/>
        <v>4950000</v>
      </c>
      <c r="P18" s="31">
        <f t="shared" si="3"/>
        <v>8965900</v>
      </c>
      <c r="Q18" s="31">
        <f t="shared" si="3"/>
        <v>27402766</v>
      </c>
      <c r="R18" s="31">
        <f>SUM(R6:R17)</f>
        <v>600000</v>
      </c>
      <c r="S18" s="18">
        <f>SUM(S6:S17)</f>
        <v>99937617</v>
      </c>
      <c r="T18" s="18">
        <f t="shared" ref="T18" si="4">SUM(T6:T17)</f>
        <v>62383</v>
      </c>
    </row>
    <row r="19" spans="1:20" ht="20" customHeight="1">
      <c r="T19" s="14"/>
    </row>
    <row r="20" spans="1:20" ht="20" customHeight="1"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20" customHeight="1"/>
  </sheetData>
  <mergeCells count="18">
    <mergeCell ref="F13:F14"/>
    <mergeCell ref="G13:G14"/>
    <mergeCell ref="F15:F16"/>
    <mergeCell ref="G15:G16"/>
    <mergeCell ref="I4:R4"/>
    <mergeCell ref="F9:F10"/>
    <mergeCell ref="G9:G10"/>
    <mergeCell ref="F4:H4"/>
    <mergeCell ref="A1:T1"/>
    <mergeCell ref="A2:T2"/>
    <mergeCell ref="F11:F12"/>
    <mergeCell ref="G11:G12"/>
    <mergeCell ref="A4:A5"/>
    <mergeCell ref="B4:B5"/>
    <mergeCell ref="C4:C5"/>
    <mergeCell ref="D4:E4"/>
    <mergeCell ref="S4:S5"/>
    <mergeCell ref="T4:T5"/>
  </mergeCells>
  <pageMargins left="0.7" right="0.7" top="0.75" bottom="0.75" header="0.3" footer="0.3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CED9-6B79-44CB-BE7B-21F1E662C3A6}">
  <dimension ref="A1:T29"/>
  <sheetViews>
    <sheetView view="pageBreakPreview" topLeftCell="B5" zoomScale="80" zoomScaleNormal="100" zoomScaleSheetLayoutView="80" workbookViewId="0">
      <selection activeCell="K18" sqref="K18"/>
    </sheetView>
  </sheetViews>
  <sheetFormatPr defaultColWidth="9" defaultRowHeight="14.5"/>
  <cols>
    <col min="1" max="1" width="5.1796875" style="4" customWidth="1"/>
    <col min="2" max="2" width="29.1796875" customWidth="1"/>
    <col min="3" max="3" width="12.0898437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5.0898437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92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9"/>
      <c r="D6" s="9"/>
      <c r="E6" s="10">
        <v>62383</v>
      </c>
      <c r="F6" s="9"/>
      <c r="G6" s="9"/>
      <c r="H6" s="10"/>
      <c r="I6" s="10"/>
      <c r="J6" s="10"/>
      <c r="K6" s="10"/>
      <c r="L6" s="59"/>
      <c r="M6" s="10"/>
      <c r="N6" s="10"/>
      <c r="O6" s="10"/>
      <c r="P6" s="10"/>
      <c r="Q6" s="10"/>
      <c r="R6" s="9"/>
    </row>
    <row r="7" spans="1:20" s="2" customFormat="1" ht="20" customHeight="1">
      <c r="A7" s="8"/>
      <c r="B7" s="9" t="s">
        <v>93</v>
      </c>
      <c r="C7" s="44" t="s">
        <v>94</v>
      </c>
      <c r="D7" s="44" t="s">
        <v>95</v>
      </c>
      <c r="E7" s="10">
        <v>99937617</v>
      </c>
      <c r="F7" s="9"/>
      <c r="G7" s="9"/>
      <c r="H7" s="10"/>
      <c r="I7" s="10"/>
      <c r="J7" s="10"/>
      <c r="K7" s="10"/>
      <c r="L7" s="59"/>
      <c r="M7" s="32" t="s">
        <v>111</v>
      </c>
      <c r="N7" s="29" t="s">
        <v>100</v>
      </c>
      <c r="O7" s="33" t="s">
        <v>101</v>
      </c>
      <c r="P7" s="32">
        <f>SUM(P9+P12+P17+P27)</f>
        <v>99724620</v>
      </c>
      <c r="Q7" s="32">
        <v>76</v>
      </c>
      <c r="R7" s="33">
        <v>76</v>
      </c>
    </row>
    <row r="8" spans="1:20" s="2" customFormat="1" ht="20" customHeight="1">
      <c r="A8" s="8">
        <v>2</v>
      </c>
      <c r="B8" s="9" t="s">
        <v>32</v>
      </c>
      <c r="C8" s="16"/>
      <c r="D8" s="16"/>
      <c r="E8" s="10"/>
      <c r="F8" s="9"/>
      <c r="G8" s="9"/>
      <c r="H8" s="10"/>
      <c r="I8" s="10"/>
      <c r="J8" s="10"/>
      <c r="K8" s="10"/>
      <c r="L8" s="59"/>
      <c r="M8" s="47"/>
      <c r="N8" s="29" t="s">
        <v>43</v>
      </c>
      <c r="O8" s="29"/>
      <c r="P8" s="29"/>
      <c r="Q8" s="29"/>
      <c r="R8" s="34"/>
    </row>
    <row r="9" spans="1:20" s="2" customFormat="1" ht="20" customHeight="1">
      <c r="A9" s="8" t="s">
        <v>33</v>
      </c>
      <c r="B9" s="9" t="s">
        <v>12</v>
      </c>
      <c r="C9" s="9"/>
      <c r="D9" s="9"/>
      <c r="E9" s="10"/>
      <c r="F9" s="200" t="s">
        <v>95</v>
      </c>
      <c r="G9" s="200" t="s">
        <v>96</v>
      </c>
      <c r="H9" s="112">
        <v>11624600</v>
      </c>
      <c r="I9" s="112">
        <v>11624600</v>
      </c>
      <c r="J9" s="112">
        <f>H9-I9</f>
        <v>0</v>
      </c>
      <c r="K9" s="113"/>
      <c r="L9" s="114" t="s">
        <v>118</v>
      </c>
      <c r="M9" s="75"/>
      <c r="N9" s="32" t="s">
        <v>102</v>
      </c>
      <c r="O9" s="33" t="s">
        <v>101</v>
      </c>
      <c r="P9" s="29">
        <f>P10</f>
        <v>11624600</v>
      </c>
      <c r="Q9" s="29"/>
      <c r="R9" s="34"/>
      <c r="T9" s="15"/>
    </row>
    <row r="10" spans="1:20" s="2" customFormat="1" ht="20" customHeight="1">
      <c r="A10" s="8" t="s">
        <v>34</v>
      </c>
      <c r="B10" s="9" t="s">
        <v>13</v>
      </c>
      <c r="C10" s="9"/>
      <c r="D10" s="9"/>
      <c r="E10" s="10"/>
      <c r="F10" s="195"/>
      <c r="G10" s="198"/>
      <c r="H10" s="112">
        <v>2265730</v>
      </c>
      <c r="I10" s="112">
        <v>2265730</v>
      </c>
      <c r="J10" s="112">
        <f>H10-I10</f>
        <v>0</v>
      </c>
      <c r="K10" s="112"/>
      <c r="L10" s="114" t="s">
        <v>118</v>
      </c>
      <c r="M10" s="69"/>
      <c r="N10" s="32" t="s">
        <v>87</v>
      </c>
      <c r="O10" s="32" t="s">
        <v>45</v>
      </c>
      <c r="P10" s="32">
        <v>11624600</v>
      </c>
      <c r="Q10" s="32"/>
      <c r="R10" s="34"/>
      <c r="T10" s="15"/>
    </row>
    <row r="11" spans="1:20" s="2" customFormat="1" ht="20" customHeight="1">
      <c r="A11" s="8" t="s">
        <v>35</v>
      </c>
      <c r="B11" s="9" t="s">
        <v>14</v>
      </c>
      <c r="C11" s="9"/>
      <c r="D11" s="9"/>
      <c r="E11" s="10"/>
      <c r="F11" s="200" t="s">
        <v>95</v>
      </c>
      <c r="G11" s="201" t="s">
        <v>97</v>
      </c>
      <c r="H11" s="56">
        <v>8518920</v>
      </c>
      <c r="I11" s="56">
        <v>8518920</v>
      </c>
      <c r="J11" s="56">
        <f>H11-I11</f>
        <v>0</v>
      </c>
      <c r="K11" s="80"/>
      <c r="L11" s="81" t="s">
        <v>118</v>
      </c>
      <c r="M11" s="75"/>
      <c r="N11" s="32"/>
      <c r="O11" s="32"/>
      <c r="P11" s="32"/>
      <c r="Q11" s="32"/>
      <c r="R11" s="34"/>
      <c r="T11" s="15"/>
    </row>
    <row r="12" spans="1:20" s="2" customFormat="1" ht="20" customHeight="1">
      <c r="A12" s="8" t="s">
        <v>36</v>
      </c>
      <c r="B12" s="9" t="s">
        <v>15</v>
      </c>
      <c r="C12" s="9"/>
      <c r="D12" s="9"/>
      <c r="E12" s="10"/>
      <c r="F12" s="195"/>
      <c r="G12" s="193"/>
      <c r="H12" s="70">
        <v>5829250</v>
      </c>
      <c r="I12" s="70">
        <v>5829250</v>
      </c>
      <c r="J12" s="70">
        <f>H12-I12</f>
        <v>0</v>
      </c>
      <c r="K12" s="70"/>
      <c r="L12" s="71" t="s">
        <v>118</v>
      </c>
      <c r="M12" s="69"/>
      <c r="N12" s="32" t="s">
        <v>103</v>
      </c>
      <c r="O12" s="33" t="s">
        <v>101</v>
      </c>
      <c r="P12" s="29">
        <f>SUM(P13:P15)</f>
        <v>11672730</v>
      </c>
      <c r="Q12" s="32"/>
      <c r="R12" s="34"/>
      <c r="T12" s="15"/>
    </row>
    <row r="13" spans="1:20" s="2" customFormat="1" ht="20" customHeight="1">
      <c r="A13" s="8" t="s">
        <v>37</v>
      </c>
      <c r="B13" s="9" t="s">
        <v>16</v>
      </c>
      <c r="C13" s="9"/>
      <c r="D13" s="9"/>
      <c r="E13" s="10"/>
      <c r="F13" s="200" t="s">
        <v>95</v>
      </c>
      <c r="G13" s="201" t="s">
        <v>98</v>
      </c>
      <c r="H13" s="56">
        <v>2364000</v>
      </c>
      <c r="I13" s="56">
        <v>2364000</v>
      </c>
      <c r="J13" s="56">
        <f t="shared" ref="J13:J16" si="0">H13-I13</f>
        <v>0</v>
      </c>
      <c r="K13" s="74"/>
      <c r="L13" s="71" t="s">
        <v>118</v>
      </c>
      <c r="M13" s="69"/>
      <c r="N13" s="32" t="s">
        <v>21</v>
      </c>
      <c r="O13" s="32" t="s">
        <v>45</v>
      </c>
      <c r="P13" s="32">
        <v>9255000</v>
      </c>
      <c r="Q13" s="29"/>
      <c r="R13" s="34"/>
    </row>
    <row r="14" spans="1:20" s="2" customFormat="1" ht="20" customHeight="1">
      <c r="A14" s="8" t="s">
        <v>38</v>
      </c>
      <c r="B14" s="9" t="s">
        <v>17</v>
      </c>
      <c r="C14" s="9"/>
      <c r="D14" s="9"/>
      <c r="E14" s="10"/>
      <c r="F14" s="195"/>
      <c r="G14" s="193"/>
      <c r="H14" s="56">
        <v>7011000</v>
      </c>
      <c r="I14" s="56">
        <v>7011000</v>
      </c>
      <c r="J14" s="56">
        <f t="shared" si="0"/>
        <v>0</v>
      </c>
      <c r="K14" s="56"/>
      <c r="L14" s="81" t="s">
        <v>118</v>
      </c>
      <c r="M14" s="69"/>
      <c r="N14" s="32"/>
      <c r="O14" s="32" t="s">
        <v>46</v>
      </c>
      <c r="P14" s="32">
        <v>47730</v>
      </c>
      <c r="Q14" s="32"/>
      <c r="R14" s="34"/>
    </row>
    <row r="15" spans="1:20" s="2" customFormat="1" ht="20" customHeight="1">
      <c r="A15" s="8" t="s">
        <v>39</v>
      </c>
      <c r="B15" s="9" t="s">
        <v>18</v>
      </c>
      <c r="C15" s="9"/>
      <c r="D15" s="9"/>
      <c r="E15" s="10"/>
      <c r="F15" s="200" t="s">
        <v>95</v>
      </c>
      <c r="G15" s="201" t="s">
        <v>99</v>
      </c>
      <c r="H15" s="56">
        <f>53375500</f>
        <v>53375500</v>
      </c>
      <c r="I15" s="56">
        <v>53100120</v>
      </c>
      <c r="J15" s="56">
        <f t="shared" si="0"/>
        <v>275380</v>
      </c>
      <c r="K15" s="74"/>
      <c r="L15" s="143" t="s">
        <v>118</v>
      </c>
      <c r="M15" s="75"/>
      <c r="N15" s="32"/>
      <c r="O15" s="33" t="s">
        <v>47</v>
      </c>
      <c r="P15" s="29">
        <v>2370000</v>
      </c>
      <c r="Q15" s="32"/>
      <c r="R15" s="34"/>
    </row>
    <row r="16" spans="1:20" s="2" customFormat="1" ht="20" customHeight="1">
      <c r="A16" s="8" t="s">
        <v>40</v>
      </c>
      <c r="B16" s="9" t="s">
        <v>19</v>
      </c>
      <c r="C16" s="9"/>
      <c r="D16" s="9"/>
      <c r="E16" s="10"/>
      <c r="F16" s="195"/>
      <c r="G16" s="193"/>
      <c r="H16" s="76">
        <v>9011000</v>
      </c>
      <c r="I16" s="56">
        <v>9011000</v>
      </c>
      <c r="J16" s="56">
        <f t="shared" si="0"/>
        <v>0</v>
      </c>
      <c r="K16" s="56"/>
      <c r="L16" s="104" t="s">
        <v>118</v>
      </c>
      <c r="M16" s="69"/>
      <c r="N16" s="39"/>
      <c r="O16" s="39"/>
      <c r="P16" s="39"/>
      <c r="Q16" s="32"/>
      <c r="R16" s="34"/>
    </row>
    <row r="17" spans="1:18" s="2" customFormat="1" ht="20" customHeight="1">
      <c r="A17" s="8"/>
      <c r="B17" s="9"/>
      <c r="C17" s="9"/>
      <c r="D17" s="9"/>
      <c r="E17" s="10"/>
      <c r="F17" s="45"/>
      <c r="G17" s="22"/>
      <c r="H17" s="10"/>
      <c r="I17" s="10"/>
      <c r="J17" s="10"/>
      <c r="K17" s="10"/>
      <c r="L17" s="62"/>
      <c r="M17" s="47"/>
      <c r="N17" s="32" t="s">
        <v>104</v>
      </c>
      <c r="O17" s="33" t="s">
        <v>101</v>
      </c>
      <c r="P17" s="29">
        <f>SUM(P18:P26)</f>
        <v>53100120</v>
      </c>
      <c r="Q17" s="32"/>
      <c r="R17" s="34"/>
    </row>
    <row r="18" spans="1:18" s="3" customFormat="1" ht="20" customHeight="1">
      <c r="A18" s="11"/>
      <c r="B18" s="11" t="s">
        <v>20</v>
      </c>
      <c r="C18" s="11"/>
      <c r="D18" s="12"/>
      <c r="E18" s="13">
        <f>SUM(E6:E16)</f>
        <v>100000000</v>
      </c>
      <c r="F18" s="12"/>
      <c r="G18" s="12"/>
      <c r="H18" s="13">
        <f>SUM(H6:H17)</f>
        <v>100000000</v>
      </c>
      <c r="I18" s="18">
        <f>SUM(I6:I17)</f>
        <v>99724620</v>
      </c>
      <c r="J18" s="13">
        <f>SUM(J6:J17)</f>
        <v>275380</v>
      </c>
      <c r="K18" s="13"/>
      <c r="L18" s="63"/>
      <c r="M18" s="48"/>
      <c r="N18" s="39" t="s">
        <v>22</v>
      </c>
      <c r="O18" s="51" t="s">
        <v>49</v>
      </c>
      <c r="P18" s="39">
        <v>7588620</v>
      </c>
      <c r="Q18" s="32"/>
      <c r="R18" s="34"/>
    </row>
    <row r="19" spans="1:18" s="37" customFormat="1" ht="20" customHeight="1">
      <c r="A19" s="1"/>
      <c r="J19" s="15"/>
      <c r="K19" s="15"/>
      <c r="L19" s="61"/>
      <c r="M19" s="49"/>
      <c r="N19" s="39"/>
      <c r="O19" s="40" t="s">
        <v>50</v>
      </c>
      <c r="P19" s="41">
        <v>143000</v>
      </c>
      <c r="Q19" s="41"/>
      <c r="R19" s="42"/>
    </row>
    <row r="20" spans="1:18" s="37" customFormat="1" ht="20" customHeight="1">
      <c r="A20" s="1"/>
      <c r="I20" s="15"/>
      <c r="J20" s="15"/>
      <c r="K20" s="15"/>
      <c r="L20" s="4"/>
      <c r="M20" s="49"/>
      <c r="N20" s="39"/>
      <c r="O20" s="33" t="s">
        <v>107</v>
      </c>
      <c r="P20" s="41">
        <v>9456000</v>
      </c>
      <c r="Q20" s="39"/>
      <c r="R20" s="42"/>
    </row>
    <row r="21" spans="1:18" s="37" customFormat="1" ht="20" customHeight="1">
      <c r="A21" s="1"/>
      <c r="I21" s="52"/>
      <c r="J21" s="15"/>
      <c r="L21" s="4"/>
      <c r="M21" s="49"/>
      <c r="N21" s="39"/>
      <c r="O21" s="40" t="s">
        <v>51</v>
      </c>
      <c r="P21" s="39">
        <v>11627000</v>
      </c>
      <c r="Q21" s="41"/>
      <c r="R21" s="42"/>
    </row>
    <row r="22" spans="1:18" s="37" customFormat="1" ht="20" customHeight="1">
      <c r="A22" s="1"/>
      <c r="I22" s="50"/>
      <c r="L22" s="4"/>
      <c r="M22" s="49"/>
      <c r="N22" s="43"/>
      <c r="O22" s="40" t="s">
        <v>77</v>
      </c>
      <c r="P22" s="41">
        <v>4950000</v>
      </c>
      <c r="Q22" s="42"/>
      <c r="R22" s="42"/>
    </row>
    <row r="23" spans="1:18" s="37" customFormat="1" ht="20" customHeight="1">
      <c r="A23" s="1"/>
      <c r="I23" s="15"/>
      <c r="L23" s="4"/>
      <c r="M23" s="49"/>
      <c r="N23" s="43"/>
      <c r="O23" s="39" t="s">
        <v>76</v>
      </c>
      <c r="P23" s="41">
        <v>6574500</v>
      </c>
      <c r="Q23" s="42"/>
      <c r="R23" s="42"/>
    </row>
    <row r="24" spans="1:18" s="37" customFormat="1" ht="20" customHeight="1">
      <c r="A24" s="1"/>
      <c r="L24" s="4"/>
      <c r="M24" s="49"/>
      <c r="N24" s="42"/>
      <c r="O24" s="40" t="s">
        <v>108</v>
      </c>
      <c r="P24" s="41">
        <v>5939000</v>
      </c>
      <c r="Q24" s="42"/>
      <c r="R24" s="42"/>
    </row>
    <row r="25" spans="1:18" s="37" customFormat="1" ht="20" customHeight="1">
      <c r="A25" s="1"/>
      <c r="L25" s="4"/>
      <c r="M25" s="49"/>
      <c r="N25" s="42"/>
      <c r="O25" s="40" t="s">
        <v>47</v>
      </c>
      <c r="P25" s="41">
        <v>6522000</v>
      </c>
      <c r="Q25" s="42"/>
      <c r="R25" s="42"/>
    </row>
    <row r="26" spans="1:18" s="37" customFormat="1" ht="20" customHeight="1">
      <c r="A26" s="1"/>
      <c r="L26" s="4"/>
      <c r="M26" s="49"/>
      <c r="N26" s="42"/>
      <c r="O26" s="40" t="s">
        <v>74</v>
      </c>
      <c r="P26" s="41">
        <v>300000</v>
      </c>
      <c r="Q26" s="42"/>
      <c r="R26" s="42"/>
    </row>
    <row r="27" spans="1:18" s="37" customFormat="1" ht="20" customHeight="1">
      <c r="A27" s="1"/>
      <c r="L27" s="4"/>
      <c r="M27" s="49"/>
      <c r="N27" s="39" t="s">
        <v>105</v>
      </c>
      <c r="O27" s="33" t="s">
        <v>101</v>
      </c>
      <c r="P27" s="41">
        <f>SUM(P28:P29)</f>
        <v>23327170</v>
      </c>
      <c r="Q27" s="42"/>
      <c r="R27" s="42"/>
    </row>
    <row r="28" spans="1:18" s="37" customFormat="1" ht="20" customHeight="1">
      <c r="A28" s="1"/>
      <c r="L28" s="4"/>
      <c r="M28" s="49"/>
      <c r="N28" s="39" t="s">
        <v>106</v>
      </c>
      <c r="O28" s="39" t="s">
        <v>49</v>
      </c>
      <c r="P28" s="41">
        <v>11088250</v>
      </c>
      <c r="Q28" s="42"/>
      <c r="R28" s="42"/>
    </row>
    <row r="29" spans="1:18" s="37" customFormat="1" ht="20" customHeight="1">
      <c r="A29" s="1"/>
      <c r="L29" s="4"/>
      <c r="M29" s="49"/>
      <c r="N29" s="42"/>
      <c r="O29" s="40" t="s">
        <v>47</v>
      </c>
      <c r="P29" s="41">
        <v>12238920</v>
      </c>
      <c r="Q29" s="42"/>
      <c r="R29" s="42"/>
    </row>
  </sheetData>
  <mergeCells count="23">
    <mergeCell ref="A1:R1"/>
    <mergeCell ref="A2:R2"/>
    <mergeCell ref="A4:A5"/>
    <mergeCell ref="B4:B5"/>
    <mergeCell ref="C4:C5"/>
    <mergeCell ref="D4:E4"/>
    <mergeCell ref="F4:H4"/>
    <mergeCell ref="I4:I5"/>
    <mergeCell ref="J4:J5"/>
    <mergeCell ref="K4:K5"/>
    <mergeCell ref="M4:M5"/>
    <mergeCell ref="N4:P5"/>
    <mergeCell ref="Q4:Q5"/>
    <mergeCell ref="R4:R5"/>
    <mergeCell ref="L4:L5"/>
    <mergeCell ref="F15:F16"/>
    <mergeCell ref="G15:G16"/>
    <mergeCell ref="F9:F10"/>
    <mergeCell ref="G9:G10"/>
    <mergeCell ref="F11:F12"/>
    <mergeCell ref="G11:G12"/>
    <mergeCell ref="F13:F14"/>
    <mergeCell ref="G13:G14"/>
  </mergeCells>
  <pageMargins left="0.7" right="0.7" top="0.75" bottom="0.75" header="0.3" footer="0.3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1E5E-B9DF-48FD-9B55-0C9AB50F7FBC}">
  <dimension ref="A1:T21"/>
  <sheetViews>
    <sheetView view="pageBreakPreview" topLeftCell="A5" zoomScale="80" zoomScaleNormal="100" zoomScaleSheetLayoutView="80" workbookViewId="0">
      <selection activeCell="K18" sqref="K18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4.9062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109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9"/>
      <c r="D6" s="9"/>
      <c r="E6" s="10">
        <v>275380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53" t="s">
        <v>110</v>
      </c>
      <c r="C7" s="54" t="s">
        <v>111</v>
      </c>
      <c r="D7" s="54" t="s">
        <v>111</v>
      </c>
      <c r="E7" s="10">
        <v>99724620</v>
      </c>
      <c r="F7" s="9"/>
      <c r="G7" s="9"/>
      <c r="H7" s="10"/>
      <c r="I7" s="10"/>
      <c r="J7" s="10"/>
      <c r="K7" s="10"/>
      <c r="L7" s="59"/>
      <c r="M7" s="32" t="s">
        <v>120</v>
      </c>
      <c r="N7" s="29" t="s">
        <v>113</v>
      </c>
      <c r="O7" s="33" t="s">
        <v>114</v>
      </c>
      <c r="P7" s="32">
        <f>SUM(P9+P13)</f>
        <v>99668510</v>
      </c>
      <c r="Q7" s="32"/>
      <c r="R7" s="33"/>
    </row>
    <row r="8" spans="1:20" s="2" customFormat="1" ht="20" customHeight="1">
      <c r="A8" s="8">
        <v>2</v>
      </c>
      <c r="B8" s="9" t="s">
        <v>32</v>
      </c>
      <c r="C8" s="16"/>
      <c r="D8" s="16"/>
      <c r="E8" s="10"/>
      <c r="F8" s="9"/>
      <c r="G8" s="9"/>
      <c r="H8" s="10"/>
      <c r="I8" s="10"/>
      <c r="J8" s="10"/>
      <c r="K8" s="10"/>
      <c r="L8" s="59"/>
      <c r="M8" s="47"/>
      <c r="N8" s="29" t="s">
        <v>43</v>
      </c>
      <c r="O8" s="29"/>
      <c r="P8" s="29"/>
      <c r="Q8" s="29"/>
      <c r="R8" s="34"/>
    </row>
    <row r="9" spans="1:20" s="2" customFormat="1" ht="20" customHeight="1">
      <c r="A9" s="8" t="s">
        <v>33</v>
      </c>
      <c r="B9" s="9" t="s">
        <v>12</v>
      </c>
      <c r="C9" s="9"/>
      <c r="D9" s="9"/>
      <c r="E9" s="10"/>
      <c r="F9" s="200"/>
      <c r="G9" s="200"/>
      <c r="H9" s="10"/>
      <c r="I9" s="10"/>
      <c r="J9" s="10"/>
      <c r="K9" s="17"/>
      <c r="L9" s="66"/>
      <c r="M9" s="46"/>
      <c r="N9" s="32" t="s">
        <v>115</v>
      </c>
      <c r="O9" s="33" t="s">
        <v>114</v>
      </c>
      <c r="P9" s="29">
        <f>SUM(P10:P11)</f>
        <v>6408000</v>
      </c>
      <c r="Q9" s="29"/>
      <c r="R9" s="34"/>
      <c r="T9" s="15"/>
    </row>
    <row r="10" spans="1:20" s="2" customFormat="1" ht="20" customHeight="1">
      <c r="A10" s="8" t="s">
        <v>34</v>
      </c>
      <c r="B10" s="9" t="s">
        <v>13</v>
      </c>
      <c r="C10" s="9"/>
      <c r="D10" s="9"/>
      <c r="E10" s="10"/>
      <c r="F10" s="195"/>
      <c r="G10" s="198"/>
      <c r="H10" s="10"/>
      <c r="I10" s="10"/>
      <c r="J10" s="10"/>
      <c r="K10" s="10"/>
      <c r="L10" s="66"/>
      <c r="M10" s="47"/>
      <c r="N10" s="32" t="s">
        <v>21</v>
      </c>
      <c r="O10" s="32" t="s">
        <v>45</v>
      </c>
      <c r="P10" s="32">
        <v>308000</v>
      </c>
      <c r="Q10" s="32"/>
      <c r="R10" s="34"/>
      <c r="T10" s="15"/>
    </row>
    <row r="11" spans="1:20" s="2" customFormat="1" ht="20" customHeight="1">
      <c r="A11" s="8" t="s">
        <v>35</v>
      </c>
      <c r="B11" s="9" t="s">
        <v>14</v>
      </c>
      <c r="C11" s="9"/>
      <c r="D11" s="9"/>
      <c r="E11" s="10"/>
      <c r="F11" s="200"/>
      <c r="G11" s="201"/>
      <c r="H11" s="10"/>
      <c r="I11" s="10"/>
      <c r="J11" s="10"/>
      <c r="K11" s="17"/>
      <c r="L11" s="66"/>
      <c r="M11" s="46"/>
      <c r="N11" s="32"/>
      <c r="O11" s="32" t="s">
        <v>47</v>
      </c>
      <c r="P11" s="32">
        <v>6100000</v>
      </c>
      <c r="Q11" s="32"/>
      <c r="R11" s="34"/>
      <c r="T11" s="15"/>
    </row>
    <row r="12" spans="1:20" s="2" customFormat="1" ht="20" customHeight="1">
      <c r="A12" s="8" t="s">
        <v>36</v>
      </c>
      <c r="B12" s="9" t="s">
        <v>15</v>
      </c>
      <c r="C12" s="9"/>
      <c r="D12" s="9"/>
      <c r="E12" s="10"/>
      <c r="F12" s="195"/>
      <c r="G12" s="193"/>
      <c r="H12" s="10"/>
      <c r="I12" s="10"/>
      <c r="J12" s="10"/>
      <c r="K12" s="10"/>
      <c r="L12" s="66"/>
      <c r="M12" s="47"/>
      <c r="N12" s="32"/>
      <c r="O12" s="33"/>
      <c r="P12" s="29"/>
      <c r="Q12" s="32"/>
      <c r="R12" s="34"/>
      <c r="T12" s="15"/>
    </row>
    <row r="13" spans="1:20" s="2" customFormat="1" ht="20" customHeight="1">
      <c r="A13" s="8" t="s">
        <v>37</v>
      </c>
      <c r="B13" s="9" t="s">
        <v>16</v>
      </c>
      <c r="C13" s="9"/>
      <c r="D13" s="9"/>
      <c r="E13" s="10"/>
      <c r="F13" s="200"/>
      <c r="G13" s="201"/>
      <c r="H13" s="10"/>
      <c r="I13" s="10"/>
      <c r="J13" s="10"/>
      <c r="K13" s="21"/>
      <c r="L13" s="66"/>
      <c r="M13" s="47"/>
      <c r="N13" s="32" t="s">
        <v>116</v>
      </c>
      <c r="O13" s="33" t="s">
        <v>114</v>
      </c>
      <c r="P13" s="29">
        <f>SUM(P14:P19)</f>
        <v>93260510</v>
      </c>
      <c r="Q13" s="29"/>
      <c r="R13" s="34"/>
    </row>
    <row r="14" spans="1:20" s="2" customFormat="1" ht="20" customHeight="1">
      <c r="A14" s="8" t="s">
        <v>38</v>
      </c>
      <c r="B14" s="9" t="s">
        <v>17</v>
      </c>
      <c r="C14" s="9"/>
      <c r="D14" s="9"/>
      <c r="E14" s="10"/>
      <c r="F14" s="195"/>
      <c r="G14" s="193"/>
      <c r="H14" s="10"/>
      <c r="I14" s="10"/>
      <c r="J14" s="10"/>
      <c r="K14" s="10"/>
      <c r="L14" s="66"/>
      <c r="M14" s="47"/>
      <c r="N14" s="32" t="s">
        <v>22</v>
      </c>
      <c r="O14" s="51" t="s">
        <v>49</v>
      </c>
      <c r="P14" s="39">
        <v>41703000</v>
      </c>
      <c r="Q14" s="32"/>
      <c r="R14" s="34"/>
    </row>
    <row r="15" spans="1:20" s="2" customFormat="1" ht="20" customHeight="1">
      <c r="A15" s="8" t="s">
        <v>39</v>
      </c>
      <c r="B15" s="9" t="s">
        <v>18</v>
      </c>
      <c r="C15" s="9"/>
      <c r="D15" s="9"/>
      <c r="E15" s="10"/>
      <c r="F15" s="202" t="s">
        <v>111</v>
      </c>
      <c r="G15" s="203" t="s">
        <v>112</v>
      </c>
      <c r="H15" s="57">
        <v>93592000</v>
      </c>
      <c r="I15" s="57">
        <f>(88311005-481000-601000)+6031505</f>
        <v>93260510</v>
      </c>
      <c r="J15" s="57">
        <f t="shared" ref="J15:J16" si="0">H15-I15</f>
        <v>331490</v>
      </c>
      <c r="K15" s="58"/>
      <c r="L15" s="65" t="s">
        <v>119</v>
      </c>
      <c r="M15" s="64"/>
      <c r="N15" s="32"/>
      <c r="O15" s="40" t="s">
        <v>51</v>
      </c>
      <c r="P15" s="39">
        <v>9923000</v>
      </c>
      <c r="Q15" s="32"/>
      <c r="R15" s="34"/>
    </row>
    <row r="16" spans="1:20" s="2" customFormat="1" ht="20" customHeight="1">
      <c r="A16" s="8" t="s">
        <v>40</v>
      </c>
      <c r="B16" s="9" t="s">
        <v>19</v>
      </c>
      <c r="C16" s="9"/>
      <c r="D16" s="9"/>
      <c r="E16" s="10"/>
      <c r="F16" s="195"/>
      <c r="G16" s="193"/>
      <c r="H16" s="76">
        <v>6408000</v>
      </c>
      <c r="I16" s="56">
        <v>6408000</v>
      </c>
      <c r="J16" s="56">
        <f t="shared" si="0"/>
        <v>0</v>
      </c>
      <c r="K16" s="56"/>
      <c r="L16" s="66" t="s">
        <v>118</v>
      </c>
      <c r="M16" s="69"/>
      <c r="N16" s="39"/>
      <c r="O16" s="39" t="s">
        <v>76</v>
      </c>
      <c r="P16" s="41">
        <v>17794000</v>
      </c>
      <c r="Q16" s="32"/>
      <c r="R16" s="34"/>
    </row>
    <row r="17" spans="1:18" s="2" customFormat="1" ht="20" customHeight="1">
      <c r="A17" s="8"/>
      <c r="B17" s="9"/>
      <c r="C17" s="9"/>
      <c r="D17" s="9"/>
      <c r="E17" s="10"/>
      <c r="F17" s="45"/>
      <c r="G17" s="22"/>
      <c r="H17" s="10"/>
      <c r="I17" s="10"/>
      <c r="J17" s="10"/>
      <c r="K17" s="10"/>
      <c r="L17" s="62"/>
      <c r="M17" s="47"/>
      <c r="N17" s="32"/>
      <c r="O17" s="40" t="s">
        <v>108</v>
      </c>
      <c r="P17" s="41">
        <v>2975000</v>
      </c>
      <c r="Q17" s="32"/>
      <c r="R17" s="34"/>
    </row>
    <row r="18" spans="1:18" s="3" customFormat="1" ht="20" customHeight="1">
      <c r="A18" s="11"/>
      <c r="B18" s="11" t="s">
        <v>20</v>
      </c>
      <c r="C18" s="11"/>
      <c r="D18" s="12"/>
      <c r="E18" s="13">
        <f>SUM(E6:E16)</f>
        <v>100000000</v>
      </c>
      <c r="F18" s="12"/>
      <c r="G18" s="12"/>
      <c r="H18" s="13">
        <f>SUM(H6:H17)</f>
        <v>100000000</v>
      </c>
      <c r="I18" s="18">
        <f>SUM(I6:I17)</f>
        <v>99668510</v>
      </c>
      <c r="J18" s="13">
        <f>SUM(J6:J17)</f>
        <v>331490</v>
      </c>
      <c r="K18" s="13"/>
      <c r="L18" s="63"/>
      <c r="M18" s="48"/>
      <c r="N18" s="39"/>
      <c r="O18" s="40" t="s">
        <v>47</v>
      </c>
      <c r="P18" s="41">
        <v>20415510</v>
      </c>
      <c r="Q18" s="32"/>
      <c r="R18" s="34"/>
    </row>
    <row r="19" spans="1:18" s="37" customFormat="1" ht="20" customHeight="1">
      <c r="A19" s="1"/>
      <c r="J19" s="15"/>
      <c r="K19" s="15"/>
      <c r="L19" s="61"/>
      <c r="M19" s="49"/>
      <c r="N19" s="39"/>
      <c r="O19" s="40" t="s">
        <v>74</v>
      </c>
      <c r="P19" s="41">
        <v>450000</v>
      </c>
      <c r="Q19" s="41"/>
      <c r="R19" s="42"/>
    </row>
    <row r="21" spans="1:18">
      <c r="J21">
        <v>331490</v>
      </c>
    </row>
  </sheetData>
  <mergeCells count="23">
    <mergeCell ref="R4:R5"/>
    <mergeCell ref="L4:L5"/>
    <mergeCell ref="J4:J5"/>
    <mergeCell ref="K4:K5"/>
    <mergeCell ref="M4:M5"/>
    <mergeCell ref="N4:P5"/>
    <mergeCell ref="Q4:Q5"/>
    <mergeCell ref="F15:F16"/>
    <mergeCell ref="G15:G16"/>
    <mergeCell ref="A1:M1"/>
    <mergeCell ref="A2:M2"/>
    <mergeCell ref="F9:F10"/>
    <mergeCell ref="G9:G10"/>
    <mergeCell ref="F11:F12"/>
    <mergeCell ref="G11:G12"/>
    <mergeCell ref="F13:F14"/>
    <mergeCell ref="G13:G14"/>
    <mergeCell ref="A4:A5"/>
    <mergeCell ref="B4:B5"/>
    <mergeCell ref="C4:C5"/>
    <mergeCell ref="D4:E4"/>
    <mergeCell ref="F4:H4"/>
    <mergeCell ref="I4:I5"/>
  </mergeCells>
  <pageMargins left="0.7" right="0.7" top="0.75" bottom="0.75" header="0.3" footer="0.3"/>
  <pageSetup paperSize="9" scale="6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6663-CCAF-41C7-BEDA-A6BF8D457646}">
  <dimension ref="A1:T31"/>
  <sheetViews>
    <sheetView view="pageBreakPreview" topLeftCell="A4" zoomScale="80" zoomScaleNormal="100" zoomScaleSheetLayoutView="80" workbookViewId="0">
      <selection activeCell="L15" sqref="L15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4.9062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121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9"/>
      <c r="D6" s="9"/>
      <c r="E6" s="10">
        <v>331490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77" t="s">
        <v>122</v>
      </c>
      <c r="C7" s="72" t="s">
        <v>120</v>
      </c>
      <c r="D7" s="72" t="s">
        <v>123</v>
      </c>
      <c r="E7" s="10">
        <v>99668510</v>
      </c>
      <c r="F7" s="9"/>
      <c r="G7" s="9"/>
      <c r="H7" s="10"/>
      <c r="I7" s="10"/>
      <c r="J7" s="10"/>
      <c r="K7" s="10"/>
      <c r="L7" s="59"/>
      <c r="M7" s="32" t="s">
        <v>128</v>
      </c>
      <c r="N7" s="29" t="s">
        <v>129</v>
      </c>
      <c r="O7" s="33" t="s">
        <v>130</v>
      </c>
      <c r="P7" s="32">
        <f>SUM(P9+P13+P18+P27)</f>
        <v>99074114</v>
      </c>
      <c r="Q7" s="32"/>
      <c r="R7" s="33"/>
    </row>
    <row r="8" spans="1:20" s="2" customFormat="1" ht="20" customHeight="1">
      <c r="A8" s="8">
        <v>2</v>
      </c>
      <c r="B8" s="9" t="s">
        <v>32</v>
      </c>
      <c r="C8" s="16"/>
      <c r="D8" s="16"/>
      <c r="E8" s="10"/>
      <c r="F8" s="9"/>
      <c r="G8" s="9"/>
      <c r="H8" s="10"/>
      <c r="I8" s="10"/>
      <c r="J8" s="10"/>
      <c r="K8" s="10"/>
      <c r="L8" s="59"/>
      <c r="M8" s="47"/>
      <c r="N8" s="29" t="s">
        <v>43</v>
      </c>
      <c r="O8" s="29"/>
      <c r="P8" s="29"/>
      <c r="Q8" s="29"/>
      <c r="R8" s="34"/>
    </row>
    <row r="9" spans="1:20" s="2" customFormat="1" ht="20" customHeight="1">
      <c r="A9" s="8" t="s">
        <v>33</v>
      </c>
      <c r="B9" s="9" t="s">
        <v>12</v>
      </c>
      <c r="C9" s="9"/>
      <c r="D9" s="9"/>
      <c r="E9" s="10"/>
      <c r="F9" s="204" t="s">
        <v>123</v>
      </c>
      <c r="G9" s="206" t="s">
        <v>124</v>
      </c>
      <c r="H9" s="10">
        <v>29171004</v>
      </c>
      <c r="I9" s="10">
        <f>1740000+215764+2160000+25055240</f>
        <v>29171004</v>
      </c>
      <c r="J9" s="10">
        <f>H9-I9</f>
        <v>0</v>
      </c>
      <c r="K9" s="17"/>
      <c r="L9" s="66" t="s">
        <v>118</v>
      </c>
      <c r="M9" s="46"/>
      <c r="N9" s="32" t="s">
        <v>115</v>
      </c>
      <c r="O9" s="33" t="s">
        <v>130</v>
      </c>
      <c r="P9" s="29">
        <f>SUM(P10:P11)</f>
        <v>27215240</v>
      </c>
      <c r="Q9" s="29"/>
      <c r="R9" s="34"/>
      <c r="T9" s="15"/>
    </row>
    <row r="10" spans="1:20" s="2" customFormat="1" ht="20" customHeight="1">
      <c r="A10" s="8" t="s">
        <v>34</v>
      </c>
      <c r="B10" s="9" t="s">
        <v>13</v>
      </c>
      <c r="C10" s="9"/>
      <c r="D10" s="9"/>
      <c r="E10" s="10"/>
      <c r="F10" s="195"/>
      <c r="G10" s="193"/>
      <c r="H10" s="10">
        <v>990083</v>
      </c>
      <c r="I10" s="10">
        <f>318083+672000</f>
        <v>990083</v>
      </c>
      <c r="J10" s="10">
        <f t="shared" ref="J10:J16" si="0">H10-I10</f>
        <v>0</v>
      </c>
      <c r="K10" s="10"/>
      <c r="L10" s="66" t="s">
        <v>118</v>
      </c>
      <c r="M10" s="47"/>
      <c r="N10" s="32" t="s">
        <v>87</v>
      </c>
      <c r="O10" s="32" t="s">
        <v>45</v>
      </c>
      <c r="P10" s="32">
        <v>2160000</v>
      </c>
      <c r="Q10" s="32"/>
      <c r="R10" s="34"/>
      <c r="T10" s="15"/>
    </row>
    <row r="11" spans="1:20" s="2" customFormat="1" ht="20" customHeight="1">
      <c r="A11" s="8" t="s">
        <v>35</v>
      </c>
      <c r="B11" s="9" t="s">
        <v>14</v>
      </c>
      <c r="C11" s="9"/>
      <c r="D11" s="9"/>
      <c r="E11" s="10"/>
      <c r="F11" s="204" t="s">
        <v>123</v>
      </c>
      <c r="G11" s="205" t="s">
        <v>126</v>
      </c>
      <c r="H11" s="10">
        <v>920000</v>
      </c>
      <c r="I11" s="10">
        <f>620000+300000</f>
        <v>920000</v>
      </c>
      <c r="J11" s="10">
        <f t="shared" si="0"/>
        <v>0</v>
      </c>
      <c r="K11" s="17"/>
      <c r="L11" s="66"/>
      <c r="M11" s="46"/>
      <c r="N11" s="32"/>
      <c r="O11" s="32" t="s">
        <v>47</v>
      </c>
      <c r="P11" s="32">
        <v>25055240</v>
      </c>
      <c r="Q11" s="32"/>
      <c r="R11" s="34"/>
      <c r="T11" s="15"/>
    </row>
    <row r="12" spans="1:20" s="2" customFormat="1" ht="20" customHeight="1">
      <c r="A12" s="8" t="s">
        <v>36</v>
      </c>
      <c r="B12" s="9" t="s">
        <v>15</v>
      </c>
      <c r="C12" s="9"/>
      <c r="D12" s="9"/>
      <c r="E12" s="10"/>
      <c r="F12" s="195"/>
      <c r="G12" s="193"/>
      <c r="H12" s="10">
        <v>12898680</v>
      </c>
      <c r="I12" s="10">
        <f>1499400+6885000+2640000+1874280</f>
        <v>12898680</v>
      </c>
      <c r="J12" s="10">
        <f t="shared" si="0"/>
        <v>0</v>
      </c>
      <c r="K12" s="10"/>
      <c r="L12" s="66" t="s">
        <v>118</v>
      </c>
      <c r="M12" s="47"/>
      <c r="N12" s="32"/>
      <c r="O12" s="33"/>
      <c r="P12" s="29"/>
      <c r="Q12" s="32"/>
      <c r="R12" s="34"/>
      <c r="T12" s="15"/>
    </row>
    <row r="13" spans="1:20" s="2" customFormat="1" ht="20" customHeight="1">
      <c r="A13" s="8" t="s">
        <v>37</v>
      </c>
      <c r="B13" s="9" t="s">
        <v>16</v>
      </c>
      <c r="C13" s="9"/>
      <c r="D13" s="9"/>
      <c r="E13" s="10"/>
      <c r="F13" s="204" t="s">
        <v>123</v>
      </c>
      <c r="G13" s="205" t="s">
        <v>125</v>
      </c>
      <c r="H13" s="10">
        <v>9487000</v>
      </c>
      <c r="I13" s="10">
        <f>6980000+1232000+1275000</f>
        <v>9487000</v>
      </c>
      <c r="J13" s="10">
        <f t="shared" si="0"/>
        <v>0</v>
      </c>
      <c r="K13" s="21"/>
      <c r="L13" s="66" t="s">
        <v>118</v>
      </c>
      <c r="M13" s="47"/>
      <c r="N13" s="32" t="s">
        <v>131</v>
      </c>
      <c r="O13" s="33" t="s">
        <v>130</v>
      </c>
      <c r="P13" s="29">
        <f>SUM(P14:P16)</f>
        <v>4723847</v>
      </c>
      <c r="Q13" s="29"/>
      <c r="R13" s="34"/>
    </row>
    <row r="14" spans="1:20" s="2" customFormat="1" ht="20" customHeight="1">
      <c r="A14" s="8" t="s">
        <v>38</v>
      </c>
      <c r="B14" s="9" t="s">
        <v>17</v>
      </c>
      <c r="C14" s="9"/>
      <c r="D14" s="9"/>
      <c r="E14" s="10"/>
      <c r="F14" s="195"/>
      <c r="G14" s="193"/>
      <c r="H14" s="10">
        <v>9286000</v>
      </c>
      <c r="I14" s="10">
        <f>1278000+2400000+2090000+308000+3210000</f>
        <v>9286000</v>
      </c>
      <c r="J14" s="10">
        <f t="shared" si="0"/>
        <v>0</v>
      </c>
      <c r="K14" s="10"/>
      <c r="L14" s="66" t="s">
        <v>118</v>
      </c>
      <c r="M14" s="47"/>
      <c r="N14" s="32" t="s">
        <v>21</v>
      </c>
      <c r="O14" s="51" t="s">
        <v>49</v>
      </c>
      <c r="P14" s="39">
        <v>980000</v>
      </c>
      <c r="Q14" s="32"/>
      <c r="R14" s="34"/>
    </row>
    <row r="15" spans="1:20" s="2" customFormat="1" ht="20" customHeight="1">
      <c r="A15" s="8" t="s">
        <v>39</v>
      </c>
      <c r="B15" s="9" t="s">
        <v>18</v>
      </c>
      <c r="C15" s="9"/>
      <c r="D15" s="9"/>
      <c r="E15" s="10"/>
      <c r="F15" s="73" t="s">
        <v>123</v>
      </c>
      <c r="G15" s="73" t="s">
        <v>127</v>
      </c>
      <c r="H15" s="56">
        <v>37247233</v>
      </c>
      <c r="I15" s="56">
        <f>4798847+11657500+840000+4950000+9347000+4728000</f>
        <v>36321347</v>
      </c>
      <c r="J15" s="10">
        <f t="shared" si="0"/>
        <v>925886</v>
      </c>
      <c r="K15" s="74"/>
      <c r="L15" s="66" t="s">
        <v>118</v>
      </c>
      <c r="M15" s="75"/>
      <c r="N15" s="32"/>
      <c r="O15" s="40" t="s">
        <v>46</v>
      </c>
      <c r="P15" s="39">
        <v>533847</v>
      </c>
      <c r="Q15" s="32"/>
      <c r="R15" s="34"/>
    </row>
    <row r="16" spans="1:20" s="2" customFormat="1" ht="20" customHeight="1">
      <c r="A16" s="8" t="s">
        <v>40</v>
      </c>
      <c r="B16" s="9" t="s">
        <v>19</v>
      </c>
      <c r="C16" s="9"/>
      <c r="D16" s="9"/>
      <c r="E16" s="10"/>
      <c r="F16" s="25"/>
      <c r="G16" s="9"/>
      <c r="H16" s="76">
        <v>0</v>
      </c>
      <c r="I16" s="56">
        <v>0</v>
      </c>
      <c r="J16" s="10">
        <f t="shared" si="0"/>
        <v>0</v>
      </c>
      <c r="K16" s="56"/>
      <c r="L16" s="66"/>
      <c r="M16" s="69"/>
      <c r="N16" s="39"/>
      <c r="O16" s="39" t="s">
        <v>47</v>
      </c>
      <c r="P16" s="41">
        <v>3210000</v>
      </c>
      <c r="Q16" s="32"/>
      <c r="R16" s="34"/>
    </row>
    <row r="17" spans="1:18" s="2" customFormat="1" ht="20" customHeight="1">
      <c r="A17" s="8"/>
      <c r="B17" s="9"/>
      <c r="C17" s="9"/>
      <c r="D17" s="9"/>
      <c r="E17" s="10"/>
      <c r="F17" s="45"/>
      <c r="G17" s="22"/>
      <c r="H17" s="10"/>
      <c r="I17" s="10"/>
      <c r="J17" s="10"/>
      <c r="K17" s="10"/>
      <c r="L17" s="62"/>
      <c r="M17" s="47"/>
      <c r="N17" s="32"/>
      <c r="O17" s="40"/>
      <c r="P17" s="41"/>
      <c r="Q17" s="32"/>
      <c r="R17" s="34"/>
    </row>
    <row r="18" spans="1:18" s="3" customFormat="1" ht="20" customHeight="1">
      <c r="A18" s="11"/>
      <c r="B18" s="11" t="s">
        <v>20</v>
      </c>
      <c r="C18" s="11"/>
      <c r="D18" s="12"/>
      <c r="E18" s="13">
        <f>SUM(E6:E16)</f>
        <v>100000000</v>
      </c>
      <c r="F18" s="12"/>
      <c r="G18" s="12"/>
      <c r="H18" s="13">
        <f>SUM(H6:H17)</f>
        <v>100000000</v>
      </c>
      <c r="I18" s="18">
        <f>SUM(I6:I17)</f>
        <v>99074114</v>
      </c>
      <c r="J18" s="13">
        <f>SUM(J6:J17)</f>
        <v>925886</v>
      </c>
      <c r="K18" s="13"/>
      <c r="L18" s="63"/>
      <c r="M18" s="48"/>
      <c r="N18" s="32" t="s">
        <v>132</v>
      </c>
      <c r="O18" s="33" t="s">
        <v>130</v>
      </c>
      <c r="P18" s="29">
        <f>SUM(P19:P25)</f>
        <v>39336347</v>
      </c>
      <c r="Q18" s="32"/>
      <c r="R18" s="34"/>
    </row>
    <row r="19" spans="1:18" s="37" customFormat="1" ht="20" customHeight="1">
      <c r="A19" s="1"/>
      <c r="J19" s="15"/>
      <c r="K19" s="15"/>
      <c r="L19" s="61"/>
      <c r="M19" s="49"/>
      <c r="N19" s="32" t="s">
        <v>22</v>
      </c>
      <c r="O19" s="51" t="s">
        <v>49</v>
      </c>
      <c r="P19" s="39">
        <v>4798847</v>
      </c>
      <c r="Q19" s="41"/>
      <c r="R19" s="42"/>
    </row>
    <row r="20" spans="1:18">
      <c r="N20" s="32"/>
      <c r="O20" s="40" t="s">
        <v>50</v>
      </c>
      <c r="P20" s="39">
        <v>840000</v>
      </c>
      <c r="Q20" s="23"/>
      <c r="R20" s="23"/>
    </row>
    <row r="21" spans="1:18">
      <c r="N21" s="32"/>
      <c r="O21" s="39" t="s">
        <v>107</v>
      </c>
      <c r="P21" s="41">
        <v>4728000</v>
      </c>
      <c r="Q21" s="23"/>
      <c r="R21" s="23"/>
    </row>
    <row r="22" spans="1:18">
      <c r="H22" s="14">
        <f>SUM(H11:H12)</f>
        <v>13818680</v>
      </c>
      <c r="J22">
        <v>925886</v>
      </c>
      <c r="N22" s="32"/>
      <c r="O22" s="39" t="s">
        <v>45</v>
      </c>
      <c r="P22" s="41">
        <v>3015000</v>
      </c>
      <c r="Q22" s="23"/>
      <c r="R22" s="23"/>
    </row>
    <row r="23" spans="1:18">
      <c r="N23" s="32"/>
      <c r="O23" s="39" t="s">
        <v>51</v>
      </c>
      <c r="P23" s="41">
        <v>11657500</v>
      </c>
      <c r="Q23" s="23"/>
      <c r="R23" s="23"/>
    </row>
    <row r="24" spans="1:18">
      <c r="N24" s="32"/>
      <c r="O24" s="39" t="s">
        <v>77</v>
      </c>
      <c r="P24" s="41">
        <v>4950000</v>
      </c>
      <c r="Q24" s="23"/>
      <c r="R24" s="23"/>
    </row>
    <row r="25" spans="1:18">
      <c r="N25" s="39"/>
      <c r="O25" s="39" t="s">
        <v>76</v>
      </c>
      <c r="P25" s="41">
        <v>9347000</v>
      </c>
      <c r="Q25" s="23"/>
      <c r="R25" s="23"/>
    </row>
    <row r="26" spans="1:18">
      <c r="N26" s="39"/>
      <c r="O26" s="39"/>
      <c r="P26" s="41"/>
      <c r="Q26" s="23"/>
      <c r="R26" s="23"/>
    </row>
    <row r="27" spans="1:18">
      <c r="N27" s="32" t="s">
        <v>133</v>
      </c>
      <c r="O27" s="33" t="s">
        <v>130</v>
      </c>
      <c r="P27" s="29">
        <f>SUM(P28:P31)</f>
        <v>27798680</v>
      </c>
      <c r="Q27" s="29"/>
      <c r="R27" s="34"/>
    </row>
    <row r="28" spans="1:18">
      <c r="N28" s="32" t="s">
        <v>134</v>
      </c>
      <c r="O28" s="51" t="s">
        <v>45</v>
      </c>
      <c r="P28" s="39">
        <v>13534400</v>
      </c>
      <c r="Q28" s="32"/>
      <c r="R28" s="34"/>
    </row>
    <row r="29" spans="1:18">
      <c r="N29" s="32"/>
      <c r="O29" s="40" t="s">
        <v>135</v>
      </c>
      <c r="P29" s="39">
        <v>2400000</v>
      </c>
      <c r="Q29" s="32"/>
      <c r="R29" s="34"/>
    </row>
    <row r="30" spans="1:18">
      <c r="N30" s="39"/>
      <c r="O30" s="39" t="s">
        <v>47</v>
      </c>
      <c r="P30" s="41">
        <v>11564280</v>
      </c>
      <c r="Q30" s="32"/>
      <c r="R30" s="34"/>
    </row>
    <row r="31" spans="1:18">
      <c r="N31" s="39"/>
      <c r="O31" s="39" t="s">
        <v>74</v>
      </c>
      <c r="P31" s="41">
        <v>300000</v>
      </c>
      <c r="Q31" s="32"/>
      <c r="R31" s="34"/>
    </row>
  </sheetData>
  <mergeCells count="21"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M4:M5"/>
    <mergeCell ref="N4:P5"/>
    <mergeCell ref="Q4:Q5"/>
    <mergeCell ref="R4:R5"/>
    <mergeCell ref="F9:F10"/>
    <mergeCell ref="G9:G10"/>
    <mergeCell ref="F11:F12"/>
    <mergeCell ref="G11:G12"/>
    <mergeCell ref="F13:F14"/>
    <mergeCell ref="G13:G14"/>
    <mergeCell ref="L4:L5"/>
  </mergeCells>
  <pageMargins left="0.7" right="0.7" top="0.75" bottom="0.75" header="0.3" footer="0.3"/>
  <pageSetup paperSize="9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6781-A976-4E63-8545-282CDFB5950D}">
  <dimension ref="A1:T25"/>
  <sheetViews>
    <sheetView view="pageBreakPreview" topLeftCell="B4" zoomScale="80" zoomScaleNormal="100" zoomScaleSheetLayoutView="80" workbookViewId="0">
      <selection activeCell="L15" sqref="L15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4.9062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136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9"/>
      <c r="D6" s="9"/>
      <c r="E6" s="10">
        <v>925886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77" t="s">
        <v>137</v>
      </c>
      <c r="C7" s="78" t="s">
        <v>138</v>
      </c>
      <c r="D7" s="78" t="s">
        <v>139</v>
      </c>
      <c r="E7" s="10">
        <v>99074114</v>
      </c>
      <c r="F7" s="9"/>
      <c r="G7" s="9"/>
      <c r="H7" s="10"/>
      <c r="I7" s="10"/>
      <c r="J7" s="10"/>
      <c r="K7" s="10"/>
      <c r="L7" s="59"/>
      <c r="M7" s="32"/>
      <c r="N7" s="29" t="s">
        <v>146</v>
      </c>
      <c r="O7" s="33" t="s">
        <v>147</v>
      </c>
      <c r="P7" s="32">
        <f>SUM(P9+P14+P23)</f>
        <v>99472705</v>
      </c>
      <c r="Q7" s="32"/>
      <c r="R7" s="33"/>
    </row>
    <row r="8" spans="1:20" s="2" customFormat="1" ht="20" customHeight="1">
      <c r="A8" s="8">
        <v>2</v>
      </c>
      <c r="B8" s="9" t="s">
        <v>32</v>
      </c>
      <c r="C8" s="16"/>
      <c r="D8" s="16"/>
      <c r="E8" s="10"/>
      <c r="F8" s="9"/>
      <c r="G8" s="9"/>
      <c r="H8" s="10"/>
      <c r="I8" s="10"/>
      <c r="J8" s="10"/>
      <c r="K8" s="10"/>
      <c r="L8" s="59"/>
      <c r="M8" s="47"/>
      <c r="N8" s="29" t="s">
        <v>43</v>
      </c>
      <c r="O8" s="29"/>
      <c r="P8" s="29"/>
      <c r="Q8" s="29"/>
      <c r="R8" s="34"/>
    </row>
    <row r="9" spans="1:20" s="2" customFormat="1" ht="20" customHeight="1">
      <c r="A9" s="8" t="s">
        <v>33</v>
      </c>
      <c r="B9" s="9" t="s">
        <v>12</v>
      </c>
      <c r="C9" s="9"/>
      <c r="D9" s="9"/>
      <c r="E9" s="10"/>
      <c r="F9" s="207" t="s">
        <v>141</v>
      </c>
      <c r="G9" s="207" t="s">
        <v>143</v>
      </c>
      <c r="H9" s="10">
        <v>1184977</v>
      </c>
      <c r="I9" s="10">
        <f>178977+706000+300000</f>
        <v>1184977</v>
      </c>
      <c r="J9" s="10">
        <f>H9-I9</f>
        <v>0</v>
      </c>
      <c r="K9" s="17"/>
      <c r="L9" s="66" t="s">
        <v>118</v>
      </c>
      <c r="M9" s="46"/>
      <c r="N9" s="32" t="s">
        <v>148</v>
      </c>
      <c r="O9" s="33" t="s">
        <v>147</v>
      </c>
      <c r="P9" s="29">
        <f>SUM(P10:P12)</f>
        <v>15598582</v>
      </c>
      <c r="Q9" s="29"/>
      <c r="R9" s="34"/>
      <c r="T9" s="15"/>
    </row>
    <row r="10" spans="1:20" s="2" customFormat="1" ht="20" customHeight="1">
      <c r="A10" s="8" t="s">
        <v>34</v>
      </c>
      <c r="B10" s="9" t="s">
        <v>13</v>
      </c>
      <c r="C10" s="9"/>
      <c r="D10" s="9"/>
      <c r="E10" s="10"/>
      <c r="F10" s="208"/>
      <c r="G10" s="208"/>
      <c r="H10" s="10">
        <v>11240605</v>
      </c>
      <c r="I10" s="10">
        <f>2185000+358105+4247000+4450500</f>
        <v>11240605</v>
      </c>
      <c r="J10" s="10">
        <f t="shared" ref="J10:J16" si="0">H10-I10</f>
        <v>0</v>
      </c>
      <c r="K10" s="10"/>
      <c r="L10" s="66" t="s">
        <v>118</v>
      </c>
      <c r="M10" s="47"/>
      <c r="N10" s="32" t="s">
        <v>21</v>
      </c>
      <c r="O10" s="32" t="s">
        <v>45</v>
      </c>
      <c r="P10" s="32">
        <v>1411000</v>
      </c>
      <c r="Q10" s="32"/>
      <c r="R10" s="34"/>
      <c r="T10" s="15"/>
    </row>
    <row r="11" spans="1:20" s="2" customFormat="1" ht="20" customHeight="1">
      <c r="A11" s="8" t="s">
        <v>35</v>
      </c>
      <c r="B11" s="9" t="s">
        <v>14</v>
      </c>
      <c r="C11" s="9"/>
      <c r="D11" s="9"/>
      <c r="E11" s="10"/>
      <c r="F11" s="83" t="s">
        <v>141</v>
      </c>
      <c r="G11" s="83" t="s">
        <v>144</v>
      </c>
      <c r="H11" s="10">
        <v>4810000</v>
      </c>
      <c r="I11" s="10">
        <f>818500+995000+1498000+1498500</f>
        <v>4810000</v>
      </c>
      <c r="J11" s="10">
        <f t="shared" si="0"/>
        <v>0</v>
      </c>
      <c r="K11" s="17"/>
      <c r="L11" s="66"/>
      <c r="M11" s="46"/>
      <c r="N11" s="32"/>
      <c r="O11" s="32" t="s">
        <v>46</v>
      </c>
      <c r="P11" s="32">
        <v>537082</v>
      </c>
      <c r="Q11" s="32"/>
      <c r="R11" s="34"/>
      <c r="T11" s="15"/>
    </row>
    <row r="12" spans="1:20" s="2" customFormat="1" ht="20" customHeight="1">
      <c r="A12" s="8" t="s">
        <v>36</v>
      </c>
      <c r="B12" s="9" t="s">
        <v>15</v>
      </c>
      <c r="C12" s="9"/>
      <c r="D12" s="9"/>
      <c r="E12" s="10"/>
      <c r="F12" s="82"/>
      <c r="G12" s="82"/>
      <c r="H12" s="10"/>
      <c r="I12" s="10"/>
      <c r="J12" s="10">
        <f t="shared" si="0"/>
        <v>0</v>
      </c>
      <c r="K12" s="10"/>
      <c r="L12" s="66"/>
      <c r="M12" s="47"/>
      <c r="N12" s="32"/>
      <c r="O12" s="39" t="s">
        <v>47</v>
      </c>
      <c r="P12" s="41">
        <v>13650500</v>
      </c>
      <c r="Q12" s="32"/>
      <c r="R12" s="34"/>
      <c r="T12" s="15"/>
    </row>
    <row r="13" spans="1:20" s="2" customFormat="1" ht="20" customHeight="1">
      <c r="A13" s="8" t="s">
        <v>37</v>
      </c>
      <c r="B13" s="9" t="s">
        <v>16</v>
      </c>
      <c r="C13" s="9"/>
      <c r="D13" s="9"/>
      <c r="E13" s="10"/>
      <c r="F13" s="207" t="s">
        <v>141</v>
      </c>
      <c r="G13" s="207" t="s">
        <v>145</v>
      </c>
      <c r="H13" s="10">
        <v>5353856</v>
      </c>
      <c r="I13" s="10">
        <v>5353856</v>
      </c>
      <c r="J13" s="10">
        <f t="shared" si="0"/>
        <v>0</v>
      </c>
      <c r="K13" s="21"/>
      <c r="L13" s="66" t="s">
        <v>118</v>
      </c>
      <c r="M13" s="47"/>
      <c r="N13" s="32"/>
      <c r="O13" s="33"/>
      <c r="P13" s="29"/>
      <c r="Q13" s="29"/>
      <c r="R13" s="34"/>
    </row>
    <row r="14" spans="1:20" s="2" customFormat="1" ht="20" customHeight="1">
      <c r="A14" s="8" t="s">
        <v>38</v>
      </c>
      <c r="B14" s="9" t="s">
        <v>17</v>
      </c>
      <c r="C14" s="9"/>
      <c r="D14" s="9"/>
      <c r="E14" s="10"/>
      <c r="F14" s="208"/>
      <c r="G14" s="208"/>
      <c r="H14" s="10">
        <v>4890247</v>
      </c>
      <c r="I14" s="10">
        <f>221700+3084000+411547+273000+900000</f>
        <v>4890247</v>
      </c>
      <c r="J14" s="10">
        <f t="shared" si="0"/>
        <v>0</v>
      </c>
      <c r="K14" s="10"/>
      <c r="L14" s="66" t="s">
        <v>118</v>
      </c>
      <c r="M14" s="47"/>
      <c r="N14" s="32" t="s">
        <v>149</v>
      </c>
      <c r="O14" s="33" t="s">
        <v>147</v>
      </c>
      <c r="P14" s="29">
        <f>SUM(P15:P21)</f>
        <v>74396067</v>
      </c>
      <c r="Q14" s="32"/>
      <c r="R14" s="34"/>
    </row>
    <row r="15" spans="1:20" s="2" customFormat="1" ht="20" customHeight="1">
      <c r="A15" s="8" t="s">
        <v>39</v>
      </c>
      <c r="B15" s="9" t="s">
        <v>18</v>
      </c>
      <c r="C15" s="9"/>
      <c r="D15" s="9"/>
      <c r="E15" s="10"/>
      <c r="F15" s="79" t="s">
        <v>139</v>
      </c>
      <c r="G15" s="79" t="s">
        <v>140</v>
      </c>
      <c r="H15" s="56">
        <v>70000000</v>
      </c>
      <c r="I15" s="56">
        <f>24330020+930000+1050000+1435000+37520000+4728000</f>
        <v>69993020</v>
      </c>
      <c r="J15" s="10">
        <f t="shared" si="0"/>
        <v>6980</v>
      </c>
      <c r="K15" s="84" t="s">
        <v>151</v>
      </c>
      <c r="L15" s="66"/>
      <c r="M15" s="75"/>
      <c r="N15" s="32" t="s">
        <v>22</v>
      </c>
      <c r="O15" s="51" t="s">
        <v>49</v>
      </c>
      <c r="P15" s="39">
        <v>37520000</v>
      </c>
      <c r="Q15" s="32"/>
      <c r="R15" s="34"/>
    </row>
    <row r="16" spans="1:20" s="2" customFormat="1" ht="20" customHeight="1">
      <c r="A16" s="8" t="s">
        <v>40</v>
      </c>
      <c r="B16" s="9" t="s">
        <v>19</v>
      </c>
      <c r="C16" s="9"/>
      <c r="D16" s="9"/>
      <c r="E16" s="10"/>
      <c r="F16" s="82" t="s">
        <v>141</v>
      </c>
      <c r="G16" s="83" t="s">
        <v>142</v>
      </c>
      <c r="H16" s="76">
        <v>2000000</v>
      </c>
      <c r="I16" s="56">
        <f>1568000+432000</f>
        <v>2000000</v>
      </c>
      <c r="J16" s="10">
        <f t="shared" si="0"/>
        <v>0</v>
      </c>
      <c r="K16" s="56"/>
      <c r="L16" s="66" t="s">
        <v>118</v>
      </c>
      <c r="M16" s="69"/>
      <c r="N16" s="39"/>
      <c r="O16" s="39" t="s">
        <v>107</v>
      </c>
      <c r="P16" s="39">
        <v>4728000</v>
      </c>
      <c r="Q16" s="32"/>
      <c r="R16" s="34"/>
    </row>
    <row r="17" spans="1:18" s="2" customFormat="1" ht="20" customHeight="1">
      <c r="A17" s="8"/>
      <c r="B17" s="9"/>
      <c r="C17" s="9"/>
      <c r="D17" s="9"/>
      <c r="E17" s="10"/>
      <c r="F17" s="45"/>
      <c r="G17" s="22"/>
      <c r="H17" s="10"/>
      <c r="I17" s="10"/>
      <c r="J17" s="10"/>
      <c r="K17" s="10"/>
      <c r="L17" s="62"/>
      <c r="M17" s="47"/>
      <c r="N17" s="32"/>
      <c r="O17" s="39" t="s">
        <v>45</v>
      </c>
      <c r="P17" s="39">
        <v>3991500</v>
      </c>
      <c r="Q17" s="32"/>
      <c r="R17" s="34"/>
    </row>
    <row r="18" spans="1:18" s="3" customFormat="1" ht="20" customHeight="1">
      <c r="A18" s="11"/>
      <c r="B18" s="11" t="s">
        <v>20</v>
      </c>
      <c r="C18" s="11"/>
      <c r="D18" s="12"/>
      <c r="E18" s="13">
        <f>SUM(E6:E16)</f>
        <v>100000000</v>
      </c>
      <c r="F18" s="12"/>
      <c r="G18" s="12"/>
      <c r="H18" s="13">
        <f>SUM(H6:H17)</f>
        <v>99479685</v>
      </c>
      <c r="I18" s="18">
        <f>SUM(I6:I17)</f>
        <v>99472705</v>
      </c>
      <c r="J18" s="13">
        <f>SUM(J6:J17)</f>
        <v>6980</v>
      </c>
      <c r="K18" s="13">
        <f>E18-H18</f>
        <v>520315</v>
      </c>
      <c r="L18" s="63"/>
      <c r="M18" s="48"/>
      <c r="N18" s="32"/>
      <c r="O18" s="39" t="s">
        <v>46</v>
      </c>
      <c r="P18" s="41">
        <v>411547</v>
      </c>
      <c r="Q18" s="32"/>
      <c r="R18" s="34"/>
    </row>
    <row r="19" spans="1:18" s="37" customFormat="1" ht="20" customHeight="1">
      <c r="A19" s="1"/>
      <c r="J19" s="15"/>
      <c r="K19" s="15"/>
      <c r="L19" s="61"/>
      <c r="M19" s="49"/>
      <c r="N19" s="32"/>
      <c r="O19" s="39" t="s">
        <v>76</v>
      </c>
      <c r="P19" s="41">
        <v>1435000</v>
      </c>
      <c r="Q19" s="41"/>
      <c r="R19" s="42"/>
    </row>
    <row r="20" spans="1:18">
      <c r="N20" s="32"/>
      <c r="O20" s="51" t="s">
        <v>47</v>
      </c>
      <c r="P20" s="39">
        <v>25260020</v>
      </c>
      <c r="Q20" s="23"/>
      <c r="R20" s="23"/>
    </row>
    <row r="21" spans="1:18">
      <c r="K21" s="14">
        <f>K18+J18</f>
        <v>527295</v>
      </c>
      <c r="N21" s="32"/>
      <c r="O21" s="40" t="s">
        <v>74</v>
      </c>
      <c r="P21" s="39">
        <v>1050000</v>
      </c>
      <c r="Q21" s="23"/>
      <c r="R21" s="23"/>
    </row>
    <row r="22" spans="1:18">
      <c r="K22">
        <v>527295</v>
      </c>
      <c r="N22" s="39"/>
      <c r="O22" s="39"/>
      <c r="P22" s="41"/>
      <c r="Q22" s="23"/>
      <c r="R22" s="23"/>
    </row>
    <row r="23" spans="1:18">
      <c r="K23">
        <v>99472705</v>
      </c>
      <c r="N23" s="32" t="s">
        <v>150</v>
      </c>
      <c r="O23" s="33" t="s">
        <v>147</v>
      </c>
      <c r="P23" s="29">
        <f>SUM(P24:P25)</f>
        <v>9478056</v>
      </c>
      <c r="Q23" s="29"/>
      <c r="R23" s="34"/>
    </row>
    <row r="24" spans="1:18">
      <c r="N24" s="32" t="s">
        <v>134</v>
      </c>
      <c r="O24" s="51" t="s">
        <v>45</v>
      </c>
      <c r="P24" s="39">
        <v>221700</v>
      </c>
      <c r="Q24" s="32"/>
      <c r="R24" s="34"/>
    </row>
    <row r="25" spans="1:18">
      <c r="N25" s="39"/>
      <c r="O25" s="39" t="s">
        <v>47</v>
      </c>
      <c r="P25" s="41">
        <v>9256356</v>
      </c>
      <c r="Q25" s="32"/>
      <c r="R25" s="34"/>
    </row>
  </sheetData>
  <mergeCells count="19">
    <mergeCell ref="F13:F14"/>
    <mergeCell ref="G13:G14"/>
    <mergeCell ref="L4:L5"/>
    <mergeCell ref="N4:P5"/>
    <mergeCell ref="Q4:Q5"/>
    <mergeCell ref="R4:R5"/>
    <mergeCell ref="F9:F10"/>
    <mergeCell ref="G9:G10"/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M4:M5"/>
  </mergeCells>
  <pageMargins left="0.7" right="0.7" top="0.75" bottom="0.75" header="0.3" footer="0.3"/>
  <pageSetup paperSize="9"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C4B6-10C6-406E-B042-DFB4A5732896}">
  <dimension ref="A1:T26"/>
  <sheetViews>
    <sheetView view="pageBreakPreview" zoomScale="70" zoomScaleNormal="100" zoomScaleSheetLayoutView="70" workbookViewId="0">
      <selection activeCell="M16" sqref="M16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4.9062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152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9"/>
      <c r="D6" s="9"/>
      <c r="E6" s="10">
        <v>527295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85" t="s">
        <v>153</v>
      </c>
      <c r="C7" s="86" t="s">
        <v>154</v>
      </c>
      <c r="D7" s="86" t="s">
        <v>154</v>
      </c>
      <c r="E7" s="10">
        <v>99472705</v>
      </c>
      <c r="F7" s="9"/>
      <c r="G7" s="9"/>
      <c r="H7" s="10"/>
      <c r="I7" s="10"/>
      <c r="J7" s="10"/>
      <c r="K7" s="10"/>
      <c r="L7" s="59"/>
      <c r="M7" s="32"/>
      <c r="N7" s="29" t="s">
        <v>162</v>
      </c>
      <c r="O7" s="33" t="s">
        <v>158</v>
      </c>
      <c r="P7" s="32">
        <f>SUM(P10+P15+P18)</f>
        <v>99868183</v>
      </c>
      <c r="Q7" s="32"/>
      <c r="R7" s="33"/>
    </row>
    <row r="8" spans="1:20" s="2" customFormat="1" ht="20" customHeight="1">
      <c r="A8" s="8"/>
      <c r="B8" s="85" t="s">
        <v>160</v>
      </c>
      <c r="C8" s="86"/>
      <c r="D8" s="86"/>
      <c r="E8" s="10"/>
      <c r="F8" s="86" t="s">
        <v>154</v>
      </c>
      <c r="G8" s="9"/>
      <c r="H8" s="10">
        <f>-7625747</f>
        <v>-7625747</v>
      </c>
      <c r="I8" s="10"/>
      <c r="J8" s="10"/>
      <c r="K8" s="10"/>
      <c r="L8" s="59"/>
      <c r="M8" s="32"/>
      <c r="N8" s="29"/>
      <c r="O8" s="33"/>
      <c r="P8" s="32"/>
      <c r="Q8" s="32"/>
      <c r="R8" s="33"/>
    </row>
    <row r="9" spans="1:20" s="2" customFormat="1" ht="20" customHeight="1">
      <c r="A9" s="8">
        <v>2</v>
      </c>
      <c r="B9" s="9" t="s">
        <v>32</v>
      </c>
      <c r="C9" s="16"/>
      <c r="D9" s="16"/>
      <c r="E9" s="10"/>
      <c r="F9" s="9"/>
      <c r="G9" s="9"/>
      <c r="H9" s="10"/>
      <c r="I9" s="10"/>
      <c r="J9" s="10"/>
      <c r="K9" s="10"/>
      <c r="L9" s="59"/>
      <c r="M9" s="47"/>
      <c r="N9" s="29" t="s">
        <v>43</v>
      </c>
      <c r="O9" s="29"/>
      <c r="P9" s="29"/>
      <c r="Q9" s="29"/>
      <c r="R9" s="34"/>
    </row>
    <row r="10" spans="1:20" s="2" customFormat="1" ht="20" customHeight="1">
      <c r="A10" s="8" t="s">
        <v>33</v>
      </c>
      <c r="B10" s="9" t="s">
        <v>12</v>
      </c>
      <c r="C10" s="9"/>
      <c r="D10" s="9"/>
      <c r="E10" s="10"/>
      <c r="F10" s="86" t="s">
        <v>154</v>
      </c>
      <c r="G10" s="86" t="s">
        <v>155</v>
      </c>
      <c r="H10" s="10">
        <v>67000000</v>
      </c>
      <c r="I10" s="10">
        <f>59954200+6000000</f>
        <v>65954200</v>
      </c>
      <c r="J10" s="10">
        <f>H10-I10</f>
        <v>1045800</v>
      </c>
      <c r="K10" s="89" t="s">
        <v>154</v>
      </c>
      <c r="L10" s="66" t="s">
        <v>118</v>
      </c>
      <c r="M10" s="46"/>
      <c r="N10" s="32" t="s">
        <v>163</v>
      </c>
      <c r="O10" s="33" t="s">
        <v>158</v>
      </c>
      <c r="P10" s="29">
        <f>SUM(P11:P13)</f>
        <v>73938200</v>
      </c>
      <c r="Q10" s="29"/>
      <c r="R10" s="34"/>
      <c r="T10" s="15"/>
    </row>
    <row r="11" spans="1:20" s="2" customFormat="1" ht="20" customHeight="1">
      <c r="A11" s="8" t="s">
        <v>34</v>
      </c>
      <c r="B11" s="9" t="s">
        <v>13</v>
      </c>
      <c r="C11" s="9"/>
      <c r="D11" s="9"/>
      <c r="E11" s="10"/>
      <c r="F11" s="82"/>
      <c r="G11" s="82"/>
      <c r="H11" s="10">
        <v>0</v>
      </c>
      <c r="I11" s="10">
        <v>0</v>
      </c>
      <c r="J11" s="10">
        <f t="shared" ref="J11:J17" si="0">H11-I11</f>
        <v>0</v>
      </c>
      <c r="K11" s="10"/>
      <c r="L11" s="66"/>
      <c r="M11" s="47"/>
      <c r="N11" s="32" t="s">
        <v>21</v>
      </c>
      <c r="O11" s="32" t="s">
        <v>45</v>
      </c>
      <c r="P11" s="32">
        <v>61983200</v>
      </c>
      <c r="Q11" s="32"/>
      <c r="R11" s="34"/>
      <c r="T11" s="15"/>
    </row>
    <row r="12" spans="1:20" s="2" customFormat="1" ht="20" customHeight="1">
      <c r="A12" s="8" t="s">
        <v>35</v>
      </c>
      <c r="B12" s="85" t="s">
        <v>15</v>
      </c>
      <c r="C12" s="9"/>
      <c r="D12" s="9"/>
      <c r="E12" s="10"/>
      <c r="F12" s="86" t="s">
        <v>154</v>
      </c>
      <c r="G12" s="86" t="s">
        <v>156</v>
      </c>
      <c r="H12" s="10">
        <v>23000000</v>
      </c>
      <c r="I12" s="10">
        <f>8063193+8622860</f>
        <v>16686053</v>
      </c>
      <c r="J12" s="10">
        <f t="shared" si="0"/>
        <v>6313947</v>
      </c>
      <c r="K12" s="89" t="s">
        <v>154</v>
      </c>
      <c r="L12" s="66" t="s">
        <v>118</v>
      </c>
      <c r="M12" s="46"/>
      <c r="N12" s="32"/>
      <c r="O12" s="32" t="s">
        <v>135</v>
      </c>
      <c r="P12" s="32">
        <v>6000000</v>
      </c>
      <c r="Q12" s="32"/>
      <c r="R12" s="34"/>
      <c r="T12" s="15"/>
    </row>
    <row r="13" spans="1:20" s="2" customFormat="1" ht="20" customHeight="1">
      <c r="A13" s="8" t="s">
        <v>36</v>
      </c>
      <c r="B13" s="141" t="s">
        <v>14</v>
      </c>
      <c r="C13" s="9"/>
      <c r="D13" s="9"/>
      <c r="E13" s="10"/>
      <c r="F13" s="86" t="s">
        <v>158</v>
      </c>
      <c r="G13" s="86" t="s">
        <v>159</v>
      </c>
      <c r="H13" s="10">
        <v>7493930</v>
      </c>
      <c r="I13" s="10">
        <v>7493930</v>
      </c>
      <c r="J13" s="10">
        <f t="shared" si="0"/>
        <v>0</v>
      </c>
      <c r="K13" s="10"/>
      <c r="L13" s="66" t="s">
        <v>118</v>
      </c>
      <c r="M13" s="47"/>
      <c r="N13" s="32"/>
      <c r="O13" s="39" t="s">
        <v>47</v>
      </c>
      <c r="P13" s="41">
        <v>5955000</v>
      </c>
      <c r="Q13" s="32"/>
      <c r="R13" s="34"/>
      <c r="T13" s="15"/>
    </row>
    <row r="14" spans="1:20" s="2" customFormat="1" ht="20" customHeight="1">
      <c r="A14" s="8" t="s">
        <v>37</v>
      </c>
      <c r="B14" s="9" t="s">
        <v>16</v>
      </c>
      <c r="C14" s="9"/>
      <c r="D14" s="9"/>
      <c r="E14" s="10"/>
      <c r="F14" s="82"/>
      <c r="G14" s="82"/>
      <c r="H14" s="10"/>
      <c r="I14" s="10">
        <v>0</v>
      </c>
      <c r="J14" s="10">
        <f t="shared" si="0"/>
        <v>0</v>
      </c>
      <c r="K14" s="21"/>
      <c r="L14" s="66"/>
      <c r="M14" s="47"/>
      <c r="N14" s="32"/>
      <c r="O14" s="33"/>
      <c r="P14" s="29"/>
      <c r="Q14" s="29"/>
      <c r="R14" s="34"/>
    </row>
    <row r="15" spans="1:20" s="2" customFormat="1" ht="20" customHeight="1">
      <c r="A15" s="8" t="s">
        <v>38</v>
      </c>
      <c r="B15" s="9" t="s">
        <v>17</v>
      </c>
      <c r="C15" s="9"/>
      <c r="D15" s="9"/>
      <c r="E15" s="10"/>
      <c r="F15" s="82"/>
      <c r="G15" s="82"/>
      <c r="H15" s="10"/>
      <c r="I15" s="10">
        <v>0</v>
      </c>
      <c r="J15" s="10">
        <f t="shared" si="0"/>
        <v>0</v>
      </c>
      <c r="K15" s="10"/>
      <c r="L15" s="66"/>
      <c r="M15" s="47"/>
      <c r="N15" s="32" t="s">
        <v>164</v>
      </c>
      <c r="O15" s="33" t="s">
        <v>158</v>
      </c>
      <c r="P15" s="29">
        <f>SUM(P16)</f>
        <v>1750000</v>
      </c>
      <c r="Q15" s="32"/>
      <c r="R15" s="34"/>
    </row>
    <row r="16" spans="1:20" s="2" customFormat="1" ht="20" customHeight="1">
      <c r="A16" s="8" t="s">
        <v>39</v>
      </c>
      <c r="B16" s="9" t="s">
        <v>18</v>
      </c>
      <c r="C16" s="9"/>
      <c r="D16" s="9"/>
      <c r="E16" s="10"/>
      <c r="F16" s="209" t="s">
        <v>154</v>
      </c>
      <c r="G16" s="210" t="s">
        <v>157</v>
      </c>
      <c r="H16" s="56">
        <v>1750000</v>
      </c>
      <c r="I16" s="56">
        <v>1750000</v>
      </c>
      <c r="J16" s="10">
        <f t="shared" si="0"/>
        <v>0</v>
      </c>
      <c r="K16" s="84"/>
      <c r="L16" s="66" t="s">
        <v>118</v>
      </c>
      <c r="M16" s="75"/>
      <c r="N16" s="32" t="s">
        <v>22</v>
      </c>
      <c r="O16" s="51" t="s">
        <v>49</v>
      </c>
      <c r="P16" s="39">
        <v>1750000</v>
      </c>
      <c r="Q16" s="32"/>
      <c r="R16" s="34"/>
    </row>
    <row r="17" spans="1:18" s="2" customFormat="1" ht="20" customHeight="1">
      <c r="A17" s="8" t="s">
        <v>40</v>
      </c>
      <c r="B17" s="9" t="s">
        <v>19</v>
      </c>
      <c r="C17" s="9"/>
      <c r="D17" s="9"/>
      <c r="E17" s="10"/>
      <c r="F17" s="209"/>
      <c r="G17" s="210"/>
      <c r="H17" s="76">
        <v>8250000</v>
      </c>
      <c r="I17" s="56">
        <f>2605000+950000+770000+819000+2400000+440000</f>
        <v>7984000</v>
      </c>
      <c r="J17" s="10">
        <f t="shared" si="0"/>
        <v>266000</v>
      </c>
      <c r="K17" s="89" t="s">
        <v>154</v>
      </c>
      <c r="L17" s="66" t="s">
        <v>118</v>
      </c>
      <c r="M17" s="69"/>
      <c r="N17" s="39"/>
      <c r="O17" s="39"/>
      <c r="P17" s="39"/>
      <c r="Q17" s="32"/>
      <c r="R17" s="34"/>
    </row>
    <row r="18" spans="1:18" s="2" customFormat="1" ht="20" customHeight="1">
      <c r="A18" s="8"/>
      <c r="B18" s="9"/>
      <c r="C18" s="9"/>
      <c r="D18" s="9"/>
      <c r="E18" s="10"/>
      <c r="F18" s="87"/>
      <c r="G18" s="88"/>
      <c r="H18" s="10"/>
      <c r="I18" s="10"/>
      <c r="J18" s="10"/>
      <c r="K18" s="10"/>
      <c r="L18" s="62"/>
      <c r="M18" s="47"/>
      <c r="N18" s="32" t="s">
        <v>165</v>
      </c>
      <c r="O18" s="33" t="s">
        <v>158</v>
      </c>
      <c r="P18" s="29">
        <f>SUM(P19:P20)</f>
        <v>24179983</v>
      </c>
      <c r="Q18" s="29"/>
      <c r="R18" s="34"/>
    </row>
    <row r="19" spans="1:18" s="3" customFormat="1" ht="20" customHeight="1">
      <c r="A19" s="11"/>
      <c r="B19" s="11" t="s">
        <v>20</v>
      </c>
      <c r="C19" s="11"/>
      <c r="D19" s="12"/>
      <c r="E19" s="13">
        <f>SUM(E6:E17)</f>
        <v>100000000</v>
      </c>
      <c r="F19" s="12"/>
      <c r="G19" s="12"/>
      <c r="H19" s="13">
        <f>SUM(H6:H18)</f>
        <v>99868183</v>
      </c>
      <c r="I19" s="18">
        <f>SUM(I6:I18)</f>
        <v>99868183</v>
      </c>
      <c r="J19" s="13">
        <f>SUM(J6:J18)</f>
        <v>7625747</v>
      </c>
      <c r="K19" s="13">
        <f>E19-H19</f>
        <v>131817</v>
      </c>
      <c r="L19" s="103">
        <f>H19+K19</f>
        <v>100000000</v>
      </c>
      <c r="M19" s="48"/>
      <c r="N19" s="32" t="s">
        <v>134</v>
      </c>
      <c r="O19" s="39" t="s">
        <v>47</v>
      </c>
      <c r="P19" s="41">
        <v>24179983</v>
      </c>
      <c r="Q19" s="32"/>
      <c r="R19" s="34"/>
    </row>
    <row r="20" spans="1:18" s="37" customFormat="1" ht="20" customHeight="1">
      <c r="A20" s="1"/>
      <c r="J20" s="15"/>
      <c r="K20" s="90" t="s">
        <v>161</v>
      </c>
      <c r="L20" s="61"/>
      <c r="M20" s="49"/>
      <c r="N20" s="39"/>
      <c r="O20" s="39"/>
      <c r="P20" s="41"/>
      <c r="Q20" s="32"/>
      <c r="R20" s="34"/>
    </row>
    <row r="21" spans="1:18">
      <c r="N21" s="91"/>
      <c r="O21" s="92"/>
      <c r="P21" s="93"/>
      <c r="Q21" s="94"/>
      <c r="R21" s="94"/>
    </row>
    <row r="22" spans="1:18">
      <c r="I22" s="14">
        <f>SUM(I12:I13)</f>
        <v>24179983</v>
      </c>
      <c r="N22" s="95"/>
      <c r="O22" s="96"/>
      <c r="P22" s="97"/>
    </row>
    <row r="23" spans="1:18">
      <c r="N23" s="97"/>
      <c r="O23" s="97"/>
      <c r="P23" s="98"/>
    </row>
    <row r="24" spans="1:18">
      <c r="N24" s="95"/>
      <c r="O24" s="99"/>
      <c r="P24" s="100"/>
      <c r="Q24" s="100"/>
      <c r="R24" s="101"/>
    </row>
    <row r="25" spans="1:18">
      <c r="N25" s="95"/>
      <c r="O25" s="102"/>
      <c r="P25" s="97"/>
      <c r="Q25" s="95"/>
      <c r="R25" s="101"/>
    </row>
    <row r="26" spans="1:18">
      <c r="N26" s="97"/>
      <c r="O26" s="97"/>
      <c r="P26" s="98"/>
      <c r="Q26" s="95"/>
      <c r="R26" s="101"/>
    </row>
  </sheetData>
  <mergeCells count="17">
    <mergeCell ref="Q4:Q5"/>
    <mergeCell ref="R4:R5"/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F16:F17"/>
    <mergeCell ref="G16:G17"/>
    <mergeCell ref="L4:L5"/>
    <mergeCell ref="M4:M5"/>
    <mergeCell ref="N4:P5"/>
  </mergeCells>
  <pageMargins left="0.7" right="0.7" top="0.75" bottom="0.75" header="0.3" footer="0.3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D652-BA34-474D-972B-7310FF2C8CB5}">
  <dimension ref="A1:T26"/>
  <sheetViews>
    <sheetView view="pageBreakPreview" topLeftCell="A7" zoomScale="70" zoomScaleNormal="100" zoomScaleSheetLayoutView="70" workbookViewId="0">
      <selection activeCell="L17" sqref="L17"/>
    </sheetView>
  </sheetViews>
  <sheetFormatPr defaultColWidth="9" defaultRowHeight="14.5"/>
  <cols>
    <col min="1" max="1" width="5.1796875" style="4" customWidth="1"/>
    <col min="2" max="2" width="29.1796875" customWidth="1"/>
    <col min="3" max="3" width="13.7265625" customWidth="1"/>
    <col min="4" max="4" width="12.81640625" customWidth="1"/>
    <col min="5" max="6" width="13.1796875" customWidth="1"/>
    <col min="7" max="7" width="21.7265625" customWidth="1"/>
    <col min="8" max="8" width="14.6328125" customWidth="1"/>
    <col min="9" max="9" width="13.90625" customWidth="1"/>
    <col min="10" max="10" width="13.54296875" customWidth="1"/>
    <col min="11" max="11" width="14.08984375" customWidth="1"/>
    <col min="12" max="12" width="14.90625" style="4" customWidth="1"/>
    <col min="13" max="13" width="13.54296875" customWidth="1"/>
    <col min="14" max="14" width="23.81640625" customWidth="1"/>
    <col min="15" max="16" width="13.1796875" customWidth="1"/>
    <col min="17" max="17" width="14.90625" customWidth="1"/>
    <col min="18" max="18" width="14.26953125" customWidth="1"/>
    <col min="20" max="20" width="13.26953125" customWidth="1"/>
  </cols>
  <sheetData>
    <row r="1" spans="1:20">
      <c r="A1" s="176" t="s">
        <v>166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</row>
    <row r="2" spans="1:20">
      <c r="A2" s="176" t="s">
        <v>24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6"/>
      <c r="O2" s="6"/>
      <c r="P2" s="6"/>
      <c r="Q2" s="6"/>
      <c r="R2" s="6"/>
    </row>
    <row r="3" spans="1:2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5"/>
      <c r="M3" s="6"/>
      <c r="N3" s="6"/>
      <c r="O3" s="6"/>
      <c r="P3" s="6"/>
      <c r="Q3" s="6"/>
      <c r="R3" s="6"/>
    </row>
    <row r="4" spans="1:20" s="1" customFormat="1" ht="19.5" customHeight="1">
      <c r="A4" s="179" t="s">
        <v>0</v>
      </c>
      <c r="B4" s="179" t="s">
        <v>1</v>
      </c>
      <c r="C4" s="179" t="s">
        <v>6</v>
      </c>
      <c r="D4" s="177" t="s">
        <v>2</v>
      </c>
      <c r="E4" s="178"/>
      <c r="F4" s="179" t="s">
        <v>3</v>
      </c>
      <c r="G4" s="179"/>
      <c r="H4" s="179"/>
      <c r="I4" s="179" t="s">
        <v>62</v>
      </c>
      <c r="J4" s="179" t="s">
        <v>4</v>
      </c>
      <c r="K4" s="179" t="s">
        <v>5</v>
      </c>
      <c r="L4" s="188" t="s">
        <v>117</v>
      </c>
      <c r="M4" s="179" t="s">
        <v>63</v>
      </c>
      <c r="N4" s="180" t="s">
        <v>7</v>
      </c>
      <c r="O4" s="181"/>
      <c r="P4" s="181"/>
      <c r="Q4" s="184" t="s">
        <v>56</v>
      </c>
      <c r="R4" s="186" t="s">
        <v>58</v>
      </c>
    </row>
    <row r="5" spans="1:20" s="1" customFormat="1" ht="44.5" customHeight="1">
      <c r="A5" s="179"/>
      <c r="B5" s="179"/>
      <c r="C5" s="179"/>
      <c r="D5" s="7" t="s">
        <v>30</v>
      </c>
      <c r="E5" s="7" t="s">
        <v>9</v>
      </c>
      <c r="F5" s="7" t="s">
        <v>8</v>
      </c>
      <c r="G5" s="7" t="s">
        <v>10</v>
      </c>
      <c r="H5" s="7" t="s">
        <v>9</v>
      </c>
      <c r="I5" s="179"/>
      <c r="J5" s="179"/>
      <c r="K5" s="179"/>
      <c r="L5" s="189"/>
      <c r="M5" s="179"/>
      <c r="N5" s="182"/>
      <c r="O5" s="183"/>
      <c r="P5" s="183"/>
      <c r="Q5" s="185"/>
      <c r="R5" s="187"/>
    </row>
    <row r="6" spans="1:20" s="2" customFormat="1" ht="20" customHeight="1">
      <c r="A6" s="8">
        <v>1</v>
      </c>
      <c r="B6" s="9" t="s">
        <v>11</v>
      </c>
      <c r="C6" s="9"/>
      <c r="D6" s="9"/>
      <c r="E6" s="10">
        <v>131817</v>
      </c>
      <c r="F6" s="9"/>
      <c r="G6" s="9"/>
      <c r="H6" s="10"/>
      <c r="I6" s="10"/>
      <c r="J6" s="10"/>
      <c r="K6" s="10"/>
      <c r="L6" s="59"/>
      <c r="M6" s="32"/>
      <c r="N6" s="10"/>
      <c r="O6" s="10"/>
      <c r="P6" s="10"/>
      <c r="Q6" s="10"/>
      <c r="R6" s="9"/>
    </row>
    <row r="7" spans="1:20" s="2" customFormat="1" ht="20" customHeight="1">
      <c r="A7" s="8"/>
      <c r="B7" s="123" t="s">
        <v>184</v>
      </c>
      <c r="C7" s="110" t="s">
        <v>167</v>
      </c>
      <c r="D7" s="110" t="s">
        <v>168</v>
      </c>
      <c r="E7" s="10">
        <v>99868183</v>
      </c>
      <c r="F7" s="9"/>
      <c r="G7" s="9"/>
      <c r="H7" s="10"/>
      <c r="I7" s="10"/>
      <c r="J7" s="10"/>
      <c r="K7" s="10"/>
      <c r="L7" s="59"/>
      <c r="M7" s="32" t="s">
        <v>170</v>
      </c>
      <c r="N7" s="29" t="s">
        <v>171</v>
      </c>
      <c r="O7" s="33" t="s">
        <v>172</v>
      </c>
      <c r="P7" s="32">
        <f>SUM(P10+P13)</f>
        <v>99971700</v>
      </c>
      <c r="Q7" s="32"/>
      <c r="R7" s="33"/>
    </row>
    <row r="8" spans="1:20" s="2" customFormat="1" ht="20" customHeight="1">
      <c r="A8" s="8"/>
      <c r="B8" s="85" t="s">
        <v>160</v>
      </c>
      <c r="C8" s="86"/>
      <c r="D8" s="86"/>
      <c r="E8" s="10"/>
      <c r="F8" s="86"/>
      <c r="G8" s="9"/>
      <c r="H8" s="10"/>
      <c r="I8" s="10"/>
      <c r="J8" s="10"/>
      <c r="K8" s="10"/>
      <c r="L8" s="59"/>
      <c r="M8" s="32"/>
      <c r="N8" s="29"/>
      <c r="O8" s="33"/>
      <c r="P8" s="32"/>
      <c r="Q8" s="32"/>
      <c r="R8" s="33"/>
    </row>
    <row r="9" spans="1:20" s="2" customFormat="1" ht="20" customHeight="1">
      <c r="A9" s="8">
        <v>2</v>
      </c>
      <c r="B9" s="9" t="s">
        <v>32</v>
      </c>
      <c r="C9" s="16"/>
      <c r="D9" s="16"/>
      <c r="E9" s="10"/>
      <c r="F9" s="9"/>
      <c r="G9" s="9"/>
      <c r="H9" s="10"/>
      <c r="I9" s="10"/>
      <c r="J9" s="10"/>
      <c r="K9" s="10"/>
      <c r="L9" s="59"/>
      <c r="M9" s="47"/>
      <c r="N9" s="29" t="s">
        <v>43</v>
      </c>
      <c r="O9" s="29"/>
      <c r="P9" s="29"/>
      <c r="Q9" s="29"/>
      <c r="R9" s="34"/>
    </row>
    <row r="10" spans="1:20" s="2" customFormat="1" ht="20" customHeight="1">
      <c r="A10" s="8" t="s">
        <v>33</v>
      </c>
      <c r="B10" s="9" t="s">
        <v>12</v>
      </c>
      <c r="C10" s="9"/>
      <c r="D10" s="9"/>
      <c r="E10" s="10"/>
      <c r="F10" s="86"/>
      <c r="G10" s="86"/>
      <c r="H10" s="10"/>
      <c r="I10" s="10"/>
      <c r="J10" s="10">
        <f>H10-I10</f>
        <v>0</v>
      </c>
      <c r="K10" s="89"/>
      <c r="L10" s="66"/>
      <c r="M10" s="46"/>
      <c r="N10" s="32" t="s">
        <v>173</v>
      </c>
      <c r="O10" s="33" t="s">
        <v>172</v>
      </c>
      <c r="P10" s="29">
        <f>P11</f>
        <v>3997500</v>
      </c>
      <c r="Q10" s="29"/>
      <c r="R10" s="34"/>
      <c r="T10" s="15"/>
    </row>
    <row r="11" spans="1:20" s="2" customFormat="1" ht="20" customHeight="1">
      <c r="A11" s="8" t="s">
        <v>34</v>
      </c>
      <c r="B11" s="9" t="s">
        <v>13</v>
      </c>
      <c r="C11" s="9"/>
      <c r="D11" s="9"/>
      <c r="E11" s="10"/>
      <c r="F11" s="82"/>
      <c r="G11" s="82"/>
      <c r="H11" s="10"/>
      <c r="I11" s="10"/>
      <c r="J11" s="10">
        <f t="shared" ref="J11:J17" si="0">H11-I11</f>
        <v>0</v>
      </c>
      <c r="K11" s="10"/>
      <c r="L11" s="66"/>
      <c r="M11" s="47"/>
      <c r="N11" s="32" t="s">
        <v>21</v>
      </c>
      <c r="O11" s="32" t="s">
        <v>45</v>
      </c>
      <c r="P11" s="32">
        <v>3997500</v>
      </c>
      <c r="Q11" s="32"/>
      <c r="R11" s="34"/>
      <c r="T11" s="15"/>
    </row>
    <row r="12" spans="1:20" s="2" customFormat="1" ht="20" customHeight="1">
      <c r="A12" s="8" t="s">
        <v>35</v>
      </c>
      <c r="B12" s="85" t="s">
        <v>15</v>
      </c>
      <c r="C12" s="9"/>
      <c r="D12" s="9"/>
      <c r="E12" s="10"/>
      <c r="F12" s="86"/>
      <c r="G12" s="86"/>
      <c r="H12" s="10"/>
      <c r="I12" s="10"/>
      <c r="J12" s="10">
        <f t="shared" si="0"/>
        <v>0</v>
      </c>
      <c r="K12" s="89"/>
      <c r="L12" s="66"/>
      <c r="M12" s="46"/>
      <c r="N12" s="32"/>
      <c r="O12" s="32"/>
      <c r="P12" s="32"/>
      <c r="Q12" s="32"/>
      <c r="R12" s="34"/>
      <c r="T12" s="15"/>
    </row>
    <row r="13" spans="1:20" s="2" customFormat="1" ht="20" customHeight="1">
      <c r="A13" s="8" t="s">
        <v>36</v>
      </c>
      <c r="B13" s="85" t="s">
        <v>15</v>
      </c>
      <c r="C13" s="9"/>
      <c r="D13" s="9"/>
      <c r="E13" s="10"/>
      <c r="F13" s="86"/>
      <c r="G13" s="86"/>
      <c r="H13" s="10"/>
      <c r="I13" s="10"/>
      <c r="J13" s="10">
        <f t="shared" si="0"/>
        <v>0</v>
      </c>
      <c r="K13" s="10"/>
      <c r="L13" s="66"/>
      <c r="M13" s="47"/>
      <c r="N13" s="32" t="s">
        <v>177</v>
      </c>
      <c r="O13" s="33" t="s">
        <v>172</v>
      </c>
      <c r="P13" s="29">
        <f>SUM(P14:P18)</f>
        <v>95974200</v>
      </c>
      <c r="Q13" s="32"/>
      <c r="R13" s="34"/>
      <c r="T13" s="15"/>
    </row>
    <row r="14" spans="1:20" s="2" customFormat="1" ht="20" customHeight="1">
      <c r="A14" s="8" t="s">
        <v>37</v>
      </c>
      <c r="B14" s="9" t="s">
        <v>16</v>
      </c>
      <c r="C14" s="9"/>
      <c r="D14" s="9"/>
      <c r="E14" s="10"/>
      <c r="F14" s="82"/>
      <c r="G14" s="82"/>
      <c r="H14" s="10"/>
      <c r="I14" s="10"/>
      <c r="J14" s="10">
        <f t="shared" si="0"/>
        <v>0</v>
      </c>
      <c r="K14" s="21"/>
      <c r="L14" s="66"/>
      <c r="M14" s="47"/>
      <c r="N14" s="32" t="s">
        <v>22</v>
      </c>
      <c r="O14" s="51" t="s">
        <v>49</v>
      </c>
      <c r="P14" s="39">
        <v>11340800</v>
      </c>
      <c r="Q14" s="29"/>
      <c r="R14" s="34"/>
    </row>
    <row r="15" spans="1:20" s="2" customFormat="1" ht="20" customHeight="1">
      <c r="A15" s="8" t="s">
        <v>38</v>
      </c>
      <c r="B15" s="9" t="s">
        <v>17</v>
      </c>
      <c r="C15" s="9"/>
      <c r="D15" s="9"/>
      <c r="E15" s="10"/>
      <c r="F15" s="82"/>
      <c r="G15" s="82"/>
      <c r="H15" s="10"/>
      <c r="I15" s="10"/>
      <c r="J15" s="10">
        <f t="shared" si="0"/>
        <v>0</v>
      </c>
      <c r="K15" s="10"/>
      <c r="L15" s="66"/>
      <c r="M15" s="47"/>
      <c r="N15" s="32"/>
      <c r="O15" s="33" t="s">
        <v>51</v>
      </c>
      <c r="P15" s="29">
        <v>19579000</v>
      </c>
      <c r="Q15" s="32"/>
      <c r="R15" s="34"/>
    </row>
    <row r="16" spans="1:20" s="2" customFormat="1" ht="20" customHeight="1">
      <c r="A16" s="8" t="s">
        <v>39</v>
      </c>
      <c r="B16" s="9" t="s">
        <v>18</v>
      </c>
      <c r="C16" s="9"/>
      <c r="D16" s="9"/>
      <c r="E16" s="10"/>
      <c r="F16" s="211" t="s">
        <v>168</v>
      </c>
      <c r="G16" s="212" t="s">
        <v>169</v>
      </c>
      <c r="H16" s="56">
        <v>96002500</v>
      </c>
      <c r="I16" s="56">
        <v>95974200</v>
      </c>
      <c r="J16" s="10">
        <f t="shared" si="0"/>
        <v>28300</v>
      </c>
      <c r="K16" s="84"/>
      <c r="L16" s="66" t="s">
        <v>118</v>
      </c>
      <c r="M16" s="75"/>
      <c r="N16" s="32"/>
      <c r="O16" s="51" t="s">
        <v>77</v>
      </c>
      <c r="P16" s="39">
        <v>54950000</v>
      </c>
      <c r="Q16" s="32"/>
      <c r="R16" s="34"/>
    </row>
    <row r="17" spans="1:18" s="2" customFormat="1" ht="20" customHeight="1">
      <c r="A17" s="8" t="s">
        <v>40</v>
      </c>
      <c r="B17" s="9" t="s">
        <v>19</v>
      </c>
      <c r="C17" s="9"/>
      <c r="D17" s="9"/>
      <c r="E17" s="10"/>
      <c r="F17" s="209"/>
      <c r="G17" s="210"/>
      <c r="H17" s="76">
        <v>3997500</v>
      </c>
      <c r="I17" s="56">
        <v>3997500</v>
      </c>
      <c r="J17" s="10">
        <f t="shared" si="0"/>
        <v>0</v>
      </c>
      <c r="K17" s="89"/>
      <c r="L17" s="66" t="s">
        <v>118</v>
      </c>
      <c r="M17" s="69"/>
      <c r="N17" s="39"/>
      <c r="O17" s="39" t="s">
        <v>47</v>
      </c>
      <c r="P17" s="39">
        <v>9504400</v>
      </c>
      <c r="Q17" s="32"/>
      <c r="R17" s="34"/>
    </row>
    <row r="18" spans="1:18" s="2" customFormat="1" ht="20" customHeight="1">
      <c r="A18" s="8"/>
      <c r="B18" s="9"/>
      <c r="C18" s="9"/>
      <c r="D18" s="9"/>
      <c r="E18" s="10"/>
      <c r="F18" s="87"/>
      <c r="G18" s="88"/>
      <c r="H18" s="10"/>
      <c r="I18" s="10"/>
      <c r="J18" s="10"/>
      <c r="K18" s="10"/>
      <c r="L18" s="62"/>
      <c r="M18" s="47"/>
      <c r="N18" s="32"/>
      <c r="O18" s="33" t="s">
        <v>74</v>
      </c>
      <c r="P18" s="29">
        <v>600000</v>
      </c>
      <c r="Q18" s="29"/>
      <c r="R18" s="34"/>
    </row>
    <row r="19" spans="1:18" s="3" customFormat="1" ht="20" customHeight="1">
      <c r="A19" s="11"/>
      <c r="B19" s="11" t="s">
        <v>20</v>
      </c>
      <c r="C19" s="11"/>
      <c r="D19" s="12"/>
      <c r="E19" s="13">
        <f>SUM(E6:E17)</f>
        <v>100000000</v>
      </c>
      <c r="F19" s="12"/>
      <c r="G19" s="12"/>
      <c r="H19" s="13">
        <f>SUM(H6:H18)</f>
        <v>100000000</v>
      </c>
      <c r="I19" s="18">
        <f>SUM(I6:I18)</f>
        <v>99971700</v>
      </c>
      <c r="J19" s="13">
        <f>SUM(J6:J18)</f>
        <v>28300</v>
      </c>
      <c r="K19" s="13">
        <f>E19-H19</f>
        <v>0</v>
      </c>
      <c r="L19" s="103">
        <f>H19+K19</f>
        <v>100000000</v>
      </c>
      <c r="M19" s="48"/>
      <c r="N19" s="32"/>
      <c r="O19" s="39"/>
      <c r="P19" s="41"/>
      <c r="Q19" s="32"/>
      <c r="R19" s="34"/>
    </row>
    <row r="20" spans="1:18" s="37" customFormat="1" ht="20" customHeight="1">
      <c r="A20" s="1"/>
      <c r="J20" s="15"/>
      <c r="K20" s="90" t="s">
        <v>161</v>
      </c>
      <c r="L20" s="61"/>
      <c r="M20" s="49"/>
      <c r="N20" s="39"/>
      <c r="O20" s="39"/>
      <c r="P20" s="41"/>
      <c r="Q20" s="32"/>
      <c r="R20" s="34"/>
    </row>
    <row r="21" spans="1:18">
      <c r="N21" s="91"/>
      <c r="O21" s="92"/>
      <c r="P21" s="93"/>
      <c r="Q21" s="94"/>
      <c r="R21" s="94"/>
    </row>
    <row r="22" spans="1:18">
      <c r="I22">
        <v>99971700</v>
      </c>
      <c r="N22" s="95"/>
      <c r="O22" s="96"/>
      <c r="P22" s="97"/>
    </row>
    <row r="23" spans="1:18">
      <c r="I23" s="14"/>
      <c r="N23" s="97"/>
      <c r="O23" s="97"/>
      <c r="P23" s="98"/>
    </row>
    <row r="24" spans="1:18">
      <c r="N24" s="95"/>
      <c r="O24" s="99"/>
      <c r="P24" s="100"/>
      <c r="Q24" s="100"/>
      <c r="R24" s="101"/>
    </row>
    <row r="25" spans="1:18">
      <c r="N25" s="95"/>
      <c r="O25" s="102"/>
      <c r="P25" s="97"/>
      <c r="Q25" s="95"/>
      <c r="R25" s="101"/>
    </row>
    <row r="26" spans="1:18">
      <c r="N26" s="97"/>
      <c r="O26" s="97"/>
      <c r="P26" s="98"/>
      <c r="Q26" s="95"/>
      <c r="R26" s="101"/>
    </row>
  </sheetData>
  <mergeCells count="17">
    <mergeCell ref="N4:P5"/>
    <mergeCell ref="Q4:Q5"/>
    <mergeCell ref="R4:R5"/>
    <mergeCell ref="F16:F17"/>
    <mergeCell ref="G16:G17"/>
    <mergeCell ref="A1:M1"/>
    <mergeCell ref="A2:M2"/>
    <mergeCell ref="A4:A5"/>
    <mergeCell ref="B4:B5"/>
    <mergeCell ref="C4:C5"/>
    <mergeCell ref="D4:E4"/>
    <mergeCell ref="F4:H4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Revolving GUP 1</vt:lpstr>
      <vt:lpstr>Revolving GUP 2</vt:lpstr>
      <vt:lpstr>Rincian GUP2</vt:lpstr>
      <vt:lpstr>Revolving GUP 3</vt:lpstr>
      <vt:lpstr>Revolving GUP 4</vt:lpstr>
      <vt:lpstr>Revolving GUP 5</vt:lpstr>
      <vt:lpstr>Revolving GUP 6</vt:lpstr>
      <vt:lpstr>Revolving GUP 7</vt:lpstr>
      <vt:lpstr>Revolving GUP 8</vt:lpstr>
      <vt:lpstr>Revolving GUP 9</vt:lpstr>
      <vt:lpstr>Revolving GUP 10</vt:lpstr>
      <vt:lpstr>Revolving GUP 11</vt:lpstr>
      <vt:lpstr>Revolving GUP 12</vt:lpstr>
      <vt:lpstr>Revolving GUP 13</vt:lpstr>
      <vt:lpstr>Rekapitulasi per keg GUP 13</vt:lpstr>
      <vt:lpstr>Revolving GUP 14</vt:lpstr>
      <vt:lpstr>Rekapitulasi per keg GUP 14</vt:lpstr>
      <vt:lpstr>'Revolving GUP 1'!Print_Area</vt:lpstr>
      <vt:lpstr>'Revolving GUP 10'!Print_Area</vt:lpstr>
      <vt:lpstr>'Revolving GUP 11'!Print_Area</vt:lpstr>
      <vt:lpstr>'Revolving GUP 12'!Print_Area</vt:lpstr>
      <vt:lpstr>'Revolving GUP 13'!Print_Area</vt:lpstr>
      <vt:lpstr>'Revolving GUP 14'!Print_Area</vt:lpstr>
      <vt:lpstr>'Revolving GUP 2'!Print_Area</vt:lpstr>
      <vt:lpstr>'Revolving GUP 3'!Print_Area</vt:lpstr>
      <vt:lpstr>'Revolving GUP 4'!Print_Area</vt:lpstr>
      <vt:lpstr>'Revolving GUP 5'!Print_Area</vt:lpstr>
      <vt:lpstr>'Revolving GUP 6'!Print_Area</vt:lpstr>
      <vt:lpstr>'Revolving GUP 7'!Print_Area</vt:lpstr>
      <vt:lpstr>'Revolving GUP 8'!Print_Area</vt:lpstr>
      <vt:lpstr>'Revolving GUP 9'!Print_Area</vt:lpstr>
      <vt:lpstr>'Rincian GUP2'!Print_Area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eemenk</cp:lastModifiedBy>
  <cp:lastPrinted>2023-09-19T09:22:29Z</cp:lastPrinted>
  <dcterms:created xsi:type="dcterms:W3CDTF">2022-08-19T05:37:00Z</dcterms:created>
  <dcterms:modified xsi:type="dcterms:W3CDTF">2023-09-19T09:32:23Z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02AB1660E3A84FA18025911FADCEB78D</vt:lpwstr>
  </property>
  <property fmtid="{D5CDD505-2E9C-101B-9397-08002B2CF9AE}" pid="3" name="KSOProductBuildVer">
    <vt:lpwstr>1033-11.2.0.11373</vt:lpwstr>
  </property>
</Properties>
</file>