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f50ea20f795a1/Desktop/Rail Project/"/>
    </mc:Choice>
  </mc:AlternateContent>
  <xr:revisionPtr revIDLastSave="1814" documentId="14_{AF11E874-5B8B-4C5B-BD68-0D2B09EAE251}" xr6:coauthVersionLast="47" xr6:coauthVersionMax="47" xr10:uidLastSave="{4ED32048-C550-43A8-BABE-BEDC053889DF}"/>
  <bookViews>
    <workbookView xWindow="0" yWindow="270" windowWidth="20490" windowHeight="10530" tabRatio="844" activeTab="3" xr2:uid="{DA6F6CA9-ED1E-4F72-A969-D4893E8CE444}"/>
  </bookViews>
  <sheets>
    <sheet name="Population" sheetId="1" r:id="rId1"/>
    <sheet name="All Distances" sheetId="2" r:id="rId2"/>
    <sheet name="Segments" sheetId="18" r:id="rId3"/>
    <sheet name="Coefficient" sheetId="6" r:id="rId4"/>
    <sheet name="All Ridership 2021" sheetId="5" r:id="rId5"/>
    <sheet name="All Ridership 2041" sheetId="7" r:id="rId6"/>
    <sheet name="Distances Phase 1" sheetId="3" r:id="rId7"/>
    <sheet name="Ridership Phase 1" sheetId="4" r:id="rId8"/>
    <sheet name="Profit Phase 1" sheetId="9" r:id="rId9"/>
    <sheet name="Distances Phase 2 OLD" sheetId="15" state="hidden" r:id="rId10"/>
    <sheet name="Ridership Phase 2 OLD" sheetId="11" state="hidden" r:id="rId11"/>
    <sheet name="Revenue Phase 2 OLD" sheetId="12" state="hidden" r:id="rId12"/>
    <sheet name="Phase 2Q" sheetId="13" r:id="rId13"/>
    <sheet name="Windsor" sheetId="14" state="hidden" r:id="rId14"/>
    <sheet name="Distances Phase 2S" sheetId="19" r:id="rId15"/>
    <sheet name="Ridership Phase 2S" sheetId="20" r:id="rId16"/>
    <sheet name="Profit Phase 2S" sheetId="21" r:id="rId17"/>
    <sheet name="Phase 2 Summary" sheetId="23" r:id="rId18"/>
    <sheet name="Distances Phase 3W" sheetId="10" r:id="rId19"/>
    <sheet name="Ridership Phase 3W" sheetId="16" r:id="rId20"/>
    <sheet name="Profit Phase 3W" sheetId="17" r:id="rId21"/>
    <sheet name="Distances Phase 3N" sheetId="24" r:id="rId22"/>
    <sheet name="Ridership Phase 3N" sheetId="25" r:id="rId23"/>
    <sheet name="Profit Phase 3N" sheetId="26" r:id="rId24"/>
    <sheet name="Distances Phase 3M" sheetId="27" r:id="rId25"/>
    <sheet name="Ridership Phase 3M" sheetId="28" r:id="rId26"/>
    <sheet name="Profit Phase 3M" sheetId="29" r:id="rId27"/>
    <sheet name="Phase 3 Summary" sheetId="31" r:id="rId28"/>
    <sheet name="Construction Costs" sheetId="8" r:id="rId29"/>
    <sheet name="Financial Summary" sheetId="30" r:id="rId30"/>
  </sheets>
  <definedNames>
    <definedName name="_xlnm._FilterDatabase" localSheetId="0" hidden="1">Population!$A$15:$C$15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3" i="2"/>
  <c r="L6" i="2"/>
  <c r="L3" i="2"/>
  <c r="L3" i="5"/>
  <c r="I5" i="28" s="1"/>
  <c r="I5" i="29" s="1"/>
  <c r="O6" i="2"/>
  <c r="O3" i="2"/>
  <c r="P6" i="2"/>
  <c r="P3" i="2"/>
  <c r="P3" i="5" s="1"/>
  <c r="I9" i="28" s="1"/>
  <c r="I9" i="29" s="1"/>
  <c r="Q6" i="2"/>
  <c r="Q3" i="2"/>
  <c r="R6" i="2"/>
  <c r="R3" i="2"/>
  <c r="R3" i="5" s="1"/>
  <c r="I11" i="28" s="1"/>
  <c r="I11" i="29" s="1"/>
  <c r="Y6" i="2"/>
  <c r="Y4" i="2"/>
  <c r="Y3" i="2"/>
  <c r="X6" i="2"/>
  <c r="X4" i="2"/>
  <c r="X3" i="2"/>
  <c r="W6" i="2"/>
  <c r="W4" i="2"/>
  <c r="W3" i="2"/>
  <c r="V6" i="2"/>
  <c r="V4" i="2"/>
  <c r="V3" i="2"/>
  <c r="U6" i="2"/>
  <c r="U4" i="2"/>
  <c r="U3" i="2"/>
  <c r="T6" i="2"/>
  <c r="T4" i="2"/>
  <c r="T3" i="2"/>
  <c r="S6" i="2"/>
  <c r="S4" i="2"/>
  <c r="S3" i="2"/>
  <c r="X9" i="2"/>
  <c r="X7" i="2"/>
  <c r="X5" i="2"/>
  <c r="X5" i="5" s="1"/>
  <c r="D17" i="25" s="1"/>
  <c r="D17" i="26" s="1"/>
  <c r="D44" i="31" s="1"/>
  <c r="X2" i="2"/>
  <c r="W9" i="2"/>
  <c r="W7" i="2"/>
  <c r="W5" i="2"/>
  <c r="W2" i="2"/>
  <c r="Y9" i="2"/>
  <c r="Y7" i="2"/>
  <c r="Y5" i="2"/>
  <c r="Y2" i="2"/>
  <c r="O9" i="2"/>
  <c r="O5" i="2"/>
  <c r="O4" i="2"/>
  <c r="O2" i="2"/>
  <c r="N9" i="2"/>
  <c r="N5" i="2"/>
  <c r="N4" i="2"/>
  <c r="N2" i="2"/>
  <c r="L9" i="2"/>
  <c r="L5" i="2"/>
  <c r="L4" i="2"/>
  <c r="L2" i="2"/>
  <c r="V9" i="2"/>
  <c r="V7" i="2"/>
  <c r="V5" i="2"/>
  <c r="V2" i="2"/>
  <c r="U9" i="2"/>
  <c r="U9" i="7" s="1"/>
  <c r="G42" i="25" s="1"/>
  <c r="G43" i="26" s="1"/>
  <c r="U8" i="2"/>
  <c r="U7" i="2"/>
  <c r="U5" i="2"/>
  <c r="U2" i="2"/>
  <c r="T9" i="2"/>
  <c r="T8" i="2"/>
  <c r="T7" i="2"/>
  <c r="T5" i="2"/>
  <c r="T2" i="2"/>
  <c r="S9" i="2"/>
  <c r="S8" i="2"/>
  <c r="S7" i="2"/>
  <c r="S5" i="2"/>
  <c r="S2" i="2"/>
  <c r="R9" i="2"/>
  <c r="R8" i="2"/>
  <c r="R7" i="2"/>
  <c r="R5" i="2"/>
  <c r="R2" i="2"/>
  <c r="Q9" i="2"/>
  <c r="Q8" i="2"/>
  <c r="Q7" i="2"/>
  <c r="Q5" i="2"/>
  <c r="Q4" i="2"/>
  <c r="Q2" i="2"/>
  <c r="P9" i="2"/>
  <c r="P8" i="2"/>
  <c r="P7" i="2"/>
  <c r="P5" i="2"/>
  <c r="P4" i="2"/>
  <c r="P2" i="2"/>
  <c r="X10" i="2"/>
  <c r="W10" i="2"/>
  <c r="U10" i="2"/>
  <c r="V10" i="2"/>
  <c r="Y10" i="2"/>
  <c r="T10" i="2"/>
  <c r="T10" i="7" s="1"/>
  <c r="B41" i="16" s="1"/>
  <c r="G22" i="18" s="1"/>
  <c r="S10" i="2"/>
  <c r="R10" i="2"/>
  <c r="Q10" i="2"/>
  <c r="P10" i="2"/>
  <c r="O10" i="2"/>
  <c r="O8" i="2"/>
  <c r="O7" i="2"/>
  <c r="N10" i="2"/>
  <c r="N8" i="2"/>
  <c r="N7" i="2"/>
  <c r="L10" i="2"/>
  <c r="L8" i="2"/>
  <c r="L7" i="2"/>
  <c r="M3" i="2"/>
  <c r="M4" i="2"/>
  <c r="M5" i="2"/>
  <c r="M6" i="2"/>
  <c r="M7" i="2"/>
  <c r="M8" i="2"/>
  <c r="M9" i="2"/>
  <c r="M10" i="2"/>
  <c r="M2" i="2"/>
  <c r="J3" i="2"/>
  <c r="J4" i="2"/>
  <c r="J5" i="2"/>
  <c r="J6" i="2"/>
  <c r="J7" i="2"/>
  <c r="J8" i="2"/>
  <c r="J9" i="2"/>
  <c r="J10" i="2"/>
  <c r="J10" i="5" s="1"/>
  <c r="J2" i="2"/>
  <c r="K3" i="2"/>
  <c r="K4" i="2"/>
  <c r="K5" i="2"/>
  <c r="K6" i="2"/>
  <c r="K7" i="2"/>
  <c r="K8" i="2"/>
  <c r="C3" i="27" s="1"/>
  <c r="K9" i="2"/>
  <c r="K10" i="2"/>
  <c r="K10" i="7" s="1"/>
  <c r="K2" i="2"/>
  <c r="F3" i="24" s="1"/>
  <c r="I9" i="2"/>
  <c r="G18" i="24" s="1"/>
  <c r="I8" i="2"/>
  <c r="I7" i="2"/>
  <c r="E18" i="27" s="1"/>
  <c r="I6" i="2"/>
  <c r="I5" i="2"/>
  <c r="I4" i="2"/>
  <c r="I3" i="2"/>
  <c r="I18" i="24" s="1"/>
  <c r="I2" i="2"/>
  <c r="F18" i="27" s="1"/>
  <c r="H8" i="2"/>
  <c r="H7" i="2"/>
  <c r="H6" i="2"/>
  <c r="J23" i="10" s="1"/>
  <c r="H5" i="2"/>
  <c r="H4" i="2"/>
  <c r="H3" i="2"/>
  <c r="H2" i="2"/>
  <c r="G22" i="24" s="1"/>
  <c r="G21" i="24" s="1"/>
  <c r="G7" i="2"/>
  <c r="E19" i="27" s="1"/>
  <c r="G6" i="2"/>
  <c r="J19" i="10" s="1"/>
  <c r="G4" i="2"/>
  <c r="H19" i="24" s="1"/>
  <c r="G3" i="2"/>
  <c r="I19" i="27" s="1"/>
  <c r="G2" i="2"/>
  <c r="F6" i="2"/>
  <c r="J20" i="24" s="1"/>
  <c r="F4" i="2"/>
  <c r="H20" i="27" s="1"/>
  <c r="F3" i="2"/>
  <c r="F2" i="2"/>
  <c r="F20" i="24" s="1"/>
  <c r="E5" i="2"/>
  <c r="E4" i="2"/>
  <c r="E3" i="2"/>
  <c r="E2" i="2"/>
  <c r="D4" i="2"/>
  <c r="D3" i="2"/>
  <c r="C3" i="2"/>
  <c r="C2" i="2"/>
  <c r="B2" i="2"/>
  <c r="I22" i="27" s="1"/>
  <c r="I21" i="27" s="1"/>
  <c r="H38" i="31"/>
  <c r="B59" i="29"/>
  <c r="I3" i="27"/>
  <c r="H3" i="27"/>
  <c r="G3" i="27"/>
  <c r="E3" i="27"/>
  <c r="D3" i="27"/>
  <c r="I3" i="24"/>
  <c r="H3" i="24"/>
  <c r="G3" i="24"/>
  <c r="E3" i="24"/>
  <c r="D3" i="24"/>
  <c r="K6" i="5"/>
  <c r="J4" i="28" s="1"/>
  <c r="L6" i="5"/>
  <c r="J5" i="28" s="1"/>
  <c r="J5" i="29" s="1"/>
  <c r="M6" i="5"/>
  <c r="N6" i="5"/>
  <c r="J7" i="28" s="1"/>
  <c r="J7" i="29" s="1"/>
  <c r="O6" i="5"/>
  <c r="J8" i="28" s="1"/>
  <c r="J8" i="29" s="1"/>
  <c r="P6" i="5"/>
  <c r="J9" i="28" s="1"/>
  <c r="J9" i="29" s="1"/>
  <c r="Q6" i="5"/>
  <c r="J10" i="28" s="1"/>
  <c r="J10" i="29" s="1"/>
  <c r="R6" i="5"/>
  <c r="J11" i="28" s="1"/>
  <c r="J11" i="29" s="1"/>
  <c r="S6" i="5"/>
  <c r="J12" i="28" s="1"/>
  <c r="J12" i="29" s="1"/>
  <c r="T6" i="5"/>
  <c r="J13" i="28" s="1"/>
  <c r="J13" i="29" s="1"/>
  <c r="U6" i="5"/>
  <c r="J14" i="28" s="1"/>
  <c r="J14" i="29" s="1"/>
  <c r="V6" i="5"/>
  <c r="J15" i="28" s="1"/>
  <c r="J15" i="29" s="1"/>
  <c r="W6" i="5"/>
  <c r="J16" i="28" s="1"/>
  <c r="J16" i="29" s="1"/>
  <c r="X6" i="5"/>
  <c r="J17" i="28" s="1"/>
  <c r="J17" i="29" s="1"/>
  <c r="Y6" i="5"/>
  <c r="J18" i="28" s="1"/>
  <c r="J18" i="29" s="1"/>
  <c r="J6" i="5"/>
  <c r="J3" i="16" s="1"/>
  <c r="K3" i="5"/>
  <c r="I4" i="28" s="1"/>
  <c r="I4" i="29" s="1"/>
  <c r="M3" i="5"/>
  <c r="N3" i="5"/>
  <c r="I7" i="28" s="1"/>
  <c r="I7" i="29" s="1"/>
  <c r="O3" i="5"/>
  <c r="I8" i="28" s="1"/>
  <c r="I8" i="29" s="1"/>
  <c r="Q3" i="5"/>
  <c r="I10" i="28" s="1"/>
  <c r="I10" i="29" s="1"/>
  <c r="S3" i="5"/>
  <c r="I12" i="28" s="1"/>
  <c r="I12" i="29" s="1"/>
  <c r="T3" i="5"/>
  <c r="I13" i="28" s="1"/>
  <c r="I13" i="29" s="1"/>
  <c r="U3" i="5"/>
  <c r="I14" i="28" s="1"/>
  <c r="I14" i="29" s="1"/>
  <c r="V3" i="5"/>
  <c r="I15" i="28" s="1"/>
  <c r="I15" i="29" s="1"/>
  <c r="W3" i="5"/>
  <c r="I16" i="28" s="1"/>
  <c r="I16" i="29" s="1"/>
  <c r="X3" i="5"/>
  <c r="I17" i="28" s="1"/>
  <c r="I17" i="29" s="1"/>
  <c r="Y3" i="5"/>
  <c r="I18" i="28" s="1"/>
  <c r="I18" i="29" s="1"/>
  <c r="J3" i="5"/>
  <c r="J2" i="5"/>
  <c r="L10" i="7"/>
  <c r="B33" i="16" s="1"/>
  <c r="B4" i="31" s="1"/>
  <c r="M10" i="7"/>
  <c r="N10" i="7"/>
  <c r="B35" i="16" s="1"/>
  <c r="B6" i="31" s="1"/>
  <c r="O10" i="7"/>
  <c r="B36" i="16" s="1"/>
  <c r="B7" i="31" s="1"/>
  <c r="P10" i="7"/>
  <c r="Q10" i="7"/>
  <c r="B38" i="16" s="1"/>
  <c r="R10" i="7"/>
  <c r="B39" i="16" s="1"/>
  <c r="B10" i="31" s="1"/>
  <c r="S10" i="7"/>
  <c r="B40" i="16" s="1"/>
  <c r="U10" i="7"/>
  <c r="B42" i="16" s="1"/>
  <c r="G23" i="18" s="1"/>
  <c r="V10" i="7"/>
  <c r="B43" i="16" s="1"/>
  <c r="W10" i="7"/>
  <c r="B44" i="16" s="1"/>
  <c r="B15" i="31" s="1"/>
  <c r="X10" i="7"/>
  <c r="B45" i="16" s="1"/>
  <c r="Y10" i="7"/>
  <c r="B46" i="16" s="1"/>
  <c r="K9" i="7"/>
  <c r="G32" i="28" s="1"/>
  <c r="L9" i="7"/>
  <c r="G33" i="25" s="1"/>
  <c r="G34" i="26" s="1"/>
  <c r="M9" i="7"/>
  <c r="N9" i="7"/>
  <c r="G35" i="25" s="1"/>
  <c r="G36" i="26" s="1"/>
  <c r="O9" i="7"/>
  <c r="G36" i="25" s="1"/>
  <c r="G37" i="26" s="1"/>
  <c r="P9" i="7"/>
  <c r="G37" i="25" s="1"/>
  <c r="G38" i="26" s="1"/>
  <c r="Q9" i="7"/>
  <c r="G38" i="25" s="1"/>
  <c r="G39" i="26" s="1"/>
  <c r="R9" i="7"/>
  <c r="G39" i="25" s="1"/>
  <c r="G40" i="26" s="1"/>
  <c r="S9" i="7"/>
  <c r="G40" i="25" s="1"/>
  <c r="G41" i="26" s="1"/>
  <c r="T9" i="7"/>
  <c r="G41" i="25" s="1"/>
  <c r="G42" i="26" s="1"/>
  <c r="V9" i="7"/>
  <c r="G43" i="25" s="1"/>
  <c r="G44" i="26" s="1"/>
  <c r="W9" i="7"/>
  <c r="G44" i="25" s="1"/>
  <c r="G45" i="26" s="1"/>
  <c r="X9" i="7"/>
  <c r="G45" i="25" s="1"/>
  <c r="G46" i="26" s="1"/>
  <c r="Y9" i="7"/>
  <c r="G46" i="25" s="1"/>
  <c r="G47" i="26" s="1"/>
  <c r="J9" i="7"/>
  <c r="L8" i="7"/>
  <c r="M8" i="7"/>
  <c r="N8" i="7"/>
  <c r="C35" i="16" s="1"/>
  <c r="C6" i="31" s="1"/>
  <c r="O8" i="7"/>
  <c r="C36" i="16" s="1"/>
  <c r="C7" i="31" s="1"/>
  <c r="P8" i="7"/>
  <c r="C37" i="25" s="1"/>
  <c r="C38" i="26" s="1"/>
  <c r="Q8" i="7"/>
  <c r="C38" i="25" s="1"/>
  <c r="C39" i="26" s="1"/>
  <c r="R8" i="7"/>
  <c r="C39" i="25" s="1"/>
  <c r="C40" i="26" s="1"/>
  <c r="S8" i="7"/>
  <c r="C40" i="25" s="1"/>
  <c r="C41" i="26" s="1"/>
  <c r="T8" i="7"/>
  <c r="C41" i="25" s="1"/>
  <c r="C42" i="26" s="1"/>
  <c r="U8" i="7"/>
  <c r="C42" i="25" s="1"/>
  <c r="C43" i="26" s="1"/>
  <c r="V8" i="7"/>
  <c r="C43" i="16" s="1"/>
  <c r="C14" i="31" s="1"/>
  <c r="W8" i="7"/>
  <c r="C44" i="16" s="1"/>
  <c r="X8" i="7"/>
  <c r="C45" i="16" s="1"/>
  <c r="Y8" i="7"/>
  <c r="C46" i="16" s="1"/>
  <c r="J8" i="7"/>
  <c r="K7" i="7"/>
  <c r="E32" i="28" s="1"/>
  <c r="L7" i="7"/>
  <c r="M7" i="7"/>
  <c r="N7" i="7"/>
  <c r="E35" i="16" s="1"/>
  <c r="E6" i="31" s="1"/>
  <c r="O7" i="7"/>
  <c r="E36" i="16" s="1"/>
  <c r="E7" i="31" s="1"/>
  <c r="P7" i="7"/>
  <c r="E37" i="25" s="1"/>
  <c r="E38" i="26" s="1"/>
  <c r="Q7" i="7"/>
  <c r="E38" i="25" s="1"/>
  <c r="E39" i="26" s="1"/>
  <c r="R7" i="7"/>
  <c r="E39" i="25" s="1"/>
  <c r="E40" i="26" s="1"/>
  <c r="S7" i="7"/>
  <c r="E40" i="25" s="1"/>
  <c r="E41" i="26" s="1"/>
  <c r="T7" i="7"/>
  <c r="E41" i="25" s="1"/>
  <c r="E42" i="26" s="1"/>
  <c r="U7" i="7"/>
  <c r="E42" i="25" s="1"/>
  <c r="E43" i="26" s="1"/>
  <c r="V7" i="7"/>
  <c r="E43" i="25" s="1"/>
  <c r="E44" i="26" s="1"/>
  <c r="W7" i="7"/>
  <c r="E44" i="25" s="1"/>
  <c r="E45" i="26" s="1"/>
  <c r="X7" i="7"/>
  <c r="E45" i="25" s="1"/>
  <c r="E46" i="26" s="1"/>
  <c r="Y7" i="7"/>
  <c r="E46" i="25" s="1"/>
  <c r="E47" i="26" s="1"/>
  <c r="J7" i="7"/>
  <c r="K6" i="7"/>
  <c r="J32" i="28" s="1"/>
  <c r="L6" i="7"/>
  <c r="J33" i="28" s="1"/>
  <c r="J4" i="31" s="1"/>
  <c r="M6" i="7"/>
  <c r="J34" i="16" s="1"/>
  <c r="J5" i="31" s="1"/>
  <c r="N6" i="7"/>
  <c r="J35" i="28" s="1"/>
  <c r="J6" i="31" s="1"/>
  <c r="O6" i="7"/>
  <c r="J36" i="28" s="1"/>
  <c r="J7" i="31" s="1"/>
  <c r="P6" i="7"/>
  <c r="J37" i="28" s="1"/>
  <c r="J38" i="29" s="1"/>
  <c r="J36" i="31" s="1"/>
  <c r="Q6" i="7"/>
  <c r="J38" i="28" s="1"/>
  <c r="J39" i="29" s="1"/>
  <c r="J37" i="31" s="1"/>
  <c r="R6" i="7"/>
  <c r="J39" i="28" s="1"/>
  <c r="J10" i="31" s="1"/>
  <c r="S6" i="7"/>
  <c r="J40" i="28" s="1"/>
  <c r="T6" i="7"/>
  <c r="J41" i="28" s="1"/>
  <c r="J42" i="29" s="1"/>
  <c r="J40" i="31" s="1"/>
  <c r="U6" i="7"/>
  <c r="J42" i="28" s="1"/>
  <c r="J43" i="29" s="1"/>
  <c r="J41" i="31" s="1"/>
  <c r="V6" i="7"/>
  <c r="J43" i="28" s="1"/>
  <c r="J14" i="31" s="1"/>
  <c r="W6" i="7"/>
  <c r="J44" i="28" s="1"/>
  <c r="J15" i="31" s="1"/>
  <c r="X6" i="7"/>
  <c r="J45" i="28" s="1"/>
  <c r="J16" i="31" s="1"/>
  <c r="Y6" i="7"/>
  <c r="J46" i="28" s="1"/>
  <c r="J47" i="29" s="1"/>
  <c r="J45" i="31" s="1"/>
  <c r="J6" i="7"/>
  <c r="J31" i="16" s="1"/>
  <c r="J2" i="31" s="1"/>
  <c r="K5" i="7"/>
  <c r="D32" i="28" s="1"/>
  <c r="L5" i="7"/>
  <c r="D33" i="25" s="1"/>
  <c r="D34" i="26" s="1"/>
  <c r="M5" i="7"/>
  <c r="D34" i="16" s="1"/>
  <c r="N5" i="7"/>
  <c r="D35" i="25" s="1"/>
  <c r="D36" i="26" s="1"/>
  <c r="O5" i="7"/>
  <c r="D36" i="25" s="1"/>
  <c r="D37" i="26" s="1"/>
  <c r="P5" i="7"/>
  <c r="D37" i="25" s="1"/>
  <c r="D38" i="26" s="1"/>
  <c r="Q5" i="7"/>
  <c r="D38" i="25" s="1"/>
  <c r="D39" i="26" s="1"/>
  <c r="R5" i="7"/>
  <c r="D39" i="25" s="1"/>
  <c r="D40" i="26" s="1"/>
  <c r="S5" i="7"/>
  <c r="D40" i="25" s="1"/>
  <c r="D41" i="26" s="1"/>
  <c r="T5" i="7"/>
  <c r="D41" i="25" s="1"/>
  <c r="D42" i="26" s="1"/>
  <c r="U5" i="7"/>
  <c r="D42" i="25" s="1"/>
  <c r="D43" i="26" s="1"/>
  <c r="V5" i="7"/>
  <c r="D43" i="25" s="1"/>
  <c r="W5" i="7"/>
  <c r="D44" i="25" s="1"/>
  <c r="D45" i="26" s="1"/>
  <c r="Y5" i="7"/>
  <c r="D46" i="25" s="1"/>
  <c r="D47" i="26" s="1"/>
  <c r="J5" i="7"/>
  <c r="T4" i="7"/>
  <c r="H41" i="28" s="1"/>
  <c r="U4" i="7"/>
  <c r="H42" i="28" s="1"/>
  <c r="V4" i="7"/>
  <c r="H43" i="28" s="1"/>
  <c r="W4" i="7"/>
  <c r="H44" i="28" s="1"/>
  <c r="X4" i="7"/>
  <c r="H45" i="28" s="1"/>
  <c r="Y4" i="7"/>
  <c r="H46" i="28" s="1"/>
  <c r="S4" i="7"/>
  <c r="H40" i="28" s="1"/>
  <c r="K4" i="7"/>
  <c r="H32" i="28" s="1"/>
  <c r="L4" i="7"/>
  <c r="H33" i="25" s="1"/>
  <c r="H34" i="26" s="1"/>
  <c r="M4" i="7"/>
  <c r="N4" i="7"/>
  <c r="H35" i="25" s="1"/>
  <c r="H36" i="26" s="1"/>
  <c r="O4" i="7"/>
  <c r="H36" i="25" s="1"/>
  <c r="H37" i="26" s="1"/>
  <c r="P4" i="7"/>
  <c r="H37" i="25" s="1"/>
  <c r="H38" i="26" s="1"/>
  <c r="Q4" i="7"/>
  <c r="H38" i="25" s="1"/>
  <c r="H39" i="26" s="1"/>
  <c r="J4" i="7"/>
  <c r="K3" i="7"/>
  <c r="I32" i="28" s="1"/>
  <c r="L3" i="7"/>
  <c r="I33" i="28" s="1"/>
  <c r="I4" i="31" s="1"/>
  <c r="M3" i="7"/>
  <c r="N3" i="7"/>
  <c r="I35" i="28" s="1"/>
  <c r="I36" i="29" s="1"/>
  <c r="I34" i="31" s="1"/>
  <c r="O3" i="7"/>
  <c r="I36" i="28" s="1"/>
  <c r="I7" i="31" s="1"/>
  <c r="P3" i="7"/>
  <c r="I37" i="28" s="1"/>
  <c r="I38" i="29" s="1"/>
  <c r="I36" i="31" s="1"/>
  <c r="Q3" i="7"/>
  <c r="I38" i="28" s="1"/>
  <c r="I39" i="29" s="1"/>
  <c r="I37" i="31" s="1"/>
  <c r="S3" i="7"/>
  <c r="I40" i="28" s="1"/>
  <c r="T3" i="7"/>
  <c r="I41" i="28" s="1"/>
  <c r="I42" i="29" s="1"/>
  <c r="I40" i="31" s="1"/>
  <c r="U3" i="7"/>
  <c r="I42" i="28" s="1"/>
  <c r="I43" i="29" s="1"/>
  <c r="I41" i="31" s="1"/>
  <c r="V3" i="7"/>
  <c r="I43" i="28" s="1"/>
  <c r="I14" i="31" s="1"/>
  <c r="W3" i="7"/>
  <c r="I44" i="28" s="1"/>
  <c r="I15" i="31" s="1"/>
  <c r="X3" i="7"/>
  <c r="I45" i="28" s="1"/>
  <c r="I16" i="31" s="1"/>
  <c r="Y3" i="7"/>
  <c r="I46" i="28" s="1"/>
  <c r="I17" i="31" s="1"/>
  <c r="J3" i="7"/>
  <c r="K2" i="7"/>
  <c r="F32" i="28" s="1"/>
  <c r="L2" i="7"/>
  <c r="F33" i="25" s="1"/>
  <c r="M2" i="7"/>
  <c r="N2" i="7"/>
  <c r="F35" i="25" s="1"/>
  <c r="F36" i="26" s="1"/>
  <c r="O2" i="7"/>
  <c r="F36" i="25" s="1"/>
  <c r="F7" i="31" s="1"/>
  <c r="P2" i="7"/>
  <c r="F37" i="25" s="1"/>
  <c r="F38" i="26" s="1"/>
  <c r="Q2" i="7"/>
  <c r="F38" i="25" s="1"/>
  <c r="F39" i="26" s="1"/>
  <c r="R2" i="7"/>
  <c r="F39" i="25" s="1"/>
  <c r="F10" i="31" s="1"/>
  <c r="S2" i="7"/>
  <c r="F40" i="25" s="1"/>
  <c r="F11" i="31" s="1"/>
  <c r="T2" i="7"/>
  <c r="F41" i="25" s="1"/>
  <c r="F42" i="26" s="1"/>
  <c r="U2" i="7"/>
  <c r="F42" i="25" s="1"/>
  <c r="F13" i="31" s="1"/>
  <c r="V2" i="7"/>
  <c r="F43" i="25" s="1"/>
  <c r="F44" i="26" s="1"/>
  <c r="W2" i="7"/>
  <c r="F44" i="25" s="1"/>
  <c r="F45" i="26" s="1"/>
  <c r="X2" i="7"/>
  <c r="F45" i="25" s="1"/>
  <c r="F16" i="31" s="1"/>
  <c r="Y2" i="7"/>
  <c r="F46" i="25" s="1"/>
  <c r="F47" i="26" s="1"/>
  <c r="J2" i="7"/>
  <c r="J25" i="27"/>
  <c r="J24" i="27"/>
  <c r="I24" i="27"/>
  <c r="J23" i="27"/>
  <c r="I23" i="27"/>
  <c r="H23" i="27"/>
  <c r="J22" i="27"/>
  <c r="J21" i="27" s="1"/>
  <c r="H22" i="27"/>
  <c r="G22" i="27"/>
  <c r="G21" i="27" s="1"/>
  <c r="H21" i="27"/>
  <c r="J20" i="27"/>
  <c r="I20" i="27"/>
  <c r="G20" i="27"/>
  <c r="J19" i="27"/>
  <c r="H19" i="27"/>
  <c r="G19" i="27"/>
  <c r="F19" i="27"/>
  <c r="J18" i="27"/>
  <c r="J3" i="27" s="1"/>
  <c r="I18" i="27"/>
  <c r="H18" i="27"/>
  <c r="G18" i="27"/>
  <c r="D18" i="27"/>
  <c r="C18" i="27"/>
  <c r="B59" i="26"/>
  <c r="J25" i="24"/>
  <c r="J24" i="24"/>
  <c r="I24" i="24"/>
  <c r="J23" i="24"/>
  <c r="I23" i="24"/>
  <c r="H23" i="24"/>
  <c r="J22" i="24"/>
  <c r="J21" i="24" s="1"/>
  <c r="I22" i="24"/>
  <c r="I21" i="24" s="1"/>
  <c r="H22" i="24"/>
  <c r="H21" i="24" s="1"/>
  <c r="I20" i="24"/>
  <c r="H20" i="24"/>
  <c r="G20" i="24"/>
  <c r="J19" i="24"/>
  <c r="I19" i="24"/>
  <c r="G19" i="24"/>
  <c r="F19" i="24"/>
  <c r="J18" i="24"/>
  <c r="J3" i="24" s="1"/>
  <c r="H18" i="24"/>
  <c r="F18" i="24"/>
  <c r="E18" i="24"/>
  <c r="D18" i="24"/>
  <c r="C18" i="24"/>
  <c r="B37" i="16"/>
  <c r="B8" i="31" s="1"/>
  <c r="T4" i="5"/>
  <c r="H13" i="28" s="1"/>
  <c r="H13" i="29" s="1"/>
  <c r="U4" i="5"/>
  <c r="H14" i="28" s="1"/>
  <c r="H14" i="29" s="1"/>
  <c r="V4" i="5"/>
  <c r="H15" i="28" s="1"/>
  <c r="H15" i="29" s="1"/>
  <c r="W4" i="5"/>
  <c r="H16" i="28" s="1"/>
  <c r="H16" i="29" s="1"/>
  <c r="X4" i="5"/>
  <c r="H17" i="28" s="1"/>
  <c r="H17" i="29" s="1"/>
  <c r="Y4" i="5"/>
  <c r="H18" i="28" s="1"/>
  <c r="H18" i="29" s="1"/>
  <c r="S4" i="5"/>
  <c r="H12" i="28" s="1"/>
  <c r="H12" i="29" s="1"/>
  <c r="R5" i="5"/>
  <c r="D11" i="25" s="1"/>
  <c r="D11" i="26" s="1"/>
  <c r="D38" i="31" s="1"/>
  <c r="S5" i="5"/>
  <c r="D12" i="25" s="1"/>
  <c r="D12" i="26" s="1"/>
  <c r="D39" i="31" s="1"/>
  <c r="T5" i="5"/>
  <c r="D13" i="25" s="1"/>
  <c r="D13" i="26" s="1"/>
  <c r="D40" i="31" s="1"/>
  <c r="U5" i="5"/>
  <c r="D14" i="25" s="1"/>
  <c r="D14" i="26" s="1"/>
  <c r="D41" i="31" s="1"/>
  <c r="V5" i="5"/>
  <c r="D15" i="25" s="1"/>
  <c r="D15" i="26" s="1"/>
  <c r="D42" i="31" s="1"/>
  <c r="W5" i="5"/>
  <c r="D16" i="25" s="1"/>
  <c r="D16" i="26" s="1"/>
  <c r="D43" i="31" s="1"/>
  <c r="Y5" i="5"/>
  <c r="D18" i="25" s="1"/>
  <c r="D18" i="26" s="1"/>
  <c r="D45" i="31" s="1"/>
  <c r="R7" i="5"/>
  <c r="E11" i="25" s="1"/>
  <c r="E11" i="26" s="1"/>
  <c r="E38" i="31" s="1"/>
  <c r="S7" i="5"/>
  <c r="E12" i="25" s="1"/>
  <c r="E12" i="26" s="1"/>
  <c r="E39" i="31" s="1"/>
  <c r="T7" i="5"/>
  <c r="E13" i="25" s="1"/>
  <c r="E13" i="26" s="1"/>
  <c r="E40" i="31" s="1"/>
  <c r="U7" i="5"/>
  <c r="E14" i="25" s="1"/>
  <c r="E14" i="26" s="1"/>
  <c r="E41" i="31" s="1"/>
  <c r="V7" i="5"/>
  <c r="E15" i="25" s="1"/>
  <c r="E15" i="26" s="1"/>
  <c r="E42" i="31" s="1"/>
  <c r="W7" i="5"/>
  <c r="E16" i="25" s="1"/>
  <c r="E16" i="26" s="1"/>
  <c r="E43" i="31" s="1"/>
  <c r="X7" i="5"/>
  <c r="E17" i="25" s="1"/>
  <c r="E17" i="26" s="1"/>
  <c r="E44" i="31" s="1"/>
  <c r="Y7" i="5"/>
  <c r="E18" i="25" s="1"/>
  <c r="E18" i="26" s="1"/>
  <c r="E45" i="31" s="1"/>
  <c r="R8" i="5"/>
  <c r="C11" i="25" s="1"/>
  <c r="C11" i="26" s="1"/>
  <c r="C38" i="31" s="1"/>
  <c r="S8" i="5"/>
  <c r="C12" i="25" s="1"/>
  <c r="C12" i="26" s="1"/>
  <c r="C39" i="31" s="1"/>
  <c r="T8" i="5"/>
  <c r="C13" i="25" s="1"/>
  <c r="C13" i="26" s="1"/>
  <c r="C40" i="31" s="1"/>
  <c r="U8" i="5"/>
  <c r="C14" i="25" s="1"/>
  <c r="C14" i="26" s="1"/>
  <c r="C41" i="31" s="1"/>
  <c r="V8" i="5"/>
  <c r="C15" i="16" s="1"/>
  <c r="W8" i="5"/>
  <c r="C16" i="16" s="1"/>
  <c r="X8" i="5"/>
  <c r="C17" i="16" s="1"/>
  <c r="Y8" i="5"/>
  <c r="C18" i="16" s="1"/>
  <c r="R9" i="5"/>
  <c r="G11" i="25" s="1"/>
  <c r="G11" i="26" s="1"/>
  <c r="G38" i="31" s="1"/>
  <c r="S9" i="5"/>
  <c r="G12" i="25" s="1"/>
  <c r="G12" i="26" s="1"/>
  <c r="G39" i="31" s="1"/>
  <c r="T9" i="5"/>
  <c r="G13" i="25" s="1"/>
  <c r="G13" i="26" s="1"/>
  <c r="G40" i="31" s="1"/>
  <c r="V9" i="5"/>
  <c r="G15" i="25" s="1"/>
  <c r="G15" i="26" s="1"/>
  <c r="G42" i="31" s="1"/>
  <c r="W9" i="5"/>
  <c r="G16" i="25" s="1"/>
  <c r="G16" i="26" s="1"/>
  <c r="G43" i="31" s="1"/>
  <c r="X9" i="5"/>
  <c r="G17" i="25" s="1"/>
  <c r="G17" i="26" s="1"/>
  <c r="G44" i="31" s="1"/>
  <c r="Y9" i="5"/>
  <c r="G18" i="25" s="1"/>
  <c r="G18" i="26" s="1"/>
  <c r="G45" i="31" s="1"/>
  <c r="R10" i="5"/>
  <c r="B11" i="16" s="1"/>
  <c r="S10" i="5"/>
  <c r="B12" i="16" s="1"/>
  <c r="T10" i="5"/>
  <c r="B13" i="16" s="1"/>
  <c r="U10" i="5"/>
  <c r="B14" i="16" s="1"/>
  <c r="V10" i="5"/>
  <c r="B15" i="16" s="1"/>
  <c r="W10" i="5"/>
  <c r="B16" i="16" s="1"/>
  <c r="X10" i="5"/>
  <c r="B17" i="16" s="1"/>
  <c r="Y10" i="5"/>
  <c r="B18" i="16" s="1"/>
  <c r="K4" i="5"/>
  <c r="H4" i="28" s="1"/>
  <c r="L4" i="5"/>
  <c r="H5" i="25" s="1"/>
  <c r="H5" i="26" s="1"/>
  <c r="H32" i="31" s="1"/>
  <c r="M4" i="5"/>
  <c r="N4" i="5"/>
  <c r="H7" i="25" s="1"/>
  <c r="H7" i="26" s="1"/>
  <c r="H34" i="31" s="1"/>
  <c r="O4" i="5"/>
  <c r="H8" i="25" s="1"/>
  <c r="H8" i="26" s="1"/>
  <c r="H35" i="31" s="1"/>
  <c r="P4" i="5"/>
  <c r="H9" i="25" s="1"/>
  <c r="H9" i="26" s="1"/>
  <c r="H36" i="31" s="1"/>
  <c r="Q4" i="5"/>
  <c r="H10" i="25" s="1"/>
  <c r="H10" i="26" s="1"/>
  <c r="H37" i="31" s="1"/>
  <c r="K5" i="5"/>
  <c r="D4" i="28" s="1"/>
  <c r="D4" i="29" s="1"/>
  <c r="L5" i="5"/>
  <c r="D5" i="25" s="1"/>
  <c r="D5" i="26" s="1"/>
  <c r="D32" i="31" s="1"/>
  <c r="M5" i="5"/>
  <c r="D6" i="16" s="1"/>
  <c r="N5" i="5"/>
  <c r="D7" i="25" s="1"/>
  <c r="D7" i="26" s="1"/>
  <c r="D34" i="31" s="1"/>
  <c r="O5" i="5"/>
  <c r="D8" i="25" s="1"/>
  <c r="D8" i="26" s="1"/>
  <c r="D35" i="31" s="1"/>
  <c r="P5" i="5"/>
  <c r="D9" i="25" s="1"/>
  <c r="D9" i="26" s="1"/>
  <c r="D36" i="31" s="1"/>
  <c r="Q5" i="5"/>
  <c r="D10" i="25" s="1"/>
  <c r="D10" i="26" s="1"/>
  <c r="D37" i="31" s="1"/>
  <c r="K7" i="5"/>
  <c r="E4" i="28" s="1"/>
  <c r="E4" i="29" s="1"/>
  <c r="L7" i="5"/>
  <c r="M7" i="5"/>
  <c r="N7" i="5"/>
  <c r="E7" i="16" s="1"/>
  <c r="O7" i="5"/>
  <c r="E8" i="16" s="1"/>
  <c r="P7" i="5"/>
  <c r="E9" i="25" s="1"/>
  <c r="E9" i="26" s="1"/>
  <c r="E36" i="31" s="1"/>
  <c r="Q7" i="5"/>
  <c r="E10" i="25" s="1"/>
  <c r="E10" i="26" s="1"/>
  <c r="E37" i="31" s="1"/>
  <c r="K8" i="5"/>
  <c r="C4" i="28" s="1"/>
  <c r="L8" i="5"/>
  <c r="M8" i="5"/>
  <c r="N8" i="5"/>
  <c r="C7" i="16" s="1"/>
  <c r="O8" i="5"/>
  <c r="C8" i="16" s="1"/>
  <c r="P8" i="5"/>
  <c r="C9" i="25" s="1"/>
  <c r="C9" i="26" s="1"/>
  <c r="C36" i="31" s="1"/>
  <c r="Q8" i="5"/>
  <c r="C10" i="25" s="1"/>
  <c r="C10" i="26" s="1"/>
  <c r="C37" i="31" s="1"/>
  <c r="K9" i="5"/>
  <c r="G4" i="28" s="1"/>
  <c r="G4" i="29" s="1"/>
  <c r="L9" i="5"/>
  <c r="G5" i="25" s="1"/>
  <c r="G5" i="26" s="1"/>
  <c r="G32" i="31" s="1"/>
  <c r="M9" i="5"/>
  <c r="N9" i="5"/>
  <c r="G7" i="25" s="1"/>
  <c r="G7" i="26" s="1"/>
  <c r="G34" i="31" s="1"/>
  <c r="O9" i="5"/>
  <c r="G8" i="25" s="1"/>
  <c r="G8" i="26" s="1"/>
  <c r="G35" i="31" s="1"/>
  <c r="P9" i="5"/>
  <c r="G9" i="25" s="1"/>
  <c r="G9" i="26" s="1"/>
  <c r="G36" i="31" s="1"/>
  <c r="Q9" i="5"/>
  <c r="G10" i="25" s="1"/>
  <c r="G10" i="26" s="1"/>
  <c r="G37" i="31" s="1"/>
  <c r="K10" i="5"/>
  <c r="L10" i="5"/>
  <c r="M10" i="5"/>
  <c r="N10" i="5"/>
  <c r="B7" i="16" s="1"/>
  <c r="O10" i="5"/>
  <c r="B8" i="16" s="1"/>
  <c r="P10" i="5"/>
  <c r="B9" i="16" s="1"/>
  <c r="Q10" i="5"/>
  <c r="B10" i="16" s="1"/>
  <c r="J9" i="5"/>
  <c r="J8" i="5"/>
  <c r="J7" i="5"/>
  <c r="J5" i="5"/>
  <c r="J4" i="5"/>
  <c r="K2" i="5"/>
  <c r="F4" i="28" s="1"/>
  <c r="L2" i="5"/>
  <c r="F5" i="25" s="1"/>
  <c r="F5" i="26" s="1"/>
  <c r="F32" i="31" s="1"/>
  <c r="M2" i="5"/>
  <c r="N2" i="5"/>
  <c r="F7" i="25" s="1"/>
  <c r="F7" i="26" s="1"/>
  <c r="F34" i="31" s="1"/>
  <c r="O2" i="5"/>
  <c r="F8" i="25" s="1"/>
  <c r="F8" i="26" s="1"/>
  <c r="F35" i="31" s="1"/>
  <c r="P2" i="5"/>
  <c r="F9" i="25" s="1"/>
  <c r="F9" i="26" s="1"/>
  <c r="F36" i="31" s="1"/>
  <c r="Q2" i="5"/>
  <c r="F10" i="25" s="1"/>
  <c r="F10" i="26" s="1"/>
  <c r="F37" i="31" s="1"/>
  <c r="R2" i="5"/>
  <c r="F11" i="25" s="1"/>
  <c r="F11" i="26" s="1"/>
  <c r="F38" i="31" s="1"/>
  <c r="S2" i="5"/>
  <c r="F12" i="25" s="1"/>
  <c r="F12" i="26" s="1"/>
  <c r="F39" i="31" s="1"/>
  <c r="T2" i="5"/>
  <c r="F13" i="25" s="1"/>
  <c r="F13" i="26" s="1"/>
  <c r="F40" i="31" s="1"/>
  <c r="U2" i="5"/>
  <c r="F14" i="25" s="1"/>
  <c r="F14" i="26" s="1"/>
  <c r="F41" i="31" s="1"/>
  <c r="V2" i="5"/>
  <c r="F15" i="25" s="1"/>
  <c r="F15" i="26" s="1"/>
  <c r="F42" i="31" s="1"/>
  <c r="W2" i="5"/>
  <c r="F16" i="25" s="1"/>
  <c r="F16" i="26" s="1"/>
  <c r="F43" i="31" s="1"/>
  <c r="X2" i="5"/>
  <c r="F17" i="25" s="1"/>
  <c r="F17" i="26" s="1"/>
  <c r="F44" i="31" s="1"/>
  <c r="Y2" i="5"/>
  <c r="F18" i="25" s="1"/>
  <c r="F18" i="26" s="1"/>
  <c r="F45" i="31" s="1"/>
  <c r="C13" i="8"/>
  <c r="C2" i="8"/>
  <c r="J4" i="16"/>
  <c r="J6" i="16"/>
  <c r="B4" i="3"/>
  <c r="B3" i="3" s="1"/>
  <c r="J25" i="10"/>
  <c r="J24" i="10"/>
  <c r="J22" i="10"/>
  <c r="J21" i="10" s="1"/>
  <c r="J20" i="10"/>
  <c r="J18" i="10"/>
  <c r="C7" i="8"/>
  <c r="C12" i="8"/>
  <c r="C9" i="8"/>
  <c r="R3" i="7" l="1"/>
  <c r="I39" i="28" s="1"/>
  <c r="I40" i="29" s="1"/>
  <c r="I38" i="31" s="1"/>
  <c r="X5" i="7"/>
  <c r="D45" i="25" s="1"/>
  <c r="D46" i="26" s="1"/>
  <c r="U9" i="5"/>
  <c r="G14" i="25" s="1"/>
  <c r="G14" i="26" s="1"/>
  <c r="G41" i="31" s="1"/>
  <c r="J10" i="7"/>
  <c r="C4" i="29"/>
  <c r="C3" i="24"/>
  <c r="H4" i="29"/>
  <c r="J32" i="16"/>
  <c r="K8" i="7"/>
  <c r="C32" i="28" s="1"/>
  <c r="C33" i="29" s="1"/>
  <c r="F3" i="27"/>
  <c r="F4" i="29"/>
  <c r="J4" i="29"/>
  <c r="B2" i="3"/>
  <c r="E19" i="24"/>
  <c r="F20" i="27"/>
  <c r="C15" i="31"/>
  <c r="D14" i="31"/>
  <c r="D44" i="26"/>
  <c r="G20" i="18"/>
  <c r="H17" i="31"/>
  <c r="H47" i="29"/>
  <c r="H45" i="31" s="1"/>
  <c r="I25" i="18"/>
  <c r="H46" i="29"/>
  <c r="H44" i="31" s="1"/>
  <c r="H16" i="31"/>
  <c r="I24" i="18"/>
  <c r="J24" i="18" s="1"/>
  <c r="H45" i="29"/>
  <c r="H43" i="31" s="1"/>
  <c r="H15" i="31"/>
  <c r="H14" i="31"/>
  <c r="I23" i="18"/>
  <c r="H44" i="29"/>
  <c r="H42" i="31" s="1"/>
  <c r="D5" i="31"/>
  <c r="H43" i="29"/>
  <c r="H41" i="31" s="1"/>
  <c r="H13" i="31"/>
  <c r="I21" i="18"/>
  <c r="H42" i="29"/>
  <c r="H40" i="31" s="1"/>
  <c r="I22" i="18"/>
  <c r="H12" i="31"/>
  <c r="D33" i="29"/>
  <c r="D3" i="31"/>
  <c r="J41" i="29"/>
  <c r="J39" i="31" s="1"/>
  <c r="J11" i="31"/>
  <c r="J3" i="31"/>
  <c r="J33" i="29"/>
  <c r="E33" i="29"/>
  <c r="E3" i="31"/>
  <c r="G33" i="29"/>
  <c r="G3" i="31"/>
  <c r="F33" i="29"/>
  <c r="F3" i="31"/>
  <c r="I11" i="31"/>
  <c r="I41" i="29"/>
  <c r="I39" i="31" s="1"/>
  <c r="I3" i="31"/>
  <c r="I33" i="29"/>
  <c r="H3" i="31"/>
  <c r="H33" i="29"/>
  <c r="H11" i="31"/>
  <c r="H41" i="29"/>
  <c r="H39" i="31" s="1"/>
  <c r="G25" i="18"/>
  <c r="I47" i="29"/>
  <c r="I45" i="31" s="1"/>
  <c r="I44" i="29"/>
  <c r="I42" i="31" s="1"/>
  <c r="J37" i="29"/>
  <c r="J35" i="31" s="1"/>
  <c r="I15" i="18"/>
  <c r="I26" i="18"/>
  <c r="C4" i="25"/>
  <c r="C4" i="26" s="1"/>
  <c r="C32" i="25"/>
  <c r="C33" i="26" s="1"/>
  <c r="I6" i="31"/>
  <c r="G9" i="31"/>
  <c r="D8" i="31"/>
  <c r="F6" i="31"/>
  <c r="E17" i="31"/>
  <c r="E15" i="31"/>
  <c r="E13" i="31"/>
  <c r="G11" i="31"/>
  <c r="D10" i="31"/>
  <c r="B12" i="31"/>
  <c r="J46" i="29"/>
  <c r="J44" i="31" s="1"/>
  <c r="I37" i="29"/>
  <c r="I35" i="31" s="1"/>
  <c r="I17" i="18"/>
  <c r="I27" i="18"/>
  <c r="D4" i="25"/>
  <c r="D4" i="26" s="1"/>
  <c r="D32" i="25"/>
  <c r="D33" i="26" s="1"/>
  <c r="J17" i="31"/>
  <c r="J13" i="31"/>
  <c r="J9" i="31"/>
  <c r="F9" i="31"/>
  <c r="C8" i="31"/>
  <c r="D6" i="31"/>
  <c r="D17" i="31"/>
  <c r="D15" i="31"/>
  <c r="D13" i="31"/>
  <c r="C10" i="31"/>
  <c r="B11" i="31"/>
  <c r="C17" i="31"/>
  <c r="G18" i="18"/>
  <c r="H20" i="18"/>
  <c r="I46" i="29"/>
  <c r="I44" i="31" s="1"/>
  <c r="J40" i="29"/>
  <c r="J38" i="31" s="1"/>
  <c r="J36" i="29"/>
  <c r="J34" i="31" s="1"/>
  <c r="I18" i="18"/>
  <c r="E4" i="25"/>
  <c r="E4" i="26" s="1"/>
  <c r="E32" i="25"/>
  <c r="E33" i="26" s="1"/>
  <c r="I13" i="31"/>
  <c r="I9" i="31"/>
  <c r="E9" i="31"/>
  <c r="H7" i="31"/>
  <c r="H4" i="31"/>
  <c r="G16" i="31"/>
  <c r="G14" i="31"/>
  <c r="C13" i="31"/>
  <c r="E11" i="31"/>
  <c r="C16" i="31"/>
  <c r="I19" i="18"/>
  <c r="F4" i="25"/>
  <c r="F4" i="26" s="1"/>
  <c r="F32" i="25"/>
  <c r="F33" i="26" s="1"/>
  <c r="J12" i="31"/>
  <c r="J8" i="31"/>
  <c r="D9" i="31"/>
  <c r="G7" i="31"/>
  <c r="G4" i="31"/>
  <c r="F14" i="31"/>
  <c r="G12" i="31"/>
  <c r="D11" i="31"/>
  <c r="B17" i="31"/>
  <c r="B9" i="31"/>
  <c r="E8" i="31"/>
  <c r="J45" i="29"/>
  <c r="J43" i="31" s="1"/>
  <c r="J34" i="29"/>
  <c r="J32" i="31" s="1"/>
  <c r="G4" i="25"/>
  <c r="G4" i="26" s="1"/>
  <c r="G32" i="25"/>
  <c r="G33" i="26" s="1"/>
  <c r="I12" i="31"/>
  <c r="I8" i="31"/>
  <c r="C9" i="31"/>
  <c r="F4" i="31"/>
  <c r="E16" i="31"/>
  <c r="E14" i="31"/>
  <c r="F12" i="31"/>
  <c r="C11" i="31"/>
  <c r="B16" i="31"/>
  <c r="I45" i="29"/>
  <c r="I43" i="31" s="1"/>
  <c r="I34" i="29"/>
  <c r="I32" i="31" s="1"/>
  <c r="H4" i="25"/>
  <c r="H4" i="26" s="1"/>
  <c r="H32" i="25"/>
  <c r="H33" i="26" s="1"/>
  <c r="H8" i="31"/>
  <c r="D7" i="31"/>
  <c r="D4" i="31"/>
  <c r="E12" i="31"/>
  <c r="G10" i="31"/>
  <c r="I4" i="25"/>
  <c r="I4" i="26" s="1"/>
  <c r="I32" i="25"/>
  <c r="I33" i="26" s="1"/>
  <c r="G8" i="31"/>
  <c r="H6" i="31"/>
  <c r="G17" i="31"/>
  <c r="G15" i="31"/>
  <c r="G13" i="31"/>
  <c r="D12" i="31"/>
  <c r="B14" i="31"/>
  <c r="G28" i="18"/>
  <c r="J44" i="29"/>
  <c r="J42" i="31" s="1"/>
  <c r="J4" i="25"/>
  <c r="J4" i="26" s="1"/>
  <c r="J32" i="25"/>
  <c r="J33" i="26" s="1"/>
  <c r="H9" i="31"/>
  <c r="F8" i="31"/>
  <c r="G6" i="31"/>
  <c r="F17" i="31"/>
  <c r="F15" i="31"/>
  <c r="C12" i="31"/>
  <c r="E10" i="31"/>
  <c r="B13" i="31"/>
  <c r="G19" i="18"/>
  <c r="G17" i="18"/>
  <c r="G27" i="18"/>
  <c r="G26" i="18"/>
  <c r="G14" i="18"/>
  <c r="H28" i="18"/>
  <c r="H21" i="18"/>
  <c r="H19" i="18"/>
  <c r="F40" i="26"/>
  <c r="H26" i="18"/>
  <c r="F43" i="26"/>
  <c r="H23" i="18"/>
  <c r="H18" i="18"/>
  <c r="F37" i="26"/>
  <c r="F34" i="26"/>
  <c r="H9" i="18"/>
  <c r="J9" i="18" s="1"/>
  <c r="F41" i="26"/>
  <c r="H22" i="18"/>
  <c r="F46" i="26"/>
  <c r="H15" i="18"/>
  <c r="G15" i="18"/>
  <c r="J5" i="10"/>
  <c r="J6" i="17" s="1"/>
  <c r="J2" i="10"/>
  <c r="J32" i="17" s="1"/>
  <c r="J30" i="31" s="1"/>
  <c r="J3" i="10"/>
  <c r="J35" i="17"/>
  <c r="J33" i="31" s="1"/>
  <c r="I15" i="23"/>
  <c r="J31" i="31" s="1"/>
  <c r="I2" i="23"/>
  <c r="B59" i="17"/>
  <c r="I9" i="19"/>
  <c r="I8" i="19"/>
  <c r="H8" i="19"/>
  <c r="I7" i="19"/>
  <c r="I6" i="19" s="1"/>
  <c r="H7" i="19"/>
  <c r="H6" i="19" s="1"/>
  <c r="G7" i="19"/>
  <c r="G6" i="19" s="1"/>
  <c r="I5" i="19"/>
  <c r="H5" i="19"/>
  <c r="G5" i="19"/>
  <c r="F5" i="19"/>
  <c r="I4" i="19"/>
  <c r="H4" i="19"/>
  <c r="G4" i="19"/>
  <c r="F4" i="19"/>
  <c r="E4" i="19"/>
  <c r="I3" i="19"/>
  <c r="H3" i="19"/>
  <c r="G3" i="19"/>
  <c r="F3" i="19"/>
  <c r="E3" i="19"/>
  <c r="D3" i="19"/>
  <c r="C3" i="19"/>
  <c r="I2" i="19"/>
  <c r="H2" i="19"/>
  <c r="G2" i="19"/>
  <c r="F2" i="19"/>
  <c r="E2" i="19"/>
  <c r="D2" i="19"/>
  <c r="C2" i="19"/>
  <c r="B2" i="19"/>
  <c r="I2" i="15"/>
  <c r="H2" i="15"/>
  <c r="G2" i="15"/>
  <c r="F2" i="15"/>
  <c r="E2" i="15"/>
  <c r="D2" i="15"/>
  <c r="C2" i="15"/>
  <c r="B2" i="15"/>
  <c r="D3" i="15"/>
  <c r="I3" i="15"/>
  <c r="H3" i="15"/>
  <c r="G3" i="15"/>
  <c r="F3" i="15"/>
  <c r="E3" i="15"/>
  <c r="C3" i="15"/>
  <c r="F5" i="10"/>
  <c r="B5" i="14"/>
  <c r="I5" i="7"/>
  <c r="I5" i="5"/>
  <c r="D18" i="10"/>
  <c r="D3" i="10"/>
  <c r="I31" i="16"/>
  <c r="I2" i="31" s="1"/>
  <c r="C18" i="10"/>
  <c r="I9" i="15"/>
  <c r="I8" i="15"/>
  <c r="H8" i="15"/>
  <c r="I7" i="15"/>
  <c r="H7" i="15"/>
  <c r="G7" i="15"/>
  <c r="I6" i="15"/>
  <c r="H6" i="15"/>
  <c r="G6" i="15"/>
  <c r="I5" i="15"/>
  <c r="H5" i="15"/>
  <c r="G5" i="15"/>
  <c r="F5" i="15"/>
  <c r="I4" i="15"/>
  <c r="H4" i="15"/>
  <c r="G4" i="15"/>
  <c r="F4" i="15"/>
  <c r="E4" i="15"/>
  <c r="I18" i="10"/>
  <c r="H18" i="10"/>
  <c r="G18" i="10"/>
  <c r="F18" i="10"/>
  <c r="E18" i="10"/>
  <c r="I3" i="10"/>
  <c r="I5" i="10" s="1"/>
  <c r="H3" i="10"/>
  <c r="G3" i="10"/>
  <c r="F3" i="10"/>
  <c r="E3" i="10"/>
  <c r="C3" i="10"/>
  <c r="B3" i="10"/>
  <c r="B9" i="14"/>
  <c r="B8" i="14"/>
  <c r="B7" i="14"/>
  <c r="B6" i="14"/>
  <c r="B4" i="14"/>
  <c r="B3" i="14"/>
  <c r="B3" i="13"/>
  <c r="B5" i="13"/>
  <c r="B4" i="13"/>
  <c r="B2" i="13"/>
  <c r="E19" i="10"/>
  <c r="F20" i="10"/>
  <c r="F19" i="10"/>
  <c r="G20" i="10"/>
  <c r="G19" i="10"/>
  <c r="H20" i="10"/>
  <c r="H19" i="10"/>
  <c r="I20" i="10"/>
  <c r="I19" i="10"/>
  <c r="I24" i="10"/>
  <c r="I23" i="10"/>
  <c r="H23" i="10"/>
  <c r="I22" i="10"/>
  <c r="H22" i="10"/>
  <c r="G22" i="10"/>
  <c r="C6" i="8"/>
  <c r="B21" i="12" s="1"/>
  <c r="C10" i="8"/>
  <c r="C11" i="8"/>
  <c r="B11" i="13"/>
  <c r="C5" i="8"/>
  <c r="B4" i="6"/>
  <c r="I9" i="7"/>
  <c r="H8" i="7"/>
  <c r="I8" i="7"/>
  <c r="G7" i="7"/>
  <c r="H7" i="7"/>
  <c r="I7" i="7"/>
  <c r="F6" i="7"/>
  <c r="G6" i="7"/>
  <c r="H6" i="7"/>
  <c r="I6" i="7"/>
  <c r="E5" i="7"/>
  <c r="H5" i="7"/>
  <c r="D4" i="7"/>
  <c r="E4" i="7"/>
  <c r="F4" i="7"/>
  <c r="G4" i="7"/>
  <c r="H4" i="7"/>
  <c r="C16" i="4" s="1"/>
  <c r="I4" i="7"/>
  <c r="C3" i="7"/>
  <c r="D17" i="4" s="1"/>
  <c r="D3" i="7"/>
  <c r="E3" i="7"/>
  <c r="F3" i="7"/>
  <c r="G3" i="7"/>
  <c r="H3" i="7"/>
  <c r="D16" i="4" s="1"/>
  <c r="I3" i="7"/>
  <c r="C2" i="7"/>
  <c r="C15" i="4" s="1"/>
  <c r="E2" i="7"/>
  <c r="F2" i="7"/>
  <c r="G2" i="7"/>
  <c r="H2" i="7"/>
  <c r="B15" i="4" s="1"/>
  <c r="I2" i="7"/>
  <c r="B2" i="7"/>
  <c r="D15" i="4" s="1"/>
  <c r="H8" i="5"/>
  <c r="I9" i="5"/>
  <c r="I8" i="5"/>
  <c r="G7" i="5"/>
  <c r="H7" i="5"/>
  <c r="I7" i="5"/>
  <c r="F6" i="5"/>
  <c r="G6" i="5"/>
  <c r="H6" i="5"/>
  <c r="I6" i="5"/>
  <c r="E5" i="5"/>
  <c r="H5" i="5"/>
  <c r="D4" i="5"/>
  <c r="E4" i="5"/>
  <c r="F4" i="5"/>
  <c r="G4" i="5"/>
  <c r="H4" i="5"/>
  <c r="C6" i="4" s="1"/>
  <c r="I4" i="5"/>
  <c r="C3" i="5"/>
  <c r="D7" i="4" s="1"/>
  <c r="D3" i="5"/>
  <c r="E3" i="5"/>
  <c r="F3" i="5"/>
  <c r="G3" i="5"/>
  <c r="H3" i="5"/>
  <c r="D6" i="4" s="1"/>
  <c r="I3" i="5"/>
  <c r="C2" i="5"/>
  <c r="C5" i="4" s="1"/>
  <c r="E2" i="5"/>
  <c r="F2" i="5"/>
  <c r="G2" i="5"/>
  <c r="H2" i="5"/>
  <c r="B5" i="4" s="1"/>
  <c r="I2" i="5"/>
  <c r="B2" i="5"/>
  <c r="D5" i="4" s="1"/>
  <c r="D6" i="3"/>
  <c r="D5" i="3"/>
  <c r="C5" i="3"/>
  <c r="D4" i="3"/>
  <c r="C4" i="3"/>
  <c r="H14" i="18" l="1"/>
  <c r="J14" i="18" s="1"/>
  <c r="H16" i="18"/>
  <c r="J16" i="18" s="1"/>
  <c r="C3" i="31"/>
  <c r="H17" i="18"/>
  <c r="J17" i="18" s="1"/>
  <c r="H25" i="18"/>
  <c r="J25" i="18" s="1"/>
  <c r="D16" i="31"/>
  <c r="I29" i="18"/>
  <c r="J29" i="18" s="1"/>
  <c r="I10" i="31"/>
  <c r="I20" i="18"/>
  <c r="J20" i="18" s="1"/>
  <c r="J21" i="18"/>
  <c r="B16" i="10"/>
  <c r="B8" i="10"/>
  <c r="B10" i="10"/>
  <c r="B9" i="10"/>
  <c r="B15" i="10"/>
  <c r="B7" i="10"/>
  <c r="B13" i="10"/>
  <c r="B14" i="10"/>
  <c r="B12" i="10"/>
  <c r="B11" i="10"/>
  <c r="B17" i="10"/>
  <c r="G19" i="16"/>
  <c r="G19" i="28"/>
  <c r="G19" i="25"/>
  <c r="G47" i="16"/>
  <c r="G47" i="28"/>
  <c r="G47" i="25"/>
  <c r="D3" i="14"/>
  <c r="F3" i="14" s="1"/>
  <c r="C47" i="28"/>
  <c r="C47" i="25"/>
  <c r="C3" i="14"/>
  <c r="E3" i="14" s="1"/>
  <c r="C19" i="25"/>
  <c r="C19" i="28"/>
  <c r="D4" i="14"/>
  <c r="F4" i="14" s="1"/>
  <c r="E47" i="28"/>
  <c r="E47" i="25"/>
  <c r="C4" i="14"/>
  <c r="E4" i="14" s="1"/>
  <c r="E19" i="28"/>
  <c r="E19" i="25"/>
  <c r="J19" i="16"/>
  <c r="J19" i="28"/>
  <c r="J19" i="25"/>
  <c r="J47" i="28"/>
  <c r="J47" i="25"/>
  <c r="D19" i="16"/>
  <c r="D19" i="25"/>
  <c r="D19" i="28"/>
  <c r="D47" i="16"/>
  <c r="D47" i="25"/>
  <c r="D47" i="28"/>
  <c r="D8" i="14"/>
  <c r="F8" i="14" s="1"/>
  <c r="H47" i="28"/>
  <c r="H47" i="25"/>
  <c r="H19" i="16"/>
  <c r="H19" i="28"/>
  <c r="H19" i="25"/>
  <c r="I47" i="16"/>
  <c r="I47" i="28"/>
  <c r="I47" i="25"/>
  <c r="I19" i="16"/>
  <c r="I19" i="25"/>
  <c r="I19" i="28"/>
  <c r="D6" i="14"/>
  <c r="F6" i="14" s="1"/>
  <c r="F47" i="25"/>
  <c r="F47" i="28"/>
  <c r="C6" i="14"/>
  <c r="E6" i="14" s="1"/>
  <c r="F19" i="28"/>
  <c r="F19" i="25"/>
  <c r="G20" i="16"/>
  <c r="G20" i="25"/>
  <c r="G20" i="28"/>
  <c r="G48" i="16"/>
  <c r="G48" i="25"/>
  <c r="G48" i="28"/>
  <c r="G49" i="28"/>
  <c r="G49" i="25"/>
  <c r="G21" i="28"/>
  <c r="G21" i="25"/>
  <c r="J52" i="28"/>
  <c r="J52" i="25"/>
  <c r="J24" i="25"/>
  <c r="J24" i="28"/>
  <c r="F20" i="20"/>
  <c r="F6" i="23" s="1"/>
  <c r="G21" i="31" s="1"/>
  <c r="G50" i="28"/>
  <c r="G50" i="25"/>
  <c r="G22" i="28"/>
  <c r="G22" i="25"/>
  <c r="H52" i="25"/>
  <c r="H52" i="28"/>
  <c r="H24" i="25"/>
  <c r="H24" i="28"/>
  <c r="I24" i="28"/>
  <c r="I24" i="25"/>
  <c r="I52" i="28"/>
  <c r="I52" i="25"/>
  <c r="G51" i="28"/>
  <c r="G51" i="25"/>
  <c r="G23" i="25"/>
  <c r="G23" i="28"/>
  <c r="G21" i="10"/>
  <c r="G22" i="26"/>
  <c r="D17" i="11"/>
  <c r="B13" i="12" s="1"/>
  <c r="E48" i="28"/>
  <c r="E48" i="25"/>
  <c r="D5" i="11"/>
  <c r="B3" i="12" s="1"/>
  <c r="E20" i="25"/>
  <c r="E20" i="28"/>
  <c r="J20" i="16"/>
  <c r="J20" i="25"/>
  <c r="J20" i="28"/>
  <c r="J48" i="25"/>
  <c r="J48" i="28"/>
  <c r="H20" i="16"/>
  <c r="H20" i="25"/>
  <c r="H20" i="28"/>
  <c r="G17" i="11"/>
  <c r="H48" i="28"/>
  <c r="H48" i="25"/>
  <c r="H17" i="11"/>
  <c r="F13" i="12" s="1"/>
  <c r="I48" i="28"/>
  <c r="I48" i="25"/>
  <c r="I20" i="16"/>
  <c r="I20" i="28"/>
  <c r="I20" i="25"/>
  <c r="E5" i="11"/>
  <c r="C3" i="12" s="1"/>
  <c r="F20" i="25"/>
  <c r="F20" i="28"/>
  <c r="E17" i="11"/>
  <c r="C13" i="12" s="1"/>
  <c r="F48" i="28"/>
  <c r="F48" i="25"/>
  <c r="J49" i="28"/>
  <c r="J49" i="25"/>
  <c r="J21" i="25"/>
  <c r="J21" i="28"/>
  <c r="G19" i="20"/>
  <c r="G5" i="23" s="1"/>
  <c r="H20" i="31" s="1"/>
  <c r="H49" i="25"/>
  <c r="H49" i="28"/>
  <c r="H21" i="25"/>
  <c r="H21" i="28"/>
  <c r="I21" i="28"/>
  <c r="I21" i="25"/>
  <c r="H19" i="20"/>
  <c r="H5" i="23" s="1"/>
  <c r="I20" i="31" s="1"/>
  <c r="I49" i="28"/>
  <c r="I49" i="25"/>
  <c r="F21" i="16"/>
  <c r="F21" i="28"/>
  <c r="F21" i="25"/>
  <c r="F49" i="16"/>
  <c r="F49" i="28"/>
  <c r="F49" i="25"/>
  <c r="J22" i="28"/>
  <c r="J22" i="25"/>
  <c r="J50" i="28"/>
  <c r="J50" i="25"/>
  <c r="J25" i="25"/>
  <c r="J25" i="28"/>
  <c r="J53" i="28"/>
  <c r="J53" i="25"/>
  <c r="J54" i="25"/>
  <c r="J54" i="28"/>
  <c r="J26" i="28"/>
  <c r="J26" i="25"/>
  <c r="J51" i="25"/>
  <c r="J51" i="28"/>
  <c r="B7" i="13"/>
  <c r="B6" i="13"/>
  <c r="J23" i="25"/>
  <c r="J23" i="28"/>
  <c r="H50" i="28"/>
  <c r="H50" i="25"/>
  <c r="G7" i="20"/>
  <c r="H22" i="28"/>
  <c r="H22" i="25"/>
  <c r="I50" i="28"/>
  <c r="I50" i="25"/>
  <c r="H7" i="20"/>
  <c r="I22" i="28"/>
  <c r="I22" i="25"/>
  <c r="I53" i="25"/>
  <c r="I53" i="28"/>
  <c r="I25" i="25"/>
  <c r="I25" i="28"/>
  <c r="H23" i="25"/>
  <c r="H23" i="28"/>
  <c r="H51" i="25"/>
  <c r="H51" i="28"/>
  <c r="H21" i="10"/>
  <c r="H22" i="29"/>
  <c r="H22" i="26"/>
  <c r="C3" i="3"/>
  <c r="C2" i="3"/>
  <c r="I21" i="10"/>
  <c r="I22" i="29"/>
  <c r="I22" i="26"/>
  <c r="I51" i="25"/>
  <c r="I51" i="28"/>
  <c r="I23" i="28"/>
  <c r="I23" i="25"/>
  <c r="D3" i="3"/>
  <c r="D2" i="3"/>
  <c r="J23" i="18"/>
  <c r="J15" i="18"/>
  <c r="J22" i="18"/>
  <c r="J27" i="18"/>
  <c r="J28" i="18"/>
  <c r="J26" i="18"/>
  <c r="J19" i="18"/>
  <c r="J18" i="18"/>
  <c r="B27" i="21"/>
  <c r="D4" i="30"/>
  <c r="J4" i="30"/>
  <c r="I4" i="30"/>
  <c r="I5" i="30" s="1"/>
  <c r="E4" i="30"/>
  <c r="C4" i="30"/>
  <c r="B4" i="30"/>
  <c r="F18" i="21"/>
  <c r="F17" i="23" s="1"/>
  <c r="G47" i="31" s="1"/>
  <c r="G20" i="17"/>
  <c r="B2" i="10"/>
  <c r="B6" i="10"/>
  <c r="H20" i="17"/>
  <c r="E2" i="10"/>
  <c r="E6" i="10"/>
  <c r="E4" i="10"/>
  <c r="E7" i="10" s="1"/>
  <c r="C2" i="10"/>
  <c r="C6" i="10"/>
  <c r="F2" i="10"/>
  <c r="J4" i="17"/>
  <c r="G2" i="10"/>
  <c r="E19" i="21"/>
  <c r="E18" i="23" s="1"/>
  <c r="F48" i="31" s="1"/>
  <c r="H2" i="10"/>
  <c r="J33" i="17"/>
  <c r="D2" i="10"/>
  <c r="I2" i="10"/>
  <c r="I32" i="17" s="1"/>
  <c r="I30" i="31" s="1"/>
  <c r="G5" i="10"/>
  <c r="J3" i="17"/>
  <c r="D18" i="20"/>
  <c r="D4" i="23" s="1"/>
  <c r="E19" i="31" s="1"/>
  <c r="H5" i="10"/>
  <c r="E5" i="10"/>
  <c r="H5" i="21"/>
  <c r="D5" i="10"/>
  <c r="C4" i="10"/>
  <c r="C5" i="10"/>
  <c r="J48" i="16"/>
  <c r="I17" i="23"/>
  <c r="J47" i="31" s="1"/>
  <c r="I4" i="23"/>
  <c r="J19" i="31" s="1"/>
  <c r="C4" i="20"/>
  <c r="F5" i="20"/>
  <c r="H17" i="20"/>
  <c r="H3" i="23" s="1"/>
  <c r="I18" i="31" s="1"/>
  <c r="F4" i="21"/>
  <c r="H10" i="20"/>
  <c r="G6" i="11"/>
  <c r="E4" i="12" s="1"/>
  <c r="C3" i="4"/>
  <c r="C3" i="9" s="1"/>
  <c r="C7" i="13"/>
  <c r="J21" i="16"/>
  <c r="H49" i="16"/>
  <c r="C13" i="4"/>
  <c r="D7" i="13"/>
  <c r="I5" i="23"/>
  <c r="J20" i="31" s="1"/>
  <c r="J49" i="16"/>
  <c r="C4" i="21"/>
  <c r="D4" i="20"/>
  <c r="G5" i="20"/>
  <c r="G4" i="21"/>
  <c r="F21" i="20"/>
  <c r="F7" i="23" s="1"/>
  <c r="G22" i="31" s="1"/>
  <c r="C3" i="13"/>
  <c r="J25" i="16"/>
  <c r="I49" i="16"/>
  <c r="D13" i="4"/>
  <c r="D3" i="13"/>
  <c r="I9" i="23" s="1"/>
  <c r="J24" i="31" s="1"/>
  <c r="J53" i="16"/>
  <c r="E4" i="20"/>
  <c r="H5" i="20"/>
  <c r="B17" i="20"/>
  <c r="B3" i="23" s="1"/>
  <c r="C18" i="31" s="1"/>
  <c r="E18" i="20"/>
  <c r="E4" i="23" s="1"/>
  <c r="F19" i="31" s="1"/>
  <c r="H4" i="21"/>
  <c r="G21" i="20"/>
  <c r="G7" i="23" s="1"/>
  <c r="H22" i="31" s="1"/>
  <c r="H6" i="11"/>
  <c r="F4" i="12" s="1"/>
  <c r="D3" i="4"/>
  <c r="D3" i="9" s="1"/>
  <c r="C2" i="13"/>
  <c r="E2" i="13" s="1"/>
  <c r="J26" i="16"/>
  <c r="H22" i="16"/>
  <c r="C4" i="4"/>
  <c r="C4" i="9" s="1"/>
  <c r="G21" i="16"/>
  <c r="B3" i="4"/>
  <c r="B3" i="9" s="1"/>
  <c r="D2" i="13"/>
  <c r="I10" i="23" s="1"/>
  <c r="J25" i="31" s="1"/>
  <c r="J54" i="16"/>
  <c r="H50" i="16"/>
  <c r="H51" i="26" s="1"/>
  <c r="C14" i="4"/>
  <c r="C14" i="9" s="1"/>
  <c r="G49" i="16"/>
  <c r="B13" i="4"/>
  <c r="F4" i="20"/>
  <c r="E6" i="20"/>
  <c r="C17" i="20"/>
  <c r="C3" i="23" s="1"/>
  <c r="D18" i="31" s="1"/>
  <c r="F18" i="20"/>
  <c r="F4" i="23" s="1"/>
  <c r="G19" i="31" s="1"/>
  <c r="G20" i="20"/>
  <c r="G6" i="23" s="1"/>
  <c r="H21" i="31" s="1"/>
  <c r="F8" i="20"/>
  <c r="H21" i="20"/>
  <c r="H7" i="23" s="1"/>
  <c r="I22" i="31" s="1"/>
  <c r="I22" i="16"/>
  <c r="D4" i="4"/>
  <c r="D4" i="9" s="1"/>
  <c r="G22" i="16"/>
  <c r="G22" i="29" s="1"/>
  <c r="B4" i="4"/>
  <c r="B4" i="9" s="1"/>
  <c r="I50" i="16"/>
  <c r="I51" i="29" s="1"/>
  <c r="D14" i="4"/>
  <c r="D14" i="9" s="1"/>
  <c r="G50" i="16"/>
  <c r="G51" i="26" s="1"/>
  <c r="B14" i="4"/>
  <c r="B14" i="9" s="1"/>
  <c r="G4" i="20"/>
  <c r="F6" i="20"/>
  <c r="D17" i="20"/>
  <c r="D3" i="23" s="1"/>
  <c r="E18" i="31" s="1"/>
  <c r="G18" i="20"/>
  <c r="G4" i="23" s="1"/>
  <c r="H19" i="31" s="1"/>
  <c r="H20" i="20"/>
  <c r="H6" i="23" s="1"/>
  <c r="I21" i="31" s="1"/>
  <c r="G8" i="20"/>
  <c r="G22" i="20"/>
  <c r="G8" i="23" s="1"/>
  <c r="H23" i="31" s="1"/>
  <c r="C6" i="13"/>
  <c r="E6" i="13" s="1"/>
  <c r="J22" i="16"/>
  <c r="D5" i="13"/>
  <c r="F5" i="13" s="1"/>
  <c r="I20" i="23" s="1"/>
  <c r="J50" i="31" s="1"/>
  <c r="J51" i="16"/>
  <c r="D6" i="13"/>
  <c r="I6" i="23" s="1"/>
  <c r="J21" i="31" s="1"/>
  <c r="J50" i="16"/>
  <c r="H4" i="20"/>
  <c r="G6" i="20"/>
  <c r="E17" i="20"/>
  <c r="E3" i="23" s="1"/>
  <c r="F18" i="31" s="1"/>
  <c r="H18" i="20"/>
  <c r="H4" i="23" s="1"/>
  <c r="I19" i="31" s="1"/>
  <c r="F5" i="21"/>
  <c r="H8" i="20"/>
  <c r="H22" i="20"/>
  <c r="H8" i="23" s="1"/>
  <c r="I23" i="31" s="1"/>
  <c r="C5" i="13"/>
  <c r="E5" i="13" s="1"/>
  <c r="J23" i="16"/>
  <c r="J47" i="16"/>
  <c r="I16" i="23"/>
  <c r="J46" i="31" s="1"/>
  <c r="I3" i="23"/>
  <c r="J18" i="31" s="1"/>
  <c r="D5" i="20"/>
  <c r="H6" i="20"/>
  <c r="F17" i="20"/>
  <c r="F3" i="23" s="1"/>
  <c r="G18" i="31" s="1"/>
  <c r="E19" i="20"/>
  <c r="E5" i="23" s="1"/>
  <c r="F20" i="31" s="1"/>
  <c r="G5" i="21"/>
  <c r="G9" i="20"/>
  <c r="H23" i="20"/>
  <c r="H9" i="23" s="1"/>
  <c r="I24" i="31" s="1"/>
  <c r="C4" i="13"/>
  <c r="E4" i="13" s="1"/>
  <c r="J24" i="16"/>
  <c r="D4" i="13"/>
  <c r="I8" i="23" s="1"/>
  <c r="J23" i="31" s="1"/>
  <c r="J52" i="16"/>
  <c r="B4" i="20"/>
  <c r="E5" i="20"/>
  <c r="F7" i="20"/>
  <c r="G17" i="20"/>
  <c r="G3" i="23" s="1"/>
  <c r="H18" i="31" s="1"/>
  <c r="F19" i="20"/>
  <c r="F5" i="23" s="1"/>
  <c r="G20" i="31" s="1"/>
  <c r="F17" i="21"/>
  <c r="F16" i="23" s="1"/>
  <c r="G46" i="31" s="1"/>
  <c r="H9" i="20"/>
  <c r="F2" i="13"/>
  <c r="I23" i="23" s="1"/>
  <c r="J53" i="31" s="1"/>
  <c r="B21" i="9"/>
  <c r="B13" i="14"/>
  <c r="E13" i="12"/>
  <c r="B4" i="10"/>
  <c r="B5" i="10"/>
  <c r="G34" i="16"/>
  <c r="G5" i="31" s="1"/>
  <c r="B6" i="16"/>
  <c r="C34" i="16"/>
  <c r="C5" i="31" s="1"/>
  <c r="B5" i="16"/>
  <c r="G6" i="16"/>
  <c r="I6" i="16"/>
  <c r="I6" i="17" s="1"/>
  <c r="H6" i="16"/>
  <c r="C6" i="16"/>
  <c r="E33" i="16"/>
  <c r="E4" i="31" s="1"/>
  <c r="E34" i="16"/>
  <c r="E5" i="31" s="1"/>
  <c r="C5" i="16"/>
  <c r="C33" i="16"/>
  <c r="C4" i="31" s="1"/>
  <c r="H34" i="16"/>
  <c r="H5" i="31" s="1"/>
  <c r="E6" i="16"/>
  <c r="B34" i="16"/>
  <c r="B5" i="31" s="1"/>
  <c r="I34" i="16"/>
  <c r="F6" i="16"/>
  <c r="F6" i="17" s="1"/>
  <c r="E5" i="16"/>
  <c r="F34" i="16"/>
  <c r="C5" i="14"/>
  <c r="E5" i="14" s="1"/>
  <c r="D5" i="14"/>
  <c r="F5" i="14" s="1"/>
  <c r="D31" i="16"/>
  <c r="D2" i="31" s="1"/>
  <c r="D3" i="16"/>
  <c r="F31" i="16"/>
  <c r="F2" i="31" s="1"/>
  <c r="F50" i="17"/>
  <c r="I20" i="17"/>
  <c r="G19" i="11"/>
  <c r="E15" i="12" s="1"/>
  <c r="H23" i="16"/>
  <c r="F18" i="11"/>
  <c r="D14" i="12" s="1"/>
  <c r="E20" i="16"/>
  <c r="H48" i="16"/>
  <c r="I23" i="16"/>
  <c r="E47" i="16"/>
  <c r="D15" i="9"/>
  <c r="B5" i="9"/>
  <c r="G51" i="16"/>
  <c r="D7" i="9"/>
  <c r="I25" i="16"/>
  <c r="H9" i="11"/>
  <c r="F7" i="12" s="1"/>
  <c r="C6" i="9"/>
  <c r="H24" i="16"/>
  <c r="G8" i="11"/>
  <c r="E6" i="12" s="1"/>
  <c r="G49" i="17"/>
  <c r="G20" i="11"/>
  <c r="E16" i="12" s="1"/>
  <c r="C16" i="9"/>
  <c r="H52" i="16"/>
  <c r="H21" i="11"/>
  <c r="F17" i="12" s="1"/>
  <c r="I53" i="16"/>
  <c r="D17" i="9"/>
  <c r="D6" i="9"/>
  <c r="I24" i="16"/>
  <c r="H8" i="11"/>
  <c r="F6" i="12" s="1"/>
  <c r="I52" i="16"/>
  <c r="H20" i="11"/>
  <c r="F16" i="12" s="1"/>
  <c r="D16" i="9"/>
  <c r="F5" i="11"/>
  <c r="D3" i="12" s="1"/>
  <c r="F17" i="11"/>
  <c r="D13" i="12" s="1"/>
  <c r="C7" i="14"/>
  <c r="E7" i="14" s="1"/>
  <c r="D9" i="14"/>
  <c r="F9" i="14" s="1"/>
  <c r="H21" i="16"/>
  <c r="C19" i="16"/>
  <c r="I48" i="16"/>
  <c r="F47" i="16"/>
  <c r="I21" i="16"/>
  <c r="E19" i="16"/>
  <c r="G5" i="11"/>
  <c r="E3" i="12" s="1"/>
  <c r="G18" i="11"/>
  <c r="E14" i="12" s="1"/>
  <c r="H5" i="11"/>
  <c r="F3" i="12" s="1"/>
  <c r="C9" i="14"/>
  <c r="E9" i="14" s="1"/>
  <c r="F20" i="16"/>
  <c r="F19" i="16"/>
  <c r="C47" i="16"/>
  <c r="C8" i="14"/>
  <c r="E8" i="14" s="1"/>
  <c r="E6" i="11"/>
  <c r="C4" i="12" s="1"/>
  <c r="H18" i="11"/>
  <c r="F14" i="12" s="1"/>
  <c r="F48" i="16"/>
  <c r="F6" i="11"/>
  <c r="D4" i="12" s="1"/>
  <c r="E48" i="16"/>
  <c r="D7" i="14"/>
  <c r="F7" i="14" s="1"/>
  <c r="H47" i="16"/>
  <c r="E18" i="11"/>
  <c r="C14" i="12" s="1"/>
  <c r="G3" i="16"/>
  <c r="E3" i="16"/>
  <c r="F3" i="16"/>
  <c r="B4" i="16"/>
  <c r="H3" i="16"/>
  <c r="G31" i="16"/>
  <c r="G2" i="31" s="1"/>
  <c r="H31" i="16"/>
  <c r="H2" i="31" s="1"/>
  <c r="C3" i="16"/>
  <c r="I3" i="16"/>
  <c r="E31" i="16"/>
  <c r="E2" i="31" s="1"/>
  <c r="B32" i="16"/>
  <c r="B3" i="31" s="1"/>
  <c r="B3" i="16"/>
  <c r="B31" i="16"/>
  <c r="B2" i="31" s="1"/>
  <c r="C31" i="16"/>
  <c r="C2" i="31" s="1"/>
  <c r="E3" i="13"/>
  <c r="B15" i="17" l="1"/>
  <c r="B44" i="17"/>
  <c r="B42" i="31" s="1"/>
  <c r="B43" i="17"/>
  <c r="B41" i="31" s="1"/>
  <c r="B14" i="17"/>
  <c r="B45" i="17"/>
  <c r="B43" i="31" s="1"/>
  <c r="B16" i="17"/>
  <c r="B39" i="17"/>
  <c r="B37" i="31" s="1"/>
  <c r="B10" i="17"/>
  <c r="C7" i="10"/>
  <c r="C15" i="10"/>
  <c r="C14" i="10"/>
  <c r="C17" i="10"/>
  <c r="C16" i="10"/>
  <c r="B18" i="17"/>
  <c r="B47" i="17"/>
  <c r="B45" i="31" s="1"/>
  <c r="B40" i="17"/>
  <c r="B38" i="31" s="1"/>
  <c r="B11" i="17"/>
  <c r="E6" i="17"/>
  <c r="D6" i="17"/>
  <c r="D35" i="17"/>
  <c r="D33" i="31" s="1"/>
  <c r="B12" i="17"/>
  <c r="B41" i="17"/>
  <c r="B39" i="31" s="1"/>
  <c r="B38" i="17"/>
  <c r="B36" i="31" s="1"/>
  <c r="B9" i="17"/>
  <c r="B42" i="17"/>
  <c r="B40" i="31" s="1"/>
  <c r="B13" i="17"/>
  <c r="B46" i="17"/>
  <c r="B44" i="31" s="1"/>
  <c r="B17" i="17"/>
  <c r="G48" i="29"/>
  <c r="G48" i="26"/>
  <c r="G19" i="29"/>
  <c r="G19" i="26"/>
  <c r="G19" i="17"/>
  <c r="G48" i="17"/>
  <c r="C19" i="26"/>
  <c r="C19" i="29"/>
  <c r="C48" i="26"/>
  <c r="C48" i="29"/>
  <c r="E48" i="29"/>
  <c r="E48" i="26"/>
  <c r="E19" i="26"/>
  <c r="E19" i="29"/>
  <c r="J19" i="17"/>
  <c r="J19" i="26"/>
  <c r="J19" i="29"/>
  <c r="J48" i="29"/>
  <c r="J48" i="26"/>
  <c r="D19" i="26"/>
  <c r="D19" i="29"/>
  <c r="D48" i="29"/>
  <c r="D48" i="26"/>
  <c r="C17" i="21"/>
  <c r="C16" i="23" s="1"/>
  <c r="D46" i="31" s="1"/>
  <c r="D48" i="17"/>
  <c r="D19" i="17"/>
  <c r="H48" i="29"/>
  <c r="H48" i="26"/>
  <c r="H19" i="17"/>
  <c r="H19" i="26"/>
  <c r="H19" i="29"/>
  <c r="I48" i="17"/>
  <c r="I48" i="26"/>
  <c r="I48" i="29"/>
  <c r="H17" i="21"/>
  <c r="H16" i="23" s="1"/>
  <c r="I46" i="31" s="1"/>
  <c r="I19" i="17"/>
  <c r="I19" i="29"/>
  <c r="I19" i="26"/>
  <c r="F19" i="26"/>
  <c r="F19" i="29"/>
  <c r="F48" i="29"/>
  <c r="F48" i="26"/>
  <c r="G20" i="29"/>
  <c r="G20" i="26"/>
  <c r="G49" i="29"/>
  <c r="G49" i="26"/>
  <c r="G21" i="29"/>
  <c r="G21" i="26"/>
  <c r="F19" i="21"/>
  <c r="F18" i="23" s="1"/>
  <c r="G48" i="31" s="1"/>
  <c r="G50" i="26"/>
  <c r="G50" i="29"/>
  <c r="J53" i="17"/>
  <c r="J53" i="26"/>
  <c r="J53" i="29"/>
  <c r="J24" i="17"/>
  <c r="J24" i="29"/>
  <c r="J24" i="26"/>
  <c r="G51" i="29"/>
  <c r="H53" i="29"/>
  <c r="H53" i="26"/>
  <c r="H24" i="29"/>
  <c r="H24" i="26"/>
  <c r="I24" i="26"/>
  <c r="I24" i="29"/>
  <c r="I53" i="29"/>
  <c r="I53" i="26"/>
  <c r="G52" i="26"/>
  <c r="G52" i="29"/>
  <c r="E20" i="29"/>
  <c r="E20" i="26"/>
  <c r="D18" i="21"/>
  <c r="D17" i="23" s="1"/>
  <c r="E47" i="31" s="1"/>
  <c r="E49" i="29"/>
  <c r="E49" i="26"/>
  <c r="J49" i="17"/>
  <c r="J49" i="29"/>
  <c r="J49" i="26"/>
  <c r="J20" i="17"/>
  <c r="J20" i="29"/>
  <c r="J20" i="26"/>
  <c r="H20" i="29"/>
  <c r="H20" i="26"/>
  <c r="H49" i="29"/>
  <c r="H49" i="26"/>
  <c r="H18" i="21"/>
  <c r="H17" i="23" s="1"/>
  <c r="I47" i="31" s="1"/>
  <c r="I49" i="26"/>
  <c r="I49" i="29"/>
  <c r="I20" i="26"/>
  <c r="I20" i="29"/>
  <c r="E18" i="21"/>
  <c r="E17" i="23" s="1"/>
  <c r="F47" i="31" s="1"/>
  <c r="F49" i="29"/>
  <c r="F49" i="26"/>
  <c r="F20" i="26"/>
  <c r="F20" i="29"/>
  <c r="J21" i="17"/>
  <c r="J21" i="26"/>
  <c r="J21" i="29"/>
  <c r="J50" i="17"/>
  <c r="J50" i="26"/>
  <c r="J50" i="29"/>
  <c r="F7" i="13"/>
  <c r="I18" i="23" s="1"/>
  <c r="J48" i="31" s="1"/>
  <c r="H21" i="29"/>
  <c r="H21" i="26"/>
  <c r="H50" i="26"/>
  <c r="H50" i="29"/>
  <c r="I50" i="29"/>
  <c r="I50" i="26"/>
  <c r="I21" i="26"/>
  <c r="I21" i="29"/>
  <c r="F21" i="26"/>
  <c r="F21" i="29"/>
  <c r="E6" i="21"/>
  <c r="F21" i="17"/>
  <c r="F50" i="29"/>
  <c r="F50" i="26"/>
  <c r="J22" i="17"/>
  <c r="J22" i="29"/>
  <c r="J22" i="26"/>
  <c r="J51" i="17"/>
  <c r="J51" i="26"/>
  <c r="J51" i="29"/>
  <c r="J25" i="17"/>
  <c r="J25" i="29"/>
  <c r="J25" i="26"/>
  <c r="J54" i="17"/>
  <c r="J54" i="26"/>
  <c r="J54" i="29"/>
  <c r="J26" i="17"/>
  <c r="J26" i="26"/>
  <c r="J26" i="29"/>
  <c r="J55" i="17"/>
  <c r="J55" i="26"/>
  <c r="J55" i="29"/>
  <c r="J23" i="17"/>
  <c r="J23" i="29"/>
  <c r="J23" i="26"/>
  <c r="J52" i="17"/>
  <c r="J52" i="26"/>
  <c r="J52" i="29"/>
  <c r="E7" i="13"/>
  <c r="H51" i="29"/>
  <c r="I51" i="26"/>
  <c r="I54" i="29"/>
  <c r="I54" i="26"/>
  <c r="I25" i="29"/>
  <c r="I25" i="26"/>
  <c r="H23" i="29"/>
  <c r="H23" i="26"/>
  <c r="I23" i="29"/>
  <c r="I23" i="26"/>
  <c r="F35" i="17"/>
  <c r="F33" i="31" s="1"/>
  <c r="F5" i="31"/>
  <c r="I35" i="17"/>
  <c r="I33" i="31" s="1"/>
  <c r="I5" i="31"/>
  <c r="C5" i="30"/>
  <c r="E5" i="30"/>
  <c r="G4" i="30"/>
  <c r="G5" i="30" s="1"/>
  <c r="H4" i="30"/>
  <c r="H5" i="30" s="1"/>
  <c r="F4" i="30"/>
  <c r="F5" i="30" s="1"/>
  <c r="D5" i="30"/>
  <c r="G13" i="18"/>
  <c r="J13" i="18" s="1"/>
  <c r="G11" i="18"/>
  <c r="J11" i="18" s="1"/>
  <c r="E35" i="17"/>
  <c r="E33" i="31" s="1"/>
  <c r="E5" i="17"/>
  <c r="C35" i="17"/>
  <c r="C33" i="31" s="1"/>
  <c r="C37" i="17"/>
  <c r="C35" i="31" s="1"/>
  <c r="C8" i="17"/>
  <c r="C6" i="17"/>
  <c r="B37" i="17"/>
  <c r="B35" i="31" s="1"/>
  <c r="B8" i="17"/>
  <c r="E37" i="17"/>
  <c r="E35" i="31" s="1"/>
  <c r="E8" i="17"/>
  <c r="G6" i="17"/>
  <c r="E34" i="17"/>
  <c r="E32" i="31" s="1"/>
  <c r="D32" i="17"/>
  <c r="D30" i="31" s="1"/>
  <c r="G12" i="18"/>
  <c r="J12" i="18" s="1"/>
  <c r="F3" i="13"/>
  <c r="I22" i="23" s="1"/>
  <c r="J52" i="31" s="1"/>
  <c r="C9" i="13"/>
  <c r="C34" i="17"/>
  <c r="C32" i="31" s="1"/>
  <c r="C5" i="17"/>
  <c r="E7" i="17"/>
  <c r="E36" i="17"/>
  <c r="E34" i="31" s="1"/>
  <c r="G35" i="17"/>
  <c r="G33" i="31" s="1"/>
  <c r="D3" i="17"/>
  <c r="B7" i="17"/>
  <c r="B36" i="17"/>
  <c r="B34" i="31" s="1"/>
  <c r="C36" i="17"/>
  <c r="C34" i="31" s="1"/>
  <c r="C7" i="17"/>
  <c r="D9" i="13"/>
  <c r="D8" i="18" s="1"/>
  <c r="F4" i="13"/>
  <c r="I21" i="23" s="1"/>
  <c r="J51" i="31" s="1"/>
  <c r="G50" i="17"/>
  <c r="H35" i="17"/>
  <c r="H33" i="31" s="1"/>
  <c r="H6" i="17"/>
  <c r="F19" i="17"/>
  <c r="E4" i="21"/>
  <c r="F48" i="17"/>
  <c r="E17" i="21"/>
  <c r="E16" i="23" s="1"/>
  <c r="F46" i="31" s="1"/>
  <c r="F20" i="17"/>
  <c r="E5" i="21"/>
  <c r="E20" i="17"/>
  <c r="D5" i="21"/>
  <c r="C19" i="17"/>
  <c r="B4" i="21"/>
  <c r="I51" i="17"/>
  <c r="H20" i="21"/>
  <c r="H19" i="23" s="1"/>
  <c r="I49" i="31" s="1"/>
  <c r="C48" i="17"/>
  <c r="B17" i="21"/>
  <c r="B16" i="23" s="1"/>
  <c r="C46" i="31" s="1"/>
  <c r="H21" i="17"/>
  <c r="G6" i="21"/>
  <c r="G22" i="17"/>
  <c r="F7" i="21"/>
  <c r="C13" i="9"/>
  <c r="C6" i="18"/>
  <c r="D6" i="18" s="1"/>
  <c r="I21" i="17"/>
  <c r="H6" i="21"/>
  <c r="I7" i="23"/>
  <c r="G21" i="17"/>
  <c r="F6" i="21"/>
  <c r="H50" i="17"/>
  <c r="G19" i="21"/>
  <c r="G18" i="23" s="1"/>
  <c r="H48" i="31" s="1"/>
  <c r="E19" i="12"/>
  <c r="B25" i="12" s="1"/>
  <c r="C25" i="12" s="1"/>
  <c r="E19" i="17"/>
  <c r="D4" i="21"/>
  <c r="E48" i="17"/>
  <c r="D17" i="21"/>
  <c r="D16" i="23" s="1"/>
  <c r="E46" i="31" s="1"/>
  <c r="I22" i="17"/>
  <c r="H7" i="21"/>
  <c r="C5" i="18"/>
  <c r="D5" i="18" s="1"/>
  <c r="B13" i="9"/>
  <c r="D13" i="9"/>
  <c r="C7" i="18"/>
  <c r="D7" i="18" s="1"/>
  <c r="H22" i="17"/>
  <c r="G7" i="21"/>
  <c r="I50" i="17"/>
  <c r="H19" i="21"/>
  <c r="H18" i="23" s="1"/>
  <c r="I48" i="31" s="1"/>
  <c r="H48" i="17"/>
  <c r="G17" i="21"/>
  <c r="G16" i="23" s="1"/>
  <c r="H46" i="31" s="1"/>
  <c r="H49" i="17"/>
  <c r="G18" i="21"/>
  <c r="G17" i="23" s="1"/>
  <c r="H47" i="31" s="1"/>
  <c r="J48" i="17"/>
  <c r="G8" i="18"/>
  <c r="G51" i="17"/>
  <c r="F20" i="21"/>
  <c r="F6" i="13"/>
  <c r="I19" i="23" s="1"/>
  <c r="J49" i="31" s="1"/>
  <c r="H51" i="17"/>
  <c r="G20" i="21"/>
  <c r="G19" i="23" s="1"/>
  <c r="H49" i="31" s="1"/>
  <c r="E32" i="16"/>
  <c r="D16" i="20"/>
  <c r="D2" i="23" s="1"/>
  <c r="D32" i="16"/>
  <c r="C16" i="20"/>
  <c r="C2" i="23" s="1"/>
  <c r="I32" i="16"/>
  <c r="H16" i="20"/>
  <c r="H32" i="16"/>
  <c r="G16" i="20"/>
  <c r="G4" i="16"/>
  <c r="F3" i="20"/>
  <c r="H4" i="16"/>
  <c r="G3" i="20"/>
  <c r="F4" i="16"/>
  <c r="E3" i="20"/>
  <c r="D4" i="16"/>
  <c r="C3" i="20"/>
  <c r="F32" i="16"/>
  <c r="E16" i="20"/>
  <c r="E2" i="23" s="1"/>
  <c r="E4" i="16"/>
  <c r="D3" i="20"/>
  <c r="C4" i="16"/>
  <c r="B3" i="20"/>
  <c r="G32" i="16"/>
  <c r="F16" i="20"/>
  <c r="C32" i="16"/>
  <c r="B16" i="20"/>
  <c r="I4" i="16"/>
  <c r="H3" i="20"/>
  <c r="I53" i="17"/>
  <c r="H22" i="21"/>
  <c r="H21" i="23" s="1"/>
  <c r="I51" i="31" s="1"/>
  <c r="I24" i="17"/>
  <c r="H9" i="21"/>
  <c r="G52" i="17"/>
  <c r="F21" i="21"/>
  <c r="F20" i="23" s="1"/>
  <c r="G50" i="31" s="1"/>
  <c r="H23" i="17"/>
  <c r="G8" i="21"/>
  <c r="I23" i="17"/>
  <c r="H8" i="21"/>
  <c r="H24" i="17"/>
  <c r="G9" i="21"/>
  <c r="H53" i="17"/>
  <c r="G22" i="21"/>
  <c r="G21" i="23" s="1"/>
  <c r="H51" i="31" s="1"/>
  <c r="I25" i="17"/>
  <c r="H10" i="21"/>
  <c r="I54" i="17"/>
  <c r="H23" i="21"/>
  <c r="H22" i="23" s="1"/>
  <c r="I52" i="31" s="1"/>
  <c r="E9" i="12"/>
  <c r="B24" i="12" s="1"/>
  <c r="C24" i="12" s="1"/>
  <c r="B4" i="17"/>
  <c r="B3" i="17"/>
  <c r="B34" i="17"/>
  <c r="B32" i="31" s="1"/>
  <c r="B5" i="17"/>
  <c r="B6" i="17"/>
  <c r="F32" i="17"/>
  <c r="F30" i="31" s="1"/>
  <c r="B33" i="17"/>
  <c r="B31" i="31" s="1"/>
  <c r="I3" i="17"/>
  <c r="E3" i="17"/>
  <c r="C3" i="17"/>
  <c r="G3" i="17"/>
  <c r="B35" i="17"/>
  <c r="B33" i="31" s="1"/>
  <c r="F3" i="17"/>
  <c r="H3" i="17"/>
  <c r="H32" i="17"/>
  <c r="H30" i="31" s="1"/>
  <c r="D11" i="14"/>
  <c r="C11" i="14"/>
  <c r="F11" i="14"/>
  <c r="B17" i="14" s="1"/>
  <c r="C17" i="14" s="1"/>
  <c r="H51" i="16"/>
  <c r="G7" i="11"/>
  <c r="E5" i="12" s="1"/>
  <c r="C15" i="9"/>
  <c r="B15" i="9"/>
  <c r="F7" i="11"/>
  <c r="D5" i="12" s="1"/>
  <c r="C5" i="9"/>
  <c r="F19" i="11"/>
  <c r="D15" i="12" s="1"/>
  <c r="D5" i="9"/>
  <c r="H7" i="11"/>
  <c r="F5" i="12" s="1"/>
  <c r="E9" i="13"/>
  <c r="B14" i="13" s="1"/>
  <c r="C14" i="13" s="1"/>
  <c r="I51" i="16"/>
  <c r="E11" i="14"/>
  <c r="B16" i="14" s="1"/>
  <c r="C16" i="14" s="1"/>
  <c r="H19" i="11"/>
  <c r="F15" i="12" s="1"/>
  <c r="G23" i="16"/>
  <c r="E49" i="17"/>
  <c r="I49" i="17"/>
  <c r="F49" i="17"/>
  <c r="G32" i="17"/>
  <c r="G30" i="31" s="1"/>
  <c r="C32" i="17"/>
  <c r="C30" i="31" s="1"/>
  <c r="E32" i="17"/>
  <c r="E30" i="31" s="1"/>
  <c r="B32" i="17"/>
  <c r="C17" i="17" l="1"/>
  <c r="C46" i="17"/>
  <c r="C44" i="31" s="1"/>
  <c r="C18" i="17"/>
  <c r="C47" i="17"/>
  <c r="C45" i="31" s="1"/>
  <c r="C15" i="17"/>
  <c r="C44" i="17"/>
  <c r="C42" i="31" s="1"/>
  <c r="C16" i="17"/>
  <c r="C45" i="17"/>
  <c r="C43" i="31" s="1"/>
  <c r="F19" i="23"/>
  <c r="G49" i="31" s="1"/>
  <c r="G23" i="29"/>
  <c r="G23" i="26"/>
  <c r="B2" i="30"/>
  <c r="B28" i="26"/>
  <c r="B28" i="29"/>
  <c r="F8" i="18"/>
  <c r="J22" i="31"/>
  <c r="I8" i="18"/>
  <c r="H8" i="18"/>
  <c r="H52" i="29"/>
  <c r="H52" i="26"/>
  <c r="B6" i="30"/>
  <c r="I52" i="26"/>
  <c r="I52" i="29"/>
  <c r="B30" i="31"/>
  <c r="G10" i="18"/>
  <c r="J10" i="18" s="1"/>
  <c r="G2" i="18"/>
  <c r="F9" i="13"/>
  <c r="B15" i="13" s="1"/>
  <c r="C15" i="13" s="1"/>
  <c r="G3" i="18"/>
  <c r="G5" i="18"/>
  <c r="G6" i="18"/>
  <c r="G4" i="18"/>
  <c r="E7" i="18"/>
  <c r="H2" i="23"/>
  <c r="I7" i="18" s="1"/>
  <c r="E2" i="18"/>
  <c r="B2" i="23"/>
  <c r="E5" i="18"/>
  <c r="F2" i="23"/>
  <c r="E6" i="18"/>
  <c r="G2" i="23"/>
  <c r="G7" i="18"/>
  <c r="I4" i="17"/>
  <c r="H3" i="21"/>
  <c r="E4" i="17"/>
  <c r="D3" i="21"/>
  <c r="F4" i="17"/>
  <c r="E3" i="21"/>
  <c r="H33" i="17"/>
  <c r="G16" i="21"/>
  <c r="G15" i="23" s="1"/>
  <c r="H31" i="31" s="1"/>
  <c r="E4" i="18"/>
  <c r="C33" i="17"/>
  <c r="B16" i="21"/>
  <c r="F33" i="17"/>
  <c r="E16" i="21"/>
  <c r="E15" i="23" s="1"/>
  <c r="F31" i="31" s="1"/>
  <c r="I33" i="17"/>
  <c r="H16" i="21"/>
  <c r="H15" i="23" s="1"/>
  <c r="I31" i="31" s="1"/>
  <c r="G33" i="17"/>
  <c r="F16" i="21"/>
  <c r="F15" i="23" s="1"/>
  <c r="G31" i="31" s="1"/>
  <c r="D4" i="17"/>
  <c r="C3" i="21"/>
  <c r="H4" i="17"/>
  <c r="G3" i="21"/>
  <c r="C16" i="21"/>
  <c r="C15" i="23" s="1"/>
  <c r="D31" i="31" s="1"/>
  <c r="D33" i="17"/>
  <c r="E3" i="18"/>
  <c r="C4" i="17"/>
  <c r="B3" i="21"/>
  <c r="G4" i="17"/>
  <c r="F3" i="21"/>
  <c r="E33" i="17"/>
  <c r="D16" i="21"/>
  <c r="D15" i="23" s="1"/>
  <c r="E31" i="31" s="1"/>
  <c r="G23" i="17"/>
  <c r="F8" i="21"/>
  <c r="I52" i="17"/>
  <c r="H21" i="21"/>
  <c r="H20" i="23" s="1"/>
  <c r="I50" i="31" s="1"/>
  <c r="H52" i="17"/>
  <c r="G21" i="21"/>
  <c r="G20" i="23" s="1"/>
  <c r="H50" i="31" s="1"/>
  <c r="B9" i="12"/>
  <c r="B19" i="9"/>
  <c r="B25" i="9" s="1"/>
  <c r="C25" i="9" s="1"/>
  <c r="B9" i="9"/>
  <c r="B24" i="9" s="1"/>
  <c r="C24" i="9" s="1"/>
  <c r="B19" i="12"/>
  <c r="B25" i="21" l="1"/>
  <c r="E25" i="21"/>
  <c r="B31" i="21" s="1"/>
  <c r="C31" i="21" s="1"/>
  <c r="C2" i="30"/>
  <c r="C3" i="30" s="1"/>
  <c r="C6" i="30" s="1"/>
  <c r="J8" i="18"/>
  <c r="B57" i="29"/>
  <c r="H2" i="30"/>
  <c r="B57" i="26"/>
  <c r="G2" i="30"/>
  <c r="F2" i="30"/>
  <c r="I6" i="18"/>
  <c r="H4" i="18"/>
  <c r="I5" i="18"/>
  <c r="B15" i="23"/>
  <c r="D2" i="30"/>
  <c r="D3" i="30" s="1"/>
  <c r="D6" i="30" s="1"/>
  <c r="I2" i="18"/>
  <c r="I3" i="18"/>
  <c r="I4" i="18"/>
  <c r="H3" i="18"/>
  <c r="F7" i="18"/>
  <c r="H5" i="18"/>
  <c r="H7" i="18"/>
  <c r="H6" i="18"/>
  <c r="H2" i="18"/>
  <c r="F3" i="18"/>
  <c r="F2" i="18"/>
  <c r="F4" i="18"/>
  <c r="F6" i="18"/>
  <c r="F5" i="18"/>
  <c r="B57" i="17"/>
  <c r="B28" i="17"/>
  <c r="B12" i="21"/>
  <c r="E12" i="21" s="1"/>
  <c r="B30" i="21" s="1"/>
  <c r="C30" i="21" s="1"/>
  <c r="J2" i="18" l="1"/>
  <c r="E57" i="26"/>
  <c r="B62" i="26" s="1"/>
  <c r="C62" i="26" s="1"/>
  <c r="J7" i="18"/>
  <c r="J6" i="18"/>
  <c r="J4" i="18"/>
  <c r="J3" i="18"/>
  <c r="J5" i="18"/>
  <c r="E2" i="30"/>
  <c r="C31" i="31"/>
  <c r="E57" i="29"/>
  <c r="B62" i="29" s="1"/>
  <c r="C62" i="29" s="1"/>
  <c r="E57" i="17"/>
  <c r="B62" i="17" s="1"/>
  <c r="C62" i="17" s="1"/>
  <c r="J2" i="30" l="1"/>
  <c r="J6" i="30" s="1"/>
  <c r="I2" i="30"/>
  <c r="I3" i="30" s="1"/>
  <c r="I6" i="30" s="1"/>
  <c r="E3" i="30"/>
  <c r="E6" i="30" s="1"/>
  <c r="G3" i="30"/>
  <c r="G6" i="30" s="1"/>
  <c r="H3" i="30"/>
  <c r="H6" i="30" s="1"/>
  <c r="F3" i="30"/>
  <c r="F6" i="30" s="1"/>
</calcChain>
</file>

<file path=xl/sharedStrings.xml><?xml version="1.0" encoding="utf-8"?>
<sst xmlns="http://schemas.openxmlformats.org/spreadsheetml/2006/main" count="1141" uniqueCount="101">
  <si>
    <t>Toronto</t>
  </si>
  <si>
    <t>Oshawa</t>
  </si>
  <si>
    <t>Hamilton</t>
  </si>
  <si>
    <t>Kitchener</t>
  </si>
  <si>
    <t>London</t>
  </si>
  <si>
    <t>Windsor</t>
  </si>
  <si>
    <t>Ottawa</t>
  </si>
  <si>
    <t>Montréal</t>
  </si>
  <si>
    <t>Québec</t>
  </si>
  <si>
    <t>https://www150.statcan.gc.ca/t1/tbl1/en/tv.action?pid=1710014601&amp;pickMembers%5B0%5D=1.1&amp;pickMembers%5B1%5D=3.1&amp;pickMembers%5B2%5D=2.1&amp;pickMembers%5B3%5D=4.1&amp;pickMembers%5B4%5D=5.1&amp;cubeTimeFrame.startYear=2021&amp;cubeTimeFrame.endYear=2041&amp;referencePeriods=20210101%2C20410101</t>
  </si>
  <si>
    <t>Detroit</t>
  </si>
  <si>
    <t>Chicago</t>
  </si>
  <si>
    <t>http://www.usmayors.org/wp-content/uploads/2017/05/Metro-Economies-Past-and-Future-Employment-12.pdf</t>
  </si>
  <si>
    <t>Border Friction Coefficient</t>
  </si>
  <si>
    <t>Toronto &amp; Hamilton</t>
  </si>
  <si>
    <t>Detroit River Tunnel</t>
  </si>
  <si>
    <t>London - Kitchener</t>
  </si>
  <si>
    <t>Windsor - London</t>
  </si>
  <si>
    <t>Toronto Union - Oshawa</t>
  </si>
  <si>
    <t>Oshawa - Ottawa</t>
  </si>
  <si>
    <t>Montreal - Quebec</t>
  </si>
  <si>
    <t>Segment</t>
  </si>
  <si>
    <t>Distance in km</t>
  </si>
  <si>
    <t>Cost in 2021 CAD</t>
  </si>
  <si>
    <t>Operating Profit per km (2021 CAD)</t>
  </si>
  <si>
    <t>Construction Cost per km (2021 CAD)</t>
  </si>
  <si>
    <t>Total Revenue:</t>
  </si>
  <si>
    <t>Construction Costs:</t>
  </si>
  <si>
    <t>Rate of Return</t>
  </si>
  <si>
    <t>Years to Recuperate Investment</t>
  </si>
  <si>
    <t>Construction Cost:</t>
  </si>
  <si>
    <t>Distance</t>
  </si>
  <si>
    <t>Ridership (2041)</t>
  </si>
  <si>
    <t>Ridership (2021)</t>
  </si>
  <si>
    <t>Revenue (2021)</t>
  </si>
  <si>
    <t>Revenue (2041)</t>
  </si>
  <si>
    <t>Incremental Revenue:</t>
  </si>
  <si>
    <t>Travel Time in Minutes</t>
  </si>
  <si>
    <t>Hamilton &amp; Niagara</t>
  </si>
  <si>
    <t>Total:</t>
  </si>
  <si>
    <t>Cleveland</t>
  </si>
  <si>
    <t>Toledo</t>
  </si>
  <si>
    <t>Latitude</t>
  </si>
  <si>
    <t>Longitude</t>
  </si>
  <si>
    <t>2021 Census</t>
  </si>
  <si>
    <t>2041 Projection</t>
  </si>
  <si>
    <t>CMA</t>
  </si>
  <si>
    <t>MSA</t>
  </si>
  <si>
    <t>Point1</t>
  </si>
  <si>
    <t>Point2</t>
  </si>
  <si>
    <t>Phase1</t>
  </si>
  <si>
    <t>Kitchener - YYZ</t>
  </si>
  <si>
    <t>Ottawa - Vaudreuil</t>
  </si>
  <si>
    <t>Veudreuil - Montreal Gare Centrale</t>
  </si>
  <si>
    <t>Phase</t>
  </si>
  <si>
    <t>YYZ - Toronto Union</t>
  </si>
  <si>
    <t>Destination</t>
  </si>
  <si>
    <t>Phase2Q</t>
  </si>
  <si>
    <t>Phase2S</t>
  </si>
  <si>
    <t>2S</t>
  </si>
  <si>
    <t>2Q</t>
  </si>
  <si>
    <t>Phase3W</t>
  </si>
  <si>
    <t>Quebec to US Language Coefficient</t>
  </si>
  <si>
    <t>3W</t>
  </si>
  <si>
    <t>2021 Estimate</t>
  </si>
  <si>
    <t>Phase2</t>
  </si>
  <si>
    <t>Inclusions</t>
  </si>
  <si>
    <t>Akron</t>
  </si>
  <si>
    <t>Columbus</t>
  </si>
  <si>
    <t>Pittsburgh</t>
  </si>
  <si>
    <t>Washington</t>
  </si>
  <si>
    <t>Buffalo</t>
  </si>
  <si>
    <t>Rochester</t>
  </si>
  <si>
    <t>Syracuse</t>
  </si>
  <si>
    <t>Utica</t>
  </si>
  <si>
    <t>Albany</t>
  </si>
  <si>
    <t>Boston</t>
  </si>
  <si>
    <t>Providence, Worcester, Springfield</t>
  </si>
  <si>
    <t>New York</t>
  </si>
  <si>
    <t>Bridgeport, Poughkeepsie</t>
  </si>
  <si>
    <t>Philadelphia</t>
  </si>
  <si>
    <t>Baltimore</t>
  </si>
  <si>
    <t>Phase3N</t>
  </si>
  <si>
    <t>Phase3M</t>
  </si>
  <si>
    <t>Phase3</t>
  </si>
  <si>
    <t>Toronto - Niagara</t>
  </si>
  <si>
    <t>3M</t>
  </si>
  <si>
    <t>3N</t>
  </si>
  <si>
    <t>Opacity</t>
  </si>
  <si>
    <t>Montreal - Vermont</t>
  </si>
  <si>
    <t>Harrisburg</t>
  </si>
  <si>
    <t>Total</t>
  </si>
  <si>
    <t>Operating Profit</t>
  </si>
  <si>
    <t>Incremental Construction Cost from Last Phase</t>
  </si>
  <si>
    <t>RoR</t>
  </si>
  <si>
    <t>Increase in Operating Profit from Last Phase</t>
  </si>
  <si>
    <t>Profit (2021)</t>
  </si>
  <si>
    <t>Profit (2041)</t>
  </si>
  <si>
    <t>Cumulative Construction Cost</t>
  </si>
  <si>
    <t>London - Hamilton</t>
  </si>
  <si>
    <t>Hamilton - Kitchener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</si>
</sst>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#,##0.0"/>
    <numFmt numFmtId="165" formatCode="0.0"/>
    <numFmt numFmtId="166" formatCode="_-&quot;$&quot;* #,##0_-;\-&quot;$&quot;* #,##0_-;_-&quot;$&quot;* &quot;-&quot;??_-;_-@_-"/>
    <numFmt numFmtId="167" formatCode="0.0%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4" fontId="0" fillId="0" borderId="0" xfId="1" applyFont="1"/>
    <xf numFmtId="166" fontId="0" fillId="0" borderId="0" xfId="1" applyNumberFormat="1" applyFont="1"/>
    <xf numFmtId="44" fontId="0" fillId="0" borderId="0" xfId="0" applyNumberFormat="1"/>
    <xf numFmtId="167" fontId="0" fillId="0" borderId="0" xfId="2" applyNumberFormat="1" applyFont="1"/>
    <xf numFmtId="1" fontId="0" fillId="0" borderId="0" xfId="0" applyNumberFormat="1"/>
    <xf numFmtId="0" fontId="0" fillId="0" borderId="0" xfId="1" applyNumberFormat="1" applyFont="1"/>
    <xf numFmtId="9" fontId="0" fillId="0" borderId="0" xfId="2" applyFont="1"/>
    <xf numFmtId="168" fontId="0" fillId="0" borderId="0" xfId="0" applyNumberFormat="1"/>
    <xf numFmtId="44" fontId="0" fillId="0" borderId="0" xfId="1" quotePrefix="1" applyFon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3B90-34D8-4F51-A906-9100798A7EBC}">
  <dimension ref="A1:W34"/>
  <sheetViews>
    <sheetView topLeftCell="A13" workbookViewId="0">
      <selection activeCell="O6" sqref="O6"/>
    </sheetView>
  </sheetViews>
  <sheetFormatPr defaultRowHeight="15" x14ac:dyDescent="0.25"/>
  <sheetData>
    <row r="1" spans="1:23" x14ac:dyDescent="0.25">
      <c r="A1" t="s">
        <v>46</v>
      </c>
      <c r="B1" t="s">
        <v>44</v>
      </c>
      <c r="C1" t="s">
        <v>45</v>
      </c>
      <c r="D1" t="s">
        <v>42</v>
      </c>
      <c r="E1" t="s">
        <v>43</v>
      </c>
      <c r="G1" t="s">
        <v>46</v>
      </c>
      <c r="H1" t="s">
        <v>0</v>
      </c>
      <c r="I1" t="s">
        <v>7</v>
      </c>
      <c r="J1" t="s">
        <v>6</v>
      </c>
      <c r="K1" t="s">
        <v>38</v>
      </c>
      <c r="L1" t="s">
        <v>8</v>
      </c>
      <c r="M1" t="s">
        <v>3</v>
      </c>
      <c r="N1" t="s">
        <v>4</v>
      </c>
      <c r="O1" t="s">
        <v>1</v>
      </c>
      <c r="P1" t="s">
        <v>5</v>
      </c>
    </row>
    <row r="2" spans="1:23" x14ac:dyDescent="0.25">
      <c r="A2" t="s">
        <v>0</v>
      </c>
      <c r="B2">
        <v>6.6</v>
      </c>
      <c r="C2" s="3">
        <v>10</v>
      </c>
      <c r="D2" s="11">
        <v>43.645443425571102</v>
      </c>
      <c r="E2" s="11">
        <v>-79.380638764819096</v>
      </c>
      <c r="F2" s="10"/>
      <c r="G2">
        <v>2021</v>
      </c>
      <c r="H2">
        <v>6.6</v>
      </c>
      <c r="I2">
        <v>4.4000000000000004</v>
      </c>
      <c r="J2" s="1">
        <v>1.5</v>
      </c>
      <c r="K2">
        <v>1.2</v>
      </c>
      <c r="L2" s="1">
        <v>0.8</v>
      </c>
      <c r="M2">
        <v>0.6</v>
      </c>
      <c r="N2">
        <v>0.6</v>
      </c>
      <c r="O2">
        <v>0.4</v>
      </c>
      <c r="P2">
        <v>0.4</v>
      </c>
    </row>
    <row r="3" spans="1:23" x14ac:dyDescent="0.25">
      <c r="A3" t="s">
        <v>7</v>
      </c>
      <c r="B3">
        <v>4.4000000000000004</v>
      </c>
      <c r="C3" s="3">
        <v>5.5</v>
      </c>
      <c r="D3" s="11">
        <v>45.500232389759397</v>
      </c>
      <c r="E3" s="11">
        <v>-73.566522404299803</v>
      </c>
      <c r="F3" s="10"/>
      <c r="G3">
        <v>2041</v>
      </c>
      <c r="H3" s="3">
        <v>10</v>
      </c>
      <c r="I3" s="3">
        <v>5.5</v>
      </c>
      <c r="J3" s="3">
        <v>1.9</v>
      </c>
      <c r="K3" s="3">
        <v>1.5</v>
      </c>
      <c r="L3" s="3">
        <v>0.9</v>
      </c>
      <c r="M3" s="3">
        <v>0.7</v>
      </c>
      <c r="N3" s="3">
        <v>0.6</v>
      </c>
      <c r="O3" s="3">
        <v>0.5</v>
      </c>
      <c r="P3" s="3">
        <v>0.5</v>
      </c>
    </row>
    <row r="4" spans="1:23" x14ac:dyDescent="0.25">
      <c r="A4" t="s">
        <v>6</v>
      </c>
      <c r="B4" s="1">
        <v>1.5</v>
      </c>
      <c r="C4" s="3">
        <v>1.9</v>
      </c>
      <c r="D4" s="11">
        <v>45.416630679165102</v>
      </c>
      <c r="E4" s="11">
        <v>-75.651632160129495</v>
      </c>
      <c r="F4" s="10"/>
    </row>
    <row r="5" spans="1:23" x14ac:dyDescent="0.25">
      <c r="A5" t="s">
        <v>38</v>
      </c>
      <c r="B5">
        <v>1.2</v>
      </c>
      <c r="C5" s="3">
        <v>1.5</v>
      </c>
      <c r="D5" s="11">
        <v>43.267055782905601</v>
      </c>
      <c r="E5" s="11">
        <v>-79.866530375928207</v>
      </c>
      <c r="F5" s="10"/>
    </row>
    <row r="6" spans="1:23" x14ac:dyDescent="0.25">
      <c r="A6" t="s">
        <v>8</v>
      </c>
      <c r="B6" s="1">
        <v>0.8</v>
      </c>
      <c r="C6" s="3">
        <v>0.9</v>
      </c>
      <c r="D6" s="11">
        <v>46.8175841271688</v>
      </c>
      <c r="E6" s="11">
        <v>-71.213905048386806</v>
      </c>
      <c r="F6" s="10"/>
      <c r="J6" s="3"/>
    </row>
    <row r="7" spans="1:23" x14ac:dyDescent="0.25">
      <c r="A7" t="s">
        <v>3</v>
      </c>
      <c r="B7">
        <v>0.6</v>
      </c>
      <c r="C7" s="3">
        <v>0.7</v>
      </c>
      <c r="D7" s="11">
        <v>43.454009223933397</v>
      </c>
      <c r="E7" s="11">
        <v>-80.499220729714906</v>
      </c>
      <c r="F7" s="10"/>
    </row>
    <row r="8" spans="1:23" x14ac:dyDescent="0.25">
      <c r="A8" t="s">
        <v>4</v>
      </c>
      <c r="B8">
        <v>0.6</v>
      </c>
      <c r="C8" s="3">
        <v>0.6</v>
      </c>
      <c r="D8" s="11">
        <v>42.9814799501194</v>
      </c>
      <c r="E8" s="11">
        <v>-81.246794948639405</v>
      </c>
      <c r="F8" s="10"/>
    </row>
    <row r="9" spans="1:23" x14ac:dyDescent="0.25">
      <c r="A9" t="s">
        <v>1</v>
      </c>
      <c r="B9">
        <v>0.4</v>
      </c>
      <c r="C9" s="3">
        <v>0.5</v>
      </c>
      <c r="D9" s="11">
        <v>43.871040959555501</v>
      </c>
      <c r="E9" s="11">
        <v>-78.884755679131402</v>
      </c>
      <c r="F9" s="10"/>
    </row>
    <row r="10" spans="1:23" x14ac:dyDescent="0.25">
      <c r="A10" t="s">
        <v>5</v>
      </c>
      <c r="B10">
        <v>0.4</v>
      </c>
      <c r="C10" s="3">
        <v>0.5</v>
      </c>
      <c r="D10" s="11">
        <v>42.304966352100998</v>
      </c>
      <c r="E10" s="11">
        <v>-83.049362680960201</v>
      </c>
      <c r="F10" s="10"/>
    </row>
    <row r="12" spans="1:23" x14ac:dyDescent="0.25">
      <c r="A12" t="s">
        <v>9</v>
      </c>
    </row>
    <row r="15" spans="1:23" x14ac:dyDescent="0.25">
      <c r="A15" t="s">
        <v>47</v>
      </c>
      <c r="B15" t="s">
        <v>64</v>
      </c>
      <c r="C15" t="s">
        <v>45</v>
      </c>
      <c r="D15" t="s">
        <v>42</v>
      </c>
      <c r="E15" t="s">
        <v>43</v>
      </c>
      <c r="F15" t="s">
        <v>66</v>
      </c>
      <c r="G15" t="s">
        <v>47</v>
      </c>
      <c r="H15" t="s">
        <v>11</v>
      </c>
      <c r="I15" t="s">
        <v>10</v>
      </c>
      <c r="J15" t="s">
        <v>40</v>
      </c>
      <c r="K15" t="s">
        <v>41</v>
      </c>
      <c r="L15" t="s">
        <v>68</v>
      </c>
      <c r="M15" t="s">
        <v>69</v>
      </c>
      <c r="N15" t="s">
        <v>71</v>
      </c>
      <c r="O15" t="s">
        <v>72</v>
      </c>
      <c r="P15" t="s">
        <v>73</v>
      </c>
      <c r="Q15" t="s">
        <v>75</v>
      </c>
      <c r="R15" t="s">
        <v>76</v>
      </c>
      <c r="S15" t="s">
        <v>78</v>
      </c>
      <c r="T15" t="s">
        <v>80</v>
      </c>
      <c r="U15" t="s">
        <v>81</v>
      </c>
      <c r="V15" t="s">
        <v>70</v>
      </c>
      <c r="W15" t="s">
        <v>90</v>
      </c>
    </row>
    <row r="16" spans="1:23" x14ac:dyDescent="0.25">
      <c r="A16" t="s">
        <v>11</v>
      </c>
      <c r="B16">
        <v>9.6</v>
      </c>
      <c r="C16">
        <v>10.1</v>
      </c>
      <c r="D16">
        <v>41.878777542056604</v>
      </c>
      <c r="E16">
        <v>-87.640203716181006</v>
      </c>
      <c r="G16">
        <v>2021</v>
      </c>
      <c r="H16">
        <v>9.6</v>
      </c>
      <c r="I16">
        <v>4.4000000000000004</v>
      </c>
      <c r="J16" s="3">
        <v>2.7</v>
      </c>
      <c r="K16">
        <v>0.6</v>
      </c>
      <c r="L16">
        <v>2</v>
      </c>
      <c r="M16">
        <v>2.2999999999999998</v>
      </c>
      <c r="N16">
        <v>1.1000000000000001</v>
      </c>
      <c r="O16">
        <v>1</v>
      </c>
      <c r="P16">
        <v>1</v>
      </c>
      <c r="Q16">
        <v>0.9</v>
      </c>
      <c r="R16">
        <v>8</v>
      </c>
      <c r="S16">
        <v>21.9</v>
      </c>
      <c r="T16">
        <v>6.1</v>
      </c>
      <c r="U16">
        <v>2.8</v>
      </c>
      <c r="V16">
        <v>6.4</v>
      </c>
      <c r="W16">
        <v>0.6</v>
      </c>
    </row>
    <row r="17" spans="1:23" x14ac:dyDescent="0.25">
      <c r="A17" t="s">
        <v>10</v>
      </c>
      <c r="B17">
        <v>4.4000000000000004</v>
      </c>
      <c r="C17">
        <v>4.2</v>
      </c>
      <c r="D17">
        <v>42.328956760044299</v>
      </c>
      <c r="E17">
        <v>-83.077651587317803</v>
      </c>
      <c r="G17">
        <v>2041</v>
      </c>
      <c r="H17">
        <v>10.1</v>
      </c>
      <c r="I17">
        <v>4.2</v>
      </c>
      <c r="J17">
        <v>2.6</v>
      </c>
      <c r="K17">
        <v>0.6</v>
      </c>
      <c r="L17">
        <v>2.2999999999999998</v>
      </c>
      <c r="M17">
        <v>2.2999999999999998</v>
      </c>
      <c r="N17">
        <v>1</v>
      </c>
      <c r="O17">
        <v>1</v>
      </c>
      <c r="P17">
        <v>0.9</v>
      </c>
      <c r="Q17">
        <v>0.9</v>
      </c>
      <c r="R17">
        <v>8.5</v>
      </c>
      <c r="S17">
        <v>22.3</v>
      </c>
      <c r="T17">
        <v>6.3</v>
      </c>
      <c r="U17">
        <v>3</v>
      </c>
      <c r="V17">
        <v>7.6</v>
      </c>
      <c r="W17">
        <v>0.6</v>
      </c>
    </row>
    <row r="18" spans="1:23" x14ac:dyDescent="0.25">
      <c r="A18" t="s">
        <v>40</v>
      </c>
      <c r="B18" s="3">
        <v>2.7</v>
      </c>
      <c r="C18">
        <v>2.6</v>
      </c>
      <c r="D18">
        <v>41.505676828783599</v>
      </c>
      <c r="E18">
        <v>-81.696472314237695</v>
      </c>
      <c r="F18" t="s">
        <v>67</v>
      </c>
    </row>
    <row r="19" spans="1:23" x14ac:dyDescent="0.25">
      <c r="A19" t="s">
        <v>41</v>
      </c>
      <c r="B19">
        <v>0.6</v>
      </c>
      <c r="C19">
        <v>0.6</v>
      </c>
      <c r="D19">
        <v>41.638274542131498</v>
      </c>
      <c r="E19">
        <v>-83.541448916407504</v>
      </c>
    </row>
    <row r="20" spans="1:23" x14ac:dyDescent="0.25">
      <c r="A20" t="s">
        <v>68</v>
      </c>
      <c r="B20">
        <v>2</v>
      </c>
      <c r="C20">
        <v>2.2999999999999998</v>
      </c>
      <c r="D20">
        <v>39.9715397082728</v>
      </c>
      <c r="E20">
        <v>-83.000744979363006</v>
      </c>
    </row>
    <row r="21" spans="1:23" x14ac:dyDescent="0.25">
      <c r="A21" t="s">
        <v>69</v>
      </c>
      <c r="B21">
        <v>2.2999999999999998</v>
      </c>
      <c r="C21">
        <v>2.2999999999999998</v>
      </c>
      <c r="D21">
        <v>40.444979629664303</v>
      </c>
      <c r="E21">
        <v>-79.991454413245805</v>
      </c>
    </row>
    <row r="22" spans="1:23" x14ac:dyDescent="0.25">
      <c r="A22" t="s">
        <v>71</v>
      </c>
      <c r="B22">
        <v>1.1000000000000001</v>
      </c>
      <c r="C22">
        <v>1</v>
      </c>
      <c r="D22">
        <v>42.890235659958101</v>
      </c>
      <c r="E22">
        <v>-78.830286034247294</v>
      </c>
    </row>
    <row r="23" spans="1:23" x14ac:dyDescent="0.25">
      <c r="A23" t="s">
        <v>72</v>
      </c>
      <c r="B23">
        <v>1</v>
      </c>
      <c r="C23">
        <v>1</v>
      </c>
      <c r="D23">
        <v>43.166083569750803</v>
      </c>
      <c r="E23">
        <v>-77.6086640857107</v>
      </c>
    </row>
    <row r="24" spans="1:23" x14ac:dyDescent="0.25">
      <c r="A24" t="s">
        <v>73</v>
      </c>
      <c r="B24">
        <v>1</v>
      </c>
      <c r="C24">
        <v>0.9</v>
      </c>
      <c r="D24">
        <v>43.077129442647397</v>
      </c>
      <c r="E24">
        <v>-76.169947405138103</v>
      </c>
      <c r="F24" t="s">
        <v>74</v>
      </c>
    </row>
    <row r="25" spans="1:23" x14ac:dyDescent="0.25">
      <c r="A25" t="s">
        <v>75</v>
      </c>
      <c r="B25">
        <v>0.9</v>
      </c>
      <c r="C25">
        <v>0.9</v>
      </c>
      <c r="D25">
        <v>42.641622229977898</v>
      </c>
      <c r="E25">
        <v>-73.741325747854106</v>
      </c>
    </row>
    <row r="26" spans="1:23" x14ac:dyDescent="0.25">
      <c r="A26" t="s">
        <v>76</v>
      </c>
      <c r="B26">
        <v>8</v>
      </c>
      <c r="C26">
        <v>8.5</v>
      </c>
      <c r="D26">
        <v>42.352311459098203</v>
      </c>
      <c r="E26">
        <v>-71.055228604503199</v>
      </c>
      <c r="F26" t="s">
        <v>77</v>
      </c>
    </row>
    <row r="27" spans="1:23" x14ac:dyDescent="0.25">
      <c r="A27" t="s">
        <v>78</v>
      </c>
      <c r="B27">
        <v>21.9</v>
      </c>
      <c r="C27">
        <v>22.3</v>
      </c>
      <c r="D27">
        <v>40.750722397913101</v>
      </c>
      <c r="E27">
        <v>-73.993486818096301</v>
      </c>
      <c r="F27" t="s">
        <v>79</v>
      </c>
    </row>
    <row r="28" spans="1:23" x14ac:dyDescent="0.25">
      <c r="A28" t="s">
        <v>80</v>
      </c>
      <c r="B28">
        <v>6.1</v>
      </c>
      <c r="C28">
        <v>6.3</v>
      </c>
      <c r="D28">
        <v>39.956749927731003</v>
      </c>
      <c r="E28">
        <v>-75.182753102231899</v>
      </c>
    </row>
    <row r="29" spans="1:23" x14ac:dyDescent="0.25">
      <c r="A29" t="s">
        <v>81</v>
      </c>
      <c r="B29">
        <v>2.8</v>
      </c>
      <c r="C29">
        <v>3</v>
      </c>
      <c r="D29">
        <v>39.307839919756503</v>
      </c>
      <c r="E29">
        <v>-76.615425456883003</v>
      </c>
    </row>
    <row r="30" spans="1:23" x14ac:dyDescent="0.25">
      <c r="A30" t="s">
        <v>70</v>
      </c>
      <c r="B30">
        <v>6.4</v>
      </c>
      <c r="C30">
        <v>7.6</v>
      </c>
      <c r="D30">
        <v>38.898462118877902</v>
      </c>
      <c r="E30">
        <v>-77.006177977722501</v>
      </c>
    </row>
    <row r="31" spans="1:23" x14ac:dyDescent="0.25">
      <c r="A31" t="s">
        <v>90</v>
      </c>
      <c r="B31">
        <v>0.6</v>
      </c>
      <c r="C31">
        <v>0.6</v>
      </c>
      <c r="D31">
        <v>40.263517064045097</v>
      </c>
      <c r="E31">
        <v>-76.877940925245099</v>
      </c>
    </row>
    <row r="34" spans="1:1" x14ac:dyDescent="0.25">
      <c r="A34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EB3D-B2B6-4BFD-9A24-5A6A631655A4}">
  <dimension ref="A1:I9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5</v>
      </c>
      <c r="C1" t="s">
        <v>4</v>
      </c>
      <c r="D1" t="s">
        <v>2</v>
      </c>
      <c r="E1" t="s">
        <v>3</v>
      </c>
      <c r="F1" t="s">
        <v>0</v>
      </c>
      <c r="G1" t="s">
        <v>1</v>
      </c>
      <c r="H1" t="s">
        <v>6</v>
      </c>
      <c r="I1" t="s">
        <v>7</v>
      </c>
    </row>
    <row r="2" spans="1:9" x14ac:dyDescent="0.25">
      <c r="A2" t="s">
        <v>10</v>
      </c>
      <c r="B2">
        <f>'All Distances'!K10</f>
        <v>5</v>
      </c>
      <c r="C2">
        <f>'All Distances'!K8</f>
        <v>180</v>
      </c>
      <c r="D2">
        <f>'All Distances'!K5</f>
        <v>460</v>
      </c>
      <c r="E2">
        <f>'All Distances'!K7</f>
        <v>260</v>
      </c>
      <c r="F2">
        <f>'All Distances'!K2</f>
        <v>365</v>
      </c>
      <c r="G2">
        <f>'All Distances'!K9</f>
        <v>415</v>
      </c>
      <c r="H2">
        <f>'All Distances'!K4</f>
        <v>790</v>
      </c>
      <c r="I2">
        <f>'All Distances'!K3</f>
        <v>965</v>
      </c>
    </row>
    <row r="3" spans="1:9" x14ac:dyDescent="0.25">
      <c r="A3" t="s">
        <v>5</v>
      </c>
      <c r="C3">
        <f>'All Distances'!I8</f>
        <v>175</v>
      </c>
      <c r="D3">
        <f>'All Distances'!I5</f>
        <v>455</v>
      </c>
      <c r="E3">
        <f>'All Distances'!I7</f>
        <v>255</v>
      </c>
      <c r="F3">
        <f>'All Distances'!I2</f>
        <v>360</v>
      </c>
      <c r="G3">
        <f>'All Distances'!I9</f>
        <v>410</v>
      </c>
      <c r="H3">
        <f>'All Distances'!I4</f>
        <v>785</v>
      </c>
      <c r="I3">
        <f>'All Distances'!I3</f>
        <v>960</v>
      </c>
    </row>
    <row r="4" spans="1:9" x14ac:dyDescent="0.25">
      <c r="A4" t="s">
        <v>4</v>
      </c>
      <c r="E4">
        <f>'All Distances'!G7</f>
        <v>80</v>
      </c>
      <c r="F4">
        <f>'All Distances'!G2</f>
        <v>185</v>
      </c>
      <c r="G4">
        <f>'All Distances'!H8</f>
        <v>235</v>
      </c>
      <c r="H4">
        <f>'All Distances'!G4</f>
        <v>610</v>
      </c>
      <c r="I4">
        <f>'All Distances'!G3</f>
        <v>785</v>
      </c>
    </row>
    <row r="5" spans="1:9" x14ac:dyDescent="0.25">
      <c r="A5" t="s">
        <v>3</v>
      </c>
      <c r="F5">
        <f>'All Distances'!F2</f>
        <v>105</v>
      </c>
      <c r="G5">
        <f>'All Distances'!H7</f>
        <v>155</v>
      </c>
      <c r="H5">
        <f>'All Distances'!F4</f>
        <v>530</v>
      </c>
      <c r="I5">
        <f>'All Distances'!F3</f>
        <v>705</v>
      </c>
    </row>
    <row r="6" spans="1:9" x14ac:dyDescent="0.25">
      <c r="A6" t="s">
        <v>2</v>
      </c>
      <c r="G6">
        <f>'All Distances'!H5</f>
        <v>135</v>
      </c>
      <c r="H6">
        <f>'All Distances'!D4</f>
        <v>510</v>
      </c>
      <c r="I6">
        <f>'All Distances'!D3</f>
        <v>685</v>
      </c>
    </row>
    <row r="7" spans="1:9" x14ac:dyDescent="0.25">
      <c r="A7" t="s">
        <v>0</v>
      </c>
      <c r="G7">
        <f>'All Distances'!H2</f>
        <v>50</v>
      </c>
      <c r="H7">
        <f>'All Distances'!C2</f>
        <v>425</v>
      </c>
      <c r="I7">
        <f>'All Distances'!B2</f>
        <v>600</v>
      </c>
    </row>
    <row r="8" spans="1:9" x14ac:dyDescent="0.25">
      <c r="A8" t="s">
        <v>1</v>
      </c>
      <c r="H8">
        <f>'All Distances'!H4</f>
        <v>375</v>
      </c>
      <c r="I8">
        <f>'All Distances'!H3</f>
        <v>550</v>
      </c>
    </row>
    <row r="9" spans="1:9" x14ac:dyDescent="0.25">
      <c r="A9" t="s">
        <v>6</v>
      </c>
      <c r="I9">
        <f>'All Distances'!C3</f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64B6-79CE-45DE-9D35-6C04F1DC5E39}">
  <dimension ref="A1:H25"/>
  <sheetViews>
    <sheetView workbookViewId="0">
      <selection activeCell="F10" sqref="F10"/>
    </sheetView>
  </sheetViews>
  <sheetFormatPr defaultRowHeight="15" x14ac:dyDescent="0.25"/>
  <sheetData>
    <row r="1" spans="1:8" x14ac:dyDescent="0.25">
      <c r="A1">
        <v>2021</v>
      </c>
    </row>
    <row r="2" spans="1:8" x14ac:dyDescent="0.25">
      <c r="D2" t="s">
        <v>3</v>
      </c>
      <c r="E2" t="s">
        <v>0</v>
      </c>
      <c r="F2" t="s">
        <v>1</v>
      </c>
      <c r="G2" t="s">
        <v>6</v>
      </c>
      <c r="H2" t="s">
        <v>7</v>
      </c>
    </row>
    <row r="5" spans="1:8" x14ac:dyDescent="0.25">
      <c r="A5" t="s">
        <v>4</v>
      </c>
      <c r="D5" s="2">
        <f>'All Ridership 2021'!G7</f>
        <v>0.13248394610720998</v>
      </c>
      <c r="E5" s="2">
        <f>'All Ridership 2021'!G2</f>
        <v>0.90214719568462021</v>
      </c>
      <c r="F5" s="2">
        <f>'All Ridership 2021'!H8</f>
        <v>9.5783399793430979E-2</v>
      </c>
      <c r="G5" s="2">
        <f>'All Ridership 2021'!G4</f>
        <v>0.18526594709220398</v>
      </c>
      <c r="H5" s="2">
        <f>'All Ridership 2021'!G3</f>
        <v>0.26460929238106673</v>
      </c>
    </row>
    <row r="6" spans="1:8" x14ac:dyDescent="0.25">
      <c r="A6" t="s">
        <v>3</v>
      </c>
      <c r="E6" s="2">
        <f>'All Ridership 2021'!F2</f>
        <v>0.90214719568462021</v>
      </c>
      <c r="F6" s="2">
        <f>'All Ridership 2021'!H7</f>
        <v>9.5783399793430979E-2</v>
      </c>
      <c r="G6" s="2">
        <f>'All Ridership 2021'!F4</f>
        <v>0.24541637206482414</v>
      </c>
      <c r="H6" s="2">
        <f>'All Ridership 2021'!F3</f>
        <v>0.3280697373321721</v>
      </c>
    </row>
    <row r="7" spans="1:8" x14ac:dyDescent="0.25">
      <c r="A7" t="s">
        <v>14</v>
      </c>
      <c r="F7" s="2">
        <f>'Ridership Phase 1'!B5</f>
        <v>0.65223544479009132</v>
      </c>
      <c r="G7" s="2">
        <f>'Ridership Phase 1'!C5</f>
        <v>1.8777138532895898</v>
      </c>
      <c r="H7" s="2">
        <f>'Ridership Phase 1'!D5</f>
        <v>3.084296011437591</v>
      </c>
    </row>
    <row r="8" spans="1:8" x14ac:dyDescent="0.25">
      <c r="A8" t="s">
        <v>1</v>
      </c>
      <c r="G8" s="2">
        <f>'Ridership Phase 1'!C6</f>
        <v>0.19936194178469219</v>
      </c>
      <c r="H8" s="2">
        <f>'Ridership Phase 1'!D6</f>
        <v>0.38971400994458916</v>
      </c>
    </row>
    <row r="9" spans="1:8" x14ac:dyDescent="0.25">
      <c r="A9" t="s">
        <v>6</v>
      </c>
      <c r="H9" s="2">
        <f>'Ridership Phase 1'!D7</f>
        <v>1.3575517788529452</v>
      </c>
    </row>
    <row r="13" spans="1:8" x14ac:dyDescent="0.25">
      <c r="A13">
        <v>2041</v>
      </c>
    </row>
    <row r="14" spans="1:8" x14ac:dyDescent="0.25">
      <c r="D14" t="s">
        <v>3</v>
      </c>
      <c r="E14" t="s">
        <v>0</v>
      </c>
      <c r="F14" t="s">
        <v>1</v>
      </c>
      <c r="G14" t="s">
        <v>6</v>
      </c>
      <c r="H14" t="s">
        <v>7</v>
      </c>
    </row>
    <row r="17" spans="1:8" x14ac:dyDescent="0.25">
      <c r="A17" t="s">
        <v>4</v>
      </c>
      <c r="D17" s="2">
        <f>'All Ridership 2041'!G7</f>
        <v>0.14987206354958535</v>
      </c>
      <c r="E17" s="2">
        <f>'All Ridership 2041'!G2</f>
        <v>1.2578888137888429</v>
      </c>
      <c r="F17" s="2">
        <f>'All Ridership 2041'!H8</f>
        <v>0.11450336728854525</v>
      </c>
      <c r="G17" s="2">
        <f>'All Ridership 2041'!G4</f>
        <v>0.22383370037459668</v>
      </c>
      <c r="H17" s="2">
        <f>'All Ridership 2041'!G3</f>
        <v>0.31632469779538241</v>
      </c>
    </row>
    <row r="18" spans="1:8" x14ac:dyDescent="0.25">
      <c r="A18" t="s">
        <v>3</v>
      </c>
      <c r="E18" s="2">
        <f>'All Ridership 2041'!F2</f>
        <v>1.4229829181410101</v>
      </c>
      <c r="F18" s="2">
        <f>'All Ridership 2041'!H7</f>
        <v>0.12953158811425566</v>
      </c>
      <c r="G18" s="2">
        <f>'All Ridership 2041'!F4</f>
        <v>0.33542145381127181</v>
      </c>
      <c r="H18" s="2">
        <f>'All Ridership 2041'!F3</f>
        <v>0.44366136700628361</v>
      </c>
    </row>
    <row r="19" spans="1:8" x14ac:dyDescent="0.25">
      <c r="A19" t="s">
        <v>14</v>
      </c>
      <c r="F19" s="2">
        <f>'Ridership Phase 1'!B15</f>
        <v>1.0871694955165432</v>
      </c>
      <c r="G19" s="2">
        <f>'Ridership Phase 1'!C15</f>
        <v>3.163181671121619</v>
      </c>
      <c r="H19" s="2">
        <f>'Ridership Phase 1'!D15</f>
        <v>5.1410155114422471</v>
      </c>
    </row>
    <row r="20" spans="1:8" x14ac:dyDescent="0.25">
      <c r="A20" t="s">
        <v>1</v>
      </c>
      <c r="G20" s="2">
        <f>'Ridership Phase 1'!C16</f>
        <v>0.28793876590561179</v>
      </c>
      <c r="H20" s="2">
        <f>'Ridership Phase 1'!D16</f>
        <v>0.55693182985786527</v>
      </c>
    </row>
    <row r="21" spans="1:8" x14ac:dyDescent="0.25">
      <c r="A21" t="s">
        <v>6</v>
      </c>
      <c r="H21" s="2">
        <f>'Ridership Phase 1'!D17</f>
        <v>1.9607141681938574</v>
      </c>
    </row>
    <row r="24" spans="1:8" x14ac:dyDescent="0.25">
      <c r="D24" s="2"/>
    </row>
    <row r="25" spans="1:8" x14ac:dyDescent="0.25">
      <c r="D25" s="2"/>
    </row>
  </sheetData>
  <conditionalFormatting sqref="D5:H9 D17:H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D5FA-5DC7-4D84-B20A-03DA2CD829A7}">
  <dimension ref="A1:F25"/>
  <sheetViews>
    <sheetView topLeftCell="A10" workbookViewId="0">
      <selection activeCell="E10" sqref="E10"/>
    </sheetView>
  </sheetViews>
  <sheetFormatPr defaultRowHeight="15" x14ac:dyDescent="0.25"/>
  <cols>
    <col min="1" max="2" width="10.5703125" bestFit="1" customWidth="1"/>
    <col min="3" max="6" width="9.28515625" bestFit="1" customWidth="1"/>
  </cols>
  <sheetData>
    <row r="1" spans="1:6" x14ac:dyDescent="0.25">
      <c r="A1">
        <v>2021</v>
      </c>
    </row>
    <row r="2" spans="1:6" x14ac:dyDescent="0.25">
      <c r="B2" t="s">
        <v>3</v>
      </c>
      <c r="C2" t="s">
        <v>0</v>
      </c>
      <c r="D2" t="s">
        <v>1</v>
      </c>
      <c r="E2" t="s">
        <v>6</v>
      </c>
      <c r="F2" t="s">
        <v>7</v>
      </c>
    </row>
    <row r="3" spans="1:6" x14ac:dyDescent="0.25">
      <c r="A3" s="4" t="s">
        <v>4</v>
      </c>
      <c r="B3" s="4">
        <f>'Ridership Phase 2 OLD'!D5*'Distances Phase 2 OLD'!E4*Coefficient!$B$4</f>
        <v>0.91855535967665602</v>
      </c>
      <c r="C3" s="4">
        <f>'Ridership Phase 2 OLD'!E5*'Distances Phase 2 OLD'!F4*Coefficient!$B$4</f>
        <v>14.464426704143412</v>
      </c>
      <c r="D3" s="4">
        <f>'Ridership Phase 2 OLD'!F5*'Distances Phase 2 OLD'!G4*Coefficient!$B$4</f>
        <v>1.9507885757928778</v>
      </c>
      <c r="E3" s="4">
        <f>'Ridership Phase 2 OLD'!G5*'Distances Phase 2 OLD'!H4*Coefficient!$B$4</f>
        <v>9.7943930696078514</v>
      </c>
      <c r="F3" s="4">
        <f>'Ridership Phase 2 OLD'!H5*'Distances Phase 2 OLD'!I4*Coefficient!$B$4</f>
        <v>18.002252191658574</v>
      </c>
    </row>
    <row r="4" spans="1:6" x14ac:dyDescent="0.25">
      <c r="A4" s="4" t="s">
        <v>3</v>
      </c>
      <c r="B4" s="4"/>
      <c r="C4" s="4">
        <f>'Ridership Phase 2 OLD'!E6*'Distances Phase 2 OLD'!F5*Coefficient!$B$4</f>
        <v>8.2095394807300437</v>
      </c>
      <c r="D4" s="4">
        <f>'Ridership Phase 2 OLD'!F6*'Distances Phase 2 OLD'!G5*Coefficient!$B$4</f>
        <v>1.2866903372250895</v>
      </c>
      <c r="E4" s="4">
        <f>'Ridership Phase 2 OLD'!G6*'Distances Phase 2 OLD'!H5*Coefficient!$B$4</f>
        <v>11.272792023510922</v>
      </c>
      <c r="F4" s="4">
        <f>'Ridership Phase 2 OLD'!H6*'Distances Phase 2 OLD'!I5*Coefficient!$B$4</f>
        <v>20.045060950995715</v>
      </c>
    </row>
    <row r="5" spans="1:6" x14ac:dyDescent="0.25">
      <c r="A5" s="4" t="s">
        <v>14</v>
      </c>
      <c r="B5" s="4"/>
      <c r="C5" s="4"/>
      <c r="D5" s="4">
        <f>'Ridership Phase 2 OLD'!F7*'Distances Phase 2 OLD'!G7*Coefficient!$B$4</f>
        <v>2.8263535940903961</v>
      </c>
      <c r="E5" s="4">
        <f>'Ridership Phase 2 OLD'!G7*'Distances Phase 2 OLD'!H7*Coefficient!$B$4</f>
        <v>69.162460262833221</v>
      </c>
      <c r="F5" s="4">
        <f>'Ridership Phase 2 OLD'!H7*'Distances Phase 2 OLD'!I7*Coefficient!$B$4</f>
        <v>160.38339259475472</v>
      </c>
    </row>
    <row r="6" spans="1:6" x14ac:dyDescent="0.25">
      <c r="A6" s="4" t="s">
        <v>1</v>
      </c>
      <c r="B6" s="4"/>
      <c r="C6" s="4"/>
      <c r="D6" s="4"/>
      <c r="E6" s="4">
        <f>'Ridership Phase 2 OLD'!G8*'Distances Phase 2 OLD'!H8*Coefficient!$B$4</f>
        <v>6.4792631080024963</v>
      </c>
      <c r="F6" s="4">
        <f>'Ridership Phase 2 OLD'!H8*'Distances Phase 2 OLD'!I8*Coefficient!$B$4</f>
        <v>18.57636780735875</v>
      </c>
    </row>
    <row r="7" spans="1:6" x14ac:dyDescent="0.25">
      <c r="A7" s="4" t="s">
        <v>6</v>
      </c>
      <c r="B7" s="4"/>
      <c r="C7" s="4"/>
      <c r="D7" s="4"/>
      <c r="E7" s="4"/>
      <c r="F7" s="4">
        <f>'Ridership Phase 2 OLD'!H9*'Distances Phase 2 OLD'!I9*Coefficient!$B$4</f>
        <v>20.589535312603001</v>
      </c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4" t="s">
        <v>26</v>
      </c>
      <c r="B9" s="4">
        <f>SUM(B3:F7)</f>
        <v>363.96187137298369</v>
      </c>
      <c r="C9" s="4"/>
      <c r="D9" s="4" t="s">
        <v>36</v>
      </c>
      <c r="E9" s="4">
        <f>SUM(B3:F3)+C4</f>
        <v>53.339955381609414</v>
      </c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9">
        <v>2041</v>
      </c>
      <c r="B11" s="4"/>
      <c r="C11" s="4"/>
      <c r="D11" s="4"/>
      <c r="E11" s="4"/>
      <c r="F11" s="4"/>
    </row>
    <row r="12" spans="1:6" x14ac:dyDescent="0.25">
      <c r="A12" s="4"/>
      <c r="B12" s="4" t="s">
        <v>3</v>
      </c>
      <c r="C12" s="4" t="s">
        <v>0</v>
      </c>
      <c r="D12" s="4" t="s">
        <v>1</v>
      </c>
      <c r="E12" s="4" t="s">
        <v>6</v>
      </c>
      <c r="F12" s="4" t="s">
        <v>7</v>
      </c>
    </row>
    <row r="13" spans="1:6" x14ac:dyDescent="0.25">
      <c r="A13" s="4" t="s">
        <v>4</v>
      </c>
      <c r="B13" s="4">
        <f>'Ridership Phase 2 OLD'!D17*'Distances Phase 2 OLD'!E4*Coefficient!$B$4</f>
        <v>1.0391129739437919</v>
      </c>
      <c r="C13" s="4">
        <f>'Ridership Phase 2 OLD'!E17*'Distances Phase 2 OLD'!F4*Coefficient!$B$4</f>
        <v>20.168150647747783</v>
      </c>
      <c r="D13" s="4">
        <f>'Ridership Phase 2 OLD'!F17*'Distances Phase 2 OLD'!G4*Coefficient!$B$4</f>
        <v>2.3320519137767053</v>
      </c>
      <c r="E13" s="4">
        <f>'Ridership Phase 2 OLD'!G17*'Distances Phase 2 OLD'!H4*Coefficient!$B$4</f>
        <v>11.833341626470345</v>
      </c>
      <c r="F13" s="4">
        <f>'Ridership Phase 2 OLD'!H17*'Distances Phase 2 OLD'!I4*Coefficient!$B$4</f>
        <v>21.520623606679184</v>
      </c>
    </row>
    <row r="14" spans="1:6" x14ac:dyDescent="0.25">
      <c r="A14" s="4" t="s">
        <v>3</v>
      </c>
      <c r="B14" s="4"/>
      <c r="C14" s="4">
        <f>'Ridership Phase 2 OLD'!E18*'Distances Phase 2 OLD'!F5*Coefficient!$B$4</f>
        <v>12.949144555083192</v>
      </c>
      <c r="D14" s="4">
        <f>'Ridership Phase 2 OLD'!F18*'Distances Phase 2 OLD'!G5*Coefficient!$B$4</f>
        <v>1.7400410003348346</v>
      </c>
      <c r="E14" s="4">
        <f>'Ridership Phase 2 OLD'!G18*'Distances Phase 2 OLD'!H5*Coefficient!$B$4</f>
        <v>15.40702544506442</v>
      </c>
      <c r="F14" s="4">
        <f>'Ridership Phase 2 OLD'!H18*'Distances Phase 2 OLD'!I5*Coefficient!$B$4</f>
        <v>27.10770952408393</v>
      </c>
    </row>
    <row r="15" spans="1:6" x14ac:dyDescent="0.25">
      <c r="A15" s="4" t="s">
        <v>14</v>
      </c>
      <c r="B15" s="4"/>
      <c r="C15" s="4"/>
      <c r="D15" s="4">
        <f>'Ridership Phase 2 OLD'!F19*'Distances Phase 2 OLD'!G7*Coefficient!$B$4</f>
        <v>4.7110678139050206</v>
      </c>
      <c r="E15" s="4">
        <f>'Ridership Phase 2 OLD'!G19*'Distances Phase 2 OLD'!H7*Coefficient!$B$4</f>
        <v>116.51052488631298</v>
      </c>
      <c r="F15" s="4">
        <f>'Ridership Phase 2 OLD'!H19*'Distances Phase 2 OLD'!I7*Coefficient!$B$4</f>
        <v>267.33280659499684</v>
      </c>
    </row>
    <row r="16" spans="1:6" x14ac:dyDescent="0.25">
      <c r="A16" s="4" t="s">
        <v>1</v>
      </c>
      <c r="B16" s="4"/>
      <c r="C16" s="4"/>
      <c r="D16" s="4"/>
      <c r="E16" s="4">
        <f>'Ridership Phase 2 OLD'!G20*'Distances Phase 2 OLD'!H8*Coefficient!$B$4</f>
        <v>9.3580098919323831</v>
      </c>
      <c r="F16" s="4">
        <f>'Ridership Phase 2 OLD'!H20*'Distances Phase 2 OLD'!I8*Coefficient!$B$4</f>
        <v>26.547083889891578</v>
      </c>
    </row>
    <row r="17" spans="1:6" x14ac:dyDescent="0.25">
      <c r="A17" s="4" t="s">
        <v>6</v>
      </c>
      <c r="B17" s="4"/>
      <c r="C17" s="4"/>
      <c r="D17" s="4"/>
      <c r="E17" s="4"/>
      <c r="F17" s="4">
        <f>'Ridership Phase 2 OLD'!H21*'Distances Phase 2 OLD'!I9*Coefficient!$B$4</f>
        <v>29.737498217606838</v>
      </c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 t="s">
        <v>26</v>
      </c>
      <c r="B19" s="4">
        <f>SUM(B13:F17)</f>
        <v>568.2941925878298</v>
      </c>
      <c r="C19" s="4"/>
      <c r="D19" s="4" t="s">
        <v>36</v>
      </c>
      <c r="E19" s="4">
        <f>SUM(B13:F13)+C14</f>
        <v>69.842425323701008</v>
      </c>
      <c r="F19" s="4"/>
    </row>
    <row r="21" spans="1:6" x14ac:dyDescent="0.25">
      <c r="A21" s="4" t="s">
        <v>30</v>
      </c>
      <c r="B21" s="4">
        <f>'Construction Costs'!C6+'Construction Costs'!C7</f>
        <v>8300</v>
      </c>
      <c r="D21" s="4"/>
      <c r="E21" s="4"/>
    </row>
    <row r="23" spans="1:6" x14ac:dyDescent="0.25">
      <c r="B23" s="4" t="s">
        <v>28</v>
      </c>
      <c r="C23" t="s">
        <v>29</v>
      </c>
    </row>
    <row r="24" spans="1:6" x14ac:dyDescent="0.25">
      <c r="A24">
        <v>2021</v>
      </c>
      <c r="B24" s="7">
        <f>E9/B21</f>
        <v>6.4265006483866767E-3</v>
      </c>
      <c r="C24" s="8">
        <f>1/B24</f>
        <v>155.60567946897231</v>
      </c>
    </row>
    <row r="25" spans="1:6" x14ac:dyDescent="0.25">
      <c r="A25">
        <v>2041</v>
      </c>
      <c r="B25" s="7">
        <f>E19/B21</f>
        <v>8.4147500390001212E-3</v>
      </c>
      <c r="C25" s="8">
        <f>1/B25</f>
        <v>118.8389429710053</v>
      </c>
    </row>
  </sheetData>
  <conditionalFormatting sqref="B3:F7 B13:F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292-9B85-4A87-82A0-B2C588D42D0F}">
  <dimension ref="A1:F15"/>
  <sheetViews>
    <sheetView workbookViewId="0">
      <selection activeCell="B7" sqref="B7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56</v>
      </c>
      <c r="B1" t="s">
        <v>31</v>
      </c>
      <c r="C1" t="s">
        <v>33</v>
      </c>
      <c r="D1" t="s">
        <v>32</v>
      </c>
      <c r="E1" t="s">
        <v>96</v>
      </c>
      <c r="F1" t="s">
        <v>97</v>
      </c>
    </row>
    <row r="2" spans="1:6" x14ac:dyDescent="0.25">
      <c r="A2" t="s">
        <v>7</v>
      </c>
      <c r="B2">
        <f>'All Distances'!E3</f>
        <v>270</v>
      </c>
      <c r="C2" s="2">
        <f>'All Ridership 2021'!E3</f>
        <v>0.82102311713360121</v>
      </c>
      <c r="D2" s="2">
        <f>'All Ridership 2041'!E3</f>
        <v>1.0784634072144481</v>
      </c>
      <c r="E2" s="4">
        <f>C2*$B2*Coefficient!$B$4</f>
        <v>19.211940940926269</v>
      </c>
      <c r="F2" s="4">
        <f>D2*$B2*Coefficient!$B$4</f>
        <v>25.236043728818089</v>
      </c>
    </row>
    <row r="3" spans="1:6" x14ac:dyDescent="0.25">
      <c r="A3" t="s">
        <v>6</v>
      </c>
      <c r="B3">
        <f>'All Distances'!E4</f>
        <v>445</v>
      </c>
      <c r="C3" s="2">
        <f>'All Ridership 2021'!E4</f>
        <v>0.34710930144094587</v>
      </c>
      <c r="D3" s="2">
        <f>'All Ridership 2041'!E4</f>
        <v>0.46080601886429728</v>
      </c>
      <c r="E3" s="4">
        <f>C3*$B3*Coefficient!$B$4</f>
        <v>13.386848725572479</v>
      </c>
      <c r="F3" s="4">
        <f>D3*$B3*Coefficient!$B$4</f>
        <v>17.771752127533066</v>
      </c>
    </row>
    <row r="4" spans="1:6" x14ac:dyDescent="0.25">
      <c r="A4" t="s">
        <v>1</v>
      </c>
      <c r="B4">
        <f>'All Distances'!H6</f>
        <v>820</v>
      </c>
      <c r="C4" s="2">
        <f>'All Ridership 2021'!H6</f>
        <v>4.4828431258350634E-2</v>
      </c>
      <c r="D4" s="2">
        <f>'All Ridership 2041'!H6</f>
        <v>5.8884849532309082E-2</v>
      </c>
      <c r="E4" s="4">
        <f>C4*$B4*Coefficient!$B$4</f>
        <v>3.1858071814267852</v>
      </c>
      <c r="F4" s="4">
        <f>D4*$B4*Coefficient!$B$4</f>
        <v>4.1847499734294322</v>
      </c>
    </row>
    <row r="5" spans="1:6" x14ac:dyDescent="0.25">
      <c r="A5" t="s">
        <v>0</v>
      </c>
      <c r="B5">
        <f>'All Distances'!E2</f>
        <v>870</v>
      </c>
      <c r="C5" s="2">
        <f>'All Ridership 2021'!E2</f>
        <v>0.37508517232376282</v>
      </c>
      <c r="D5" s="2">
        <f>'All Ridership 2041'!E2</f>
        <v>0.57466767090718285</v>
      </c>
      <c r="E5" s="4">
        <f>C5*$B5*Coefficient!$B$4</f>
        <v>28.281421993211719</v>
      </c>
      <c r="F5" s="4">
        <f>D5*$B5*Coefficient!$B$4</f>
        <v>43.329942386401591</v>
      </c>
    </row>
    <row r="6" spans="1:6" x14ac:dyDescent="0.25">
      <c r="A6" t="s">
        <v>38</v>
      </c>
      <c r="B6">
        <f>B5</f>
        <v>870</v>
      </c>
      <c r="C6" s="2">
        <f>'All Ridership 2021'!E5</f>
        <v>7.9592382809458059E-2</v>
      </c>
      <c r="D6" s="2">
        <f>'All Ridership 2041'!E5</f>
        <v>0.10454939764995301</v>
      </c>
      <c r="E6" s="4">
        <f>C6*$B6*Coefficient!$B$4</f>
        <v>6.0012656638331379</v>
      </c>
      <c r="F6" s="4">
        <f>D6*$B6*Coefficient!$B$4</f>
        <v>7.8830245828064571</v>
      </c>
    </row>
    <row r="7" spans="1:6" x14ac:dyDescent="0.25">
      <c r="A7" t="s">
        <v>3</v>
      </c>
      <c r="B7">
        <f>B5</f>
        <v>870</v>
      </c>
      <c r="C7" s="2">
        <f>'All Ridership 2021'!F6</f>
        <v>4.3857616118127121E-2</v>
      </c>
      <c r="D7" s="2">
        <f>'All Ridership 2041'!F6</f>
        <v>5.4516061344838239E-2</v>
      </c>
      <c r="E7" s="4">
        <f>C7*$B7*Coefficient!$B$4</f>
        <v>3.3068642553067846</v>
      </c>
      <c r="F7" s="4">
        <f>D7*$B7*Coefficient!$B$4</f>
        <v>4.110511025400803</v>
      </c>
    </row>
    <row r="9" spans="1:6" x14ac:dyDescent="0.25">
      <c r="B9" t="s">
        <v>39</v>
      </c>
      <c r="C9" s="2">
        <f>SUM(C2:C7)</f>
        <v>1.7114960210842456</v>
      </c>
      <c r="D9" s="2">
        <f>SUM(D2:D7)</f>
        <v>2.3318874055130285</v>
      </c>
      <c r="E9" s="6">
        <f>SUM(E2:E7)</f>
        <v>73.374148760277166</v>
      </c>
      <c r="F9" s="6">
        <f>SUM(F2:F7)</f>
        <v>102.51602382438944</v>
      </c>
    </row>
    <row r="11" spans="1:6" x14ac:dyDescent="0.25">
      <c r="A11" t="s">
        <v>30</v>
      </c>
      <c r="B11" s="4">
        <f>'Construction Costs'!C13</f>
        <v>6120</v>
      </c>
    </row>
    <row r="13" spans="1:6" x14ac:dyDescent="0.25">
      <c r="B13" s="4" t="s">
        <v>28</v>
      </c>
      <c r="C13" t="s">
        <v>29</v>
      </c>
    </row>
    <row r="14" spans="1:6" x14ac:dyDescent="0.25">
      <c r="A14">
        <v>2021</v>
      </c>
      <c r="B14" s="7">
        <f>E9/B11</f>
        <v>1.1989239993509341E-2</v>
      </c>
      <c r="C14" s="8">
        <f>1/B14</f>
        <v>83.408122661767862</v>
      </c>
    </row>
    <row r="15" spans="1:6" x14ac:dyDescent="0.25">
      <c r="A15">
        <v>2041</v>
      </c>
      <c r="B15" s="7">
        <f>F9/B11</f>
        <v>1.6750984285030954E-2</v>
      </c>
      <c r="C15" s="8">
        <f>1/B15</f>
        <v>59.697984487611386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6A9-9053-47E1-8B08-F479F64F94D1}">
  <dimension ref="A2:F17"/>
  <sheetViews>
    <sheetView workbookViewId="0">
      <selection activeCell="J17" sqref="J17"/>
    </sheetView>
  </sheetViews>
  <sheetFormatPr defaultRowHeight="15" x14ac:dyDescent="0.25"/>
  <cols>
    <col min="2" max="2" width="10.5703125" bestFit="1" customWidth="1"/>
  </cols>
  <sheetData>
    <row r="2" spans="1:6" x14ac:dyDescent="0.25">
      <c r="B2" t="s">
        <v>31</v>
      </c>
      <c r="C2" t="s">
        <v>33</v>
      </c>
      <c r="D2" t="s">
        <v>32</v>
      </c>
      <c r="E2" t="s">
        <v>34</v>
      </c>
      <c r="F2" t="s">
        <v>35</v>
      </c>
    </row>
    <row r="3" spans="1:6" x14ac:dyDescent="0.25">
      <c r="A3" t="s">
        <v>4</v>
      </c>
      <c r="B3">
        <f>'All Distances'!I8</f>
        <v>175</v>
      </c>
      <c r="C3" s="2">
        <f>'All Ridership 2021'!I8</f>
        <v>9.5783399793430979E-2</v>
      </c>
      <c r="D3" s="2">
        <f>'All Ridership 2041'!I8</f>
        <v>0.11450336728854525</v>
      </c>
      <c r="E3" s="4">
        <f>C3*$B3*Coefficient!$B$4</f>
        <v>1.4527148968670367</v>
      </c>
      <c r="F3" s="4">
        <f>D3*$B3*Coefficient!$B$4</f>
        <v>1.7366344038762698</v>
      </c>
    </row>
    <row r="4" spans="1:6" x14ac:dyDescent="0.25">
      <c r="A4" t="s">
        <v>3</v>
      </c>
      <c r="B4">
        <f>'All Distances'!I7</f>
        <v>255</v>
      </c>
      <c r="C4" s="2">
        <f>'All Ridership 2021'!I7</f>
        <v>9.5783399793430979E-2</v>
      </c>
      <c r="D4" s="2">
        <f>'All Ridership 2041'!I7</f>
        <v>0.12953158811425566</v>
      </c>
      <c r="E4" s="4">
        <f>C4*$B4*Coefficient!$B$4</f>
        <v>2.1168131354348247</v>
      </c>
      <c r="F4" s="4">
        <f>D4*$B4*Coefficient!$B$4</f>
        <v>2.8626480973250503</v>
      </c>
    </row>
    <row r="5" spans="1:6" x14ac:dyDescent="0.25">
      <c r="A5" t="s">
        <v>38</v>
      </c>
      <c r="B5">
        <f>'All Distances'!I5</f>
        <v>455</v>
      </c>
      <c r="C5" s="2">
        <f>'All Ridership 2021'!I5</f>
        <v>0.1667685852891784</v>
      </c>
      <c r="D5" s="2">
        <f>'All Ridership 2041'!I5</f>
        <v>0.23832536423598277</v>
      </c>
      <c r="E5" s="4">
        <f>C5*$B5*Coefficient!$B$4</f>
        <v>6.5762412132366013</v>
      </c>
      <c r="F5" s="4">
        <f>D5*$B5*Coefficient!$B$4</f>
        <v>9.3979635297055886</v>
      </c>
    </row>
    <row r="6" spans="1:6" x14ac:dyDescent="0.25">
      <c r="A6" t="s">
        <v>0</v>
      </c>
      <c r="B6">
        <f>'All Distances'!I2</f>
        <v>360</v>
      </c>
      <c r="C6" s="2">
        <f>'All Ridership 2021'!I2</f>
        <v>0.65223544479009132</v>
      </c>
      <c r="D6" s="2">
        <f>'All Ridership 2041'!I2</f>
        <v>1.0871694955165432</v>
      </c>
      <c r="E6" s="4">
        <f>C6*$B6*Coefficient!$B$4</f>
        <v>20.34974587745085</v>
      </c>
      <c r="F6" s="4">
        <f>D6*$B6*Coefficient!$B$4</f>
        <v>33.919688260116146</v>
      </c>
    </row>
    <row r="7" spans="1:6" x14ac:dyDescent="0.25">
      <c r="A7" t="s">
        <v>1</v>
      </c>
      <c r="B7">
        <f>'All Distances'!I9</f>
        <v>410</v>
      </c>
      <c r="C7" s="2">
        <f>'All Ridership 2021'!I9</f>
        <v>6.9249595483546242E-2</v>
      </c>
      <c r="D7" s="2">
        <f>'All Ridership 2041'!I9</f>
        <v>9.8963093307967084E-2</v>
      </c>
      <c r="E7" s="4">
        <f>C7*$B7*Coefficient!$B$4</f>
        <v>2.4606689595153433</v>
      </c>
      <c r="F7" s="4">
        <f>D7*$B7*Coefficient!$B$4</f>
        <v>3.5164885822097638</v>
      </c>
    </row>
    <row r="8" spans="1:6" x14ac:dyDescent="0.25">
      <c r="A8" t="s">
        <v>6</v>
      </c>
      <c r="B8">
        <f>'All Distances'!I4</f>
        <v>785</v>
      </c>
      <c r="C8" s="2">
        <f>'All Ridership 2021'!I4</f>
        <v>8.0880336640306791E-2</v>
      </c>
      <c r="D8" s="2">
        <f>'All Ridership 2041'!I4</f>
        <v>0.11681559734902502</v>
      </c>
      <c r="E8" s="4">
        <f>C8*$B8*Coefficient!$B$4</f>
        <v>5.5025589027622059</v>
      </c>
      <c r="F8" s="4">
        <f>D8*$B8*Coefficient!$B$4</f>
        <v>7.9473544729786694</v>
      </c>
    </row>
    <row r="9" spans="1:6" x14ac:dyDescent="0.25">
      <c r="A9" t="s">
        <v>7</v>
      </c>
      <c r="B9">
        <f>'All Distances'!I3</f>
        <v>960</v>
      </c>
      <c r="C9" s="2">
        <f>'All Ridership 2021'!I3</f>
        <v>0.1279171961894946</v>
      </c>
      <c r="D9" s="2">
        <f>'All Ridership 2041'!I3</f>
        <v>0.18280368764323379</v>
      </c>
      <c r="E9" s="4">
        <f>C9*$B9*Coefficient!$B$4</f>
        <v>10.642710722965951</v>
      </c>
      <c r="F9" s="4">
        <f>D9*$B9*Coefficient!$B$4</f>
        <v>15.209266811917052</v>
      </c>
    </row>
    <row r="11" spans="1:6" x14ac:dyDescent="0.25">
      <c r="B11" t="s">
        <v>39</v>
      </c>
      <c r="C11" s="2">
        <f>SUM(C3:C9)</f>
        <v>1.2886179579794792</v>
      </c>
      <c r="D11" s="2">
        <f>SUM(D3:D9)</f>
        <v>1.9681121934555528</v>
      </c>
      <c r="E11" s="6">
        <f>SUM(E3:E9)</f>
        <v>49.10145370823281</v>
      </c>
      <c r="F11" s="6">
        <f>SUM(F3:F9)</f>
        <v>74.590044158128535</v>
      </c>
    </row>
    <row r="13" spans="1:6" x14ac:dyDescent="0.25">
      <c r="A13" t="s">
        <v>30</v>
      </c>
      <c r="B13" s="4">
        <f>'Construction Costs'!C5</f>
        <v>7200</v>
      </c>
    </row>
    <row r="15" spans="1:6" x14ac:dyDescent="0.25">
      <c r="B15" s="4" t="s">
        <v>28</v>
      </c>
      <c r="C15" t="s">
        <v>29</v>
      </c>
    </row>
    <row r="16" spans="1:6" x14ac:dyDescent="0.25">
      <c r="A16">
        <v>2021</v>
      </c>
      <c r="B16" s="7">
        <f>E11/B13</f>
        <v>6.8196463483656683E-3</v>
      </c>
      <c r="C16" s="8">
        <f>1/B16</f>
        <v>146.63516976062115</v>
      </c>
    </row>
    <row r="17" spans="1:3" x14ac:dyDescent="0.25">
      <c r="A17">
        <v>2041</v>
      </c>
      <c r="B17" s="7">
        <f>F11/B13</f>
        <v>1.035972835529563E-2</v>
      </c>
      <c r="C17" s="8">
        <f>1/B17</f>
        <v>96.527627530776456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8C57-5DE3-4311-8895-0C75FEF12B97}">
  <dimension ref="A1:I9"/>
  <sheetViews>
    <sheetView workbookViewId="0">
      <selection activeCell="G4" sqref="G4"/>
    </sheetView>
  </sheetViews>
  <sheetFormatPr defaultRowHeight="15" x14ac:dyDescent="0.25"/>
  <sheetData>
    <row r="1" spans="1:9" x14ac:dyDescent="0.25">
      <c r="B1" t="s">
        <v>5</v>
      </c>
      <c r="C1" t="s">
        <v>4</v>
      </c>
      <c r="D1" t="s">
        <v>38</v>
      </c>
      <c r="E1" t="s">
        <v>3</v>
      </c>
      <c r="F1" t="s">
        <v>0</v>
      </c>
      <c r="G1" t="s">
        <v>1</v>
      </c>
      <c r="H1" t="s">
        <v>6</v>
      </c>
      <c r="I1" t="s">
        <v>7</v>
      </c>
    </row>
    <row r="2" spans="1:9" x14ac:dyDescent="0.25">
      <c r="A2" t="s">
        <v>10</v>
      </c>
      <c r="B2">
        <f>'All Distances'!K10</f>
        <v>5</v>
      </c>
      <c r="C2">
        <f>'All Distances'!K8</f>
        <v>180</v>
      </c>
      <c r="D2">
        <f>'All Distances'!K5</f>
        <v>460</v>
      </c>
      <c r="E2">
        <f>'All Distances'!K7</f>
        <v>260</v>
      </c>
      <c r="F2">
        <f>'All Distances'!K2</f>
        <v>365</v>
      </c>
      <c r="G2">
        <f>'All Distances'!K9</f>
        <v>415</v>
      </c>
      <c r="H2">
        <f>'All Distances'!K4</f>
        <v>790</v>
      </c>
      <c r="I2">
        <f>'All Distances'!K3</f>
        <v>965</v>
      </c>
    </row>
    <row r="3" spans="1:9" x14ac:dyDescent="0.25">
      <c r="A3" t="s">
        <v>5</v>
      </c>
      <c r="C3">
        <f>'All Distances'!I8</f>
        <v>175</v>
      </c>
      <c r="D3">
        <f>'All Distances'!I5</f>
        <v>455</v>
      </c>
      <c r="E3">
        <f>'All Distances'!I7</f>
        <v>255</v>
      </c>
      <c r="F3">
        <f>'All Distances'!I2</f>
        <v>360</v>
      </c>
      <c r="G3">
        <f>'All Distances'!I9</f>
        <v>410</v>
      </c>
      <c r="H3">
        <f>'All Distances'!I4</f>
        <v>785</v>
      </c>
      <c r="I3">
        <f>'All Distances'!I3</f>
        <v>960</v>
      </c>
    </row>
    <row r="4" spans="1:9" x14ac:dyDescent="0.25">
      <c r="A4" t="s">
        <v>4</v>
      </c>
      <c r="E4">
        <f>'All Distances'!G7</f>
        <v>80</v>
      </c>
      <c r="F4">
        <f>'All Distances'!G2</f>
        <v>185</v>
      </c>
      <c r="G4">
        <f>'All Distances'!H8</f>
        <v>235</v>
      </c>
      <c r="H4">
        <f>'All Distances'!G4</f>
        <v>610</v>
      </c>
      <c r="I4">
        <f>'All Distances'!G3</f>
        <v>785</v>
      </c>
    </row>
    <row r="5" spans="1:9" x14ac:dyDescent="0.25">
      <c r="A5" t="s">
        <v>3</v>
      </c>
      <c r="F5">
        <f>'All Distances'!F2</f>
        <v>105</v>
      </c>
      <c r="G5">
        <f>'All Distances'!H7</f>
        <v>155</v>
      </c>
      <c r="H5">
        <f>'All Distances'!F4</f>
        <v>530</v>
      </c>
      <c r="I5">
        <f>'All Distances'!F3</f>
        <v>705</v>
      </c>
    </row>
    <row r="6" spans="1:9" x14ac:dyDescent="0.25">
      <c r="A6" t="s">
        <v>2</v>
      </c>
      <c r="G6">
        <f>G7</f>
        <v>50</v>
      </c>
      <c r="H6">
        <f t="shared" ref="H6:I6" si="0">H7</f>
        <v>425</v>
      </c>
      <c r="I6">
        <f t="shared" si="0"/>
        <v>600</v>
      </c>
    </row>
    <row r="7" spans="1:9" x14ac:dyDescent="0.25">
      <c r="A7" t="s">
        <v>0</v>
      </c>
      <c r="G7">
        <f>'All Distances'!H2</f>
        <v>50</v>
      </c>
      <c r="H7">
        <f>'All Distances'!C2</f>
        <v>425</v>
      </c>
      <c r="I7">
        <f>'All Distances'!B2</f>
        <v>600</v>
      </c>
    </row>
    <row r="8" spans="1:9" x14ac:dyDescent="0.25">
      <c r="A8" t="s">
        <v>1</v>
      </c>
      <c r="H8">
        <f>'All Distances'!H4</f>
        <v>375</v>
      </c>
      <c r="I8">
        <f>'All Distances'!H3</f>
        <v>550</v>
      </c>
    </row>
    <row r="9" spans="1:9" x14ac:dyDescent="0.25">
      <c r="A9" t="s">
        <v>6</v>
      </c>
      <c r="I9">
        <f>'All Distances'!C3</f>
        <v>175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E87A-E6DD-448C-9D46-C9B9997307C6}">
  <dimension ref="A1:O24"/>
  <sheetViews>
    <sheetView topLeftCell="A10" workbookViewId="0">
      <selection activeCell="D17" sqref="D17"/>
    </sheetView>
  </sheetViews>
  <sheetFormatPr defaultRowHeight="15" x14ac:dyDescent="0.25"/>
  <sheetData>
    <row r="1" spans="1:15" x14ac:dyDescent="0.25">
      <c r="A1">
        <v>2021</v>
      </c>
    </row>
    <row r="2" spans="1:15" x14ac:dyDescent="0.25">
      <c r="A2" t="s">
        <v>46</v>
      </c>
      <c r="B2" t="s">
        <v>4</v>
      </c>
      <c r="C2" t="s">
        <v>38</v>
      </c>
      <c r="D2" t="s">
        <v>3</v>
      </c>
      <c r="E2" t="s">
        <v>0</v>
      </c>
      <c r="F2" t="s">
        <v>1</v>
      </c>
      <c r="G2" t="s">
        <v>6</v>
      </c>
      <c r="H2" t="s">
        <v>7</v>
      </c>
    </row>
    <row r="3" spans="1:15" x14ac:dyDescent="0.25">
      <c r="A3" t="s">
        <v>10</v>
      </c>
      <c r="B3" s="2">
        <f>'All Ridership 2021'!K8</f>
        <v>0.21515745727175073</v>
      </c>
      <c r="C3" s="2">
        <f>'All Ridership 2021'!K5</f>
        <v>0.37461089125056873</v>
      </c>
      <c r="D3" s="2">
        <f>'All Ridership 2021'!K7</f>
        <v>0.21515745727175073</v>
      </c>
      <c r="E3" s="2">
        <f>'All Ridership 2021'!K2</f>
        <v>1.4651110750525871</v>
      </c>
      <c r="F3" s="2">
        <f>'All Ridership 2021'!K9</f>
        <v>0.15555479251592577</v>
      </c>
      <c r="G3" s="2">
        <f>'All Ridership 2021'!K4</f>
        <v>0.17938835037256404</v>
      </c>
      <c r="H3" s="2">
        <f>'All Ridership 2021'!K3</f>
        <v>0.1486404158011907</v>
      </c>
      <c r="K3" s="2"/>
      <c r="O3" s="2"/>
    </row>
    <row r="4" spans="1:15" x14ac:dyDescent="0.25">
      <c r="A4" t="s">
        <v>5</v>
      </c>
      <c r="B4" s="2">
        <f>'All Ridership 2021'!I8</f>
        <v>9.5783399793430979E-2</v>
      </c>
      <c r="C4" s="2">
        <f>'All Ridership 2021'!I5</f>
        <v>0.1667685852891784</v>
      </c>
      <c r="D4" s="2">
        <f>'All Ridership 2021'!I7</f>
        <v>9.5783399793430979E-2</v>
      </c>
      <c r="E4" s="2">
        <f>'All Ridership 2021'!I2</f>
        <v>0.65223544479009132</v>
      </c>
      <c r="F4" s="2">
        <f>'All Ridership 2021'!I9</f>
        <v>6.9249595483546242E-2</v>
      </c>
      <c r="G4" s="2">
        <f>'All Ridership 2021'!I4</f>
        <v>8.0880336640306791E-2</v>
      </c>
      <c r="H4" s="2">
        <f>'All Ridership 2021'!I3</f>
        <v>0.1279171961894946</v>
      </c>
      <c r="K4" s="2"/>
      <c r="O4" s="2"/>
    </row>
    <row r="5" spans="1:15" x14ac:dyDescent="0.25">
      <c r="A5" t="s">
        <v>4</v>
      </c>
      <c r="D5" s="2">
        <f>'All Ridership 2021'!G7</f>
        <v>0.13248394610720998</v>
      </c>
      <c r="E5" s="2">
        <f>'All Ridership 2021'!G2</f>
        <v>0.90214719568462021</v>
      </c>
      <c r="F5" s="2">
        <f>'All Ridership 2021'!H8</f>
        <v>9.5783399793430979E-2</v>
      </c>
      <c r="G5" s="2">
        <f>'All Ridership 2021'!G4</f>
        <v>0.18526594709220398</v>
      </c>
      <c r="H5" s="2">
        <f>'All Ridership 2021'!G3</f>
        <v>0.26460929238106673</v>
      </c>
      <c r="K5" s="2"/>
      <c r="O5" s="2"/>
    </row>
    <row r="6" spans="1:15" x14ac:dyDescent="0.25">
      <c r="A6" t="s">
        <v>3</v>
      </c>
      <c r="E6" s="2">
        <f>'All Ridership 2021'!F2</f>
        <v>0.90214719568462021</v>
      </c>
      <c r="F6" s="2">
        <f>'All Ridership 2021'!H7</f>
        <v>9.5783399793430979E-2</v>
      </c>
      <c r="G6" s="2">
        <f>'All Ridership 2021'!F4</f>
        <v>0.24541637206482414</v>
      </c>
      <c r="H6" s="2">
        <f>'All Ridership 2021'!F3</f>
        <v>0.3280697373321721</v>
      </c>
      <c r="K6" s="2"/>
      <c r="O6" s="2"/>
    </row>
    <row r="7" spans="1:15" x14ac:dyDescent="0.25">
      <c r="A7" t="s">
        <v>38</v>
      </c>
      <c r="E7" s="2"/>
      <c r="F7" s="2">
        <f>'All Ridership 2021'!H5</f>
        <v>0.1667685852891784</v>
      </c>
      <c r="G7" s="2">
        <f>'All Ridership 2021'!D4</f>
        <v>0.46146515716204151</v>
      </c>
      <c r="H7" s="2">
        <f>'All Ridership 2021'!D3</f>
        <v>0.6050444177779446</v>
      </c>
      <c r="K7" s="2"/>
      <c r="O7" s="2"/>
    </row>
    <row r="8" spans="1:15" x14ac:dyDescent="0.25">
      <c r="A8" t="s">
        <v>0</v>
      </c>
      <c r="F8" s="2">
        <f>'All Ridership 2021'!H2</f>
        <v>0.65223544479009132</v>
      </c>
      <c r="G8" s="2">
        <f>'All Ridership 2021'!C2</f>
        <v>1.8777138532895898</v>
      </c>
      <c r="H8" s="2">
        <f>'All Ridership 2021'!B2</f>
        <v>3.084296011437591</v>
      </c>
      <c r="K8" s="2"/>
      <c r="N8" s="2"/>
      <c r="O8" s="2"/>
    </row>
    <row r="9" spans="1:15" x14ac:dyDescent="0.25">
      <c r="A9" t="s">
        <v>1</v>
      </c>
      <c r="G9" s="2">
        <f>'All Ridership 2021'!H4</f>
        <v>0.19936194178469219</v>
      </c>
      <c r="H9" s="2">
        <f>'All Ridership 2021'!H3</f>
        <v>0.38971400994458916</v>
      </c>
      <c r="K9" s="2"/>
      <c r="N9" s="2"/>
      <c r="O9" s="2"/>
    </row>
    <row r="10" spans="1:15" x14ac:dyDescent="0.25">
      <c r="A10" t="s">
        <v>6</v>
      </c>
      <c r="H10" s="2">
        <f>'All Ridership 2021'!C3</f>
        <v>1.3575517788529452</v>
      </c>
      <c r="K10" s="2"/>
      <c r="N10" s="2"/>
      <c r="O10" s="2"/>
    </row>
    <row r="11" spans="1:15" x14ac:dyDescent="0.25">
      <c r="K11" s="2"/>
      <c r="N11" s="2"/>
      <c r="O11" s="2"/>
    </row>
    <row r="14" spans="1:15" x14ac:dyDescent="0.25">
      <c r="A14">
        <v>2041</v>
      </c>
    </row>
    <row r="15" spans="1:15" x14ac:dyDescent="0.25">
      <c r="A15" t="s">
        <v>46</v>
      </c>
      <c r="B15" t="s">
        <v>4</v>
      </c>
      <c r="C15" t="s">
        <v>38</v>
      </c>
      <c r="D15" t="s">
        <v>3</v>
      </c>
      <c r="E15" t="s">
        <v>0</v>
      </c>
      <c r="F15" t="s">
        <v>1</v>
      </c>
      <c r="G15" t="s">
        <v>6</v>
      </c>
      <c r="H15" t="s">
        <v>7</v>
      </c>
    </row>
    <row r="16" spans="1:15" x14ac:dyDescent="0.25">
      <c r="A16" t="s">
        <v>10</v>
      </c>
      <c r="B16" s="2">
        <f>'All Ridership 2041'!K8</f>
        <v>0.20729732326374742</v>
      </c>
      <c r="C16" s="2">
        <f>'All Ridership 2041'!K5</f>
        <v>0.43146512842263968</v>
      </c>
      <c r="D16" s="2">
        <f>'All Ridership 2041'!K7</f>
        <v>0.23450447030542151</v>
      </c>
      <c r="E16" s="2">
        <f>'All Ridership 2041'!K2</f>
        <v>1.9682157100817717</v>
      </c>
      <c r="F16" s="2">
        <f>'All Ridership 2041'!K9</f>
        <v>0.17916315328042157</v>
      </c>
      <c r="G16" s="2">
        <f>'All Ridership 2041'!K4</f>
        <v>0.20881485974804731</v>
      </c>
      <c r="H16" s="2">
        <f>'All Ridership 2041'!K3</f>
        <v>0.17119939006140134</v>
      </c>
      <c r="K16" s="2"/>
    </row>
    <row r="17" spans="1:11" x14ac:dyDescent="0.25">
      <c r="A17" t="s">
        <v>5</v>
      </c>
      <c r="B17" s="2">
        <f>'All Ridership 2041'!I8</f>
        <v>0.11450336728854525</v>
      </c>
      <c r="C17" s="2">
        <f>'All Ridership 2041'!I5</f>
        <v>0.23832536423598277</v>
      </c>
      <c r="D17" s="2">
        <f>'All Ridership 2041'!I7</f>
        <v>0.12953158811425566</v>
      </c>
      <c r="E17" s="2">
        <f>'All Ridership 2041'!I2</f>
        <v>1.0871694955165432</v>
      </c>
      <c r="F17" s="2">
        <f>'All Ridership 2041'!I9</f>
        <v>9.8963093307967084E-2</v>
      </c>
      <c r="G17" s="2">
        <f>'All Ridership 2041'!I4</f>
        <v>0.11681559734902502</v>
      </c>
      <c r="H17" s="2">
        <f>'All Ridership 2041'!I3</f>
        <v>0.18280368764323379</v>
      </c>
      <c r="K17" s="2"/>
    </row>
    <row r="18" spans="1:11" x14ac:dyDescent="0.25">
      <c r="A18" t="s">
        <v>4</v>
      </c>
      <c r="D18" s="2">
        <f>'All Ridership 2041'!G7</f>
        <v>0.14987206354958535</v>
      </c>
      <c r="E18" s="2">
        <f>'All Ridership 2041'!G2</f>
        <v>1.2578888137888429</v>
      </c>
      <c r="F18" s="2">
        <f>'All Ridership 2041'!H8</f>
        <v>0.11450336728854525</v>
      </c>
      <c r="G18" s="2">
        <f>'All Ridership 2041'!G4</f>
        <v>0.22383370037459668</v>
      </c>
      <c r="H18" s="2">
        <f>'All Ridership 2041'!G3</f>
        <v>0.31632469779538241</v>
      </c>
      <c r="K18" s="2"/>
    </row>
    <row r="19" spans="1:11" x14ac:dyDescent="0.25">
      <c r="A19" t="s">
        <v>3</v>
      </c>
      <c r="E19" s="2">
        <f>'All Ridership 2041'!F2</f>
        <v>1.4229829181410101</v>
      </c>
      <c r="F19" s="2">
        <f>'All Ridership 2041'!H7</f>
        <v>0.12953158811425566</v>
      </c>
      <c r="G19" s="2">
        <f>'All Ridership 2041'!F4</f>
        <v>0.33542145381127181</v>
      </c>
      <c r="H19" s="2">
        <f>'All Ridership 2041'!F3</f>
        <v>0.44366136700628361</v>
      </c>
      <c r="K19" s="2"/>
    </row>
    <row r="20" spans="1:11" x14ac:dyDescent="0.25">
      <c r="A20" t="s">
        <v>38</v>
      </c>
      <c r="E20" s="2"/>
      <c r="F20" s="2">
        <f>'All Ridership 2041'!H5</f>
        <v>0.23832536423598277</v>
      </c>
      <c r="G20" s="2">
        <f>'All Ridership 2041'!D4</f>
        <v>0.66649485188692115</v>
      </c>
      <c r="H20" s="2">
        <f>'All Ridership 2041'!D3</f>
        <v>0.86465584028213094</v>
      </c>
      <c r="K20" s="2"/>
    </row>
    <row r="21" spans="1:11" x14ac:dyDescent="0.25">
      <c r="A21" t="s">
        <v>0</v>
      </c>
      <c r="F21" s="2">
        <f>'All Ridership 2041'!H2</f>
        <v>1.0871694955165432</v>
      </c>
      <c r="G21" s="2">
        <f>'All Ridership 2041'!C2</f>
        <v>3.163181671121619</v>
      </c>
      <c r="H21" s="2">
        <f>'All Ridership 2041'!B2</f>
        <v>5.1410155114422471</v>
      </c>
      <c r="K21" s="2"/>
    </row>
    <row r="22" spans="1:11" x14ac:dyDescent="0.25">
      <c r="A22" t="s">
        <v>1</v>
      </c>
      <c r="G22" s="2">
        <f>'All Ridership 2041'!H4</f>
        <v>0.28793876590561179</v>
      </c>
      <c r="H22" s="2">
        <f>'All Ridership 2041'!H3</f>
        <v>0.55693182985786527</v>
      </c>
      <c r="K22" s="2"/>
    </row>
    <row r="23" spans="1:11" x14ac:dyDescent="0.25">
      <c r="A23" t="s">
        <v>6</v>
      </c>
      <c r="H23" s="2">
        <f>'All Ridership 2041'!C3</f>
        <v>1.9607141681938574</v>
      </c>
      <c r="K23" s="2"/>
    </row>
    <row r="24" spans="1:11" x14ac:dyDescent="0.25">
      <c r="K24" s="2"/>
    </row>
  </sheetData>
  <conditionalFormatting sqref="B16:H23 B3:H10">
    <cfRule type="colorScale" priority="13">
      <colorScale>
        <cfvo type="min"/>
        <cfvo type="max"/>
        <color rgb="FFFCFCFF"/>
        <color rgb="FFF8696B"/>
      </colorScale>
    </cfRule>
  </conditionalFormatting>
  <conditionalFormatting sqref="K16:K24 K3:K1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425D-D6CE-4F1F-869D-B9C961BA119E}">
  <dimension ref="A1:H31"/>
  <sheetViews>
    <sheetView topLeftCell="A15" workbookViewId="0">
      <selection activeCell="G19" sqref="G19"/>
    </sheetView>
  </sheetViews>
  <sheetFormatPr defaultRowHeight="15" x14ac:dyDescent="0.25"/>
  <cols>
    <col min="2" max="2" width="12.7109375" customWidth="1"/>
  </cols>
  <sheetData>
    <row r="1" spans="1:8" x14ac:dyDescent="0.25">
      <c r="A1">
        <v>2021</v>
      </c>
    </row>
    <row r="2" spans="1:8" x14ac:dyDescent="0.25">
      <c r="A2" t="s">
        <v>46</v>
      </c>
      <c r="B2" t="s">
        <v>4</v>
      </c>
      <c r="C2" t="s">
        <v>38</v>
      </c>
      <c r="D2" t="s">
        <v>3</v>
      </c>
      <c r="E2" t="s">
        <v>0</v>
      </c>
      <c r="F2" t="s">
        <v>1</v>
      </c>
      <c r="G2" t="s">
        <v>6</v>
      </c>
      <c r="H2" t="s">
        <v>7</v>
      </c>
    </row>
    <row r="3" spans="1:8" x14ac:dyDescent="0.25">
      <c r="A3" t="s">
        <v>10</v>
      </c>
      <c r="B3" s="4">
        <f>'Ridership Phase 3W'!C4*'Distances Phase 3W'!C3*Coefficient!$B$4</f>
        <v>3.3564563334393114</v>
      </c>
      <c r="C3" s="4">
        <f>'Ridership Phase 3W'!D4*'Distances Phase 3W'!C3*Coefficient!$B$4</f>
        <v>5.8439299035088714</v>
      </c>
      <c r="D3" s="4">
        <f>'Ridership Phase 3W'!E4*'Distances Phase 3W'!E3*Coefficient!$B$4</f>
        <v>4.8482147038567831</v>
      </c>
      <c r="E3" s="4">
        <f>'Ridership Phase 3W'!F4*'Distances Phase 3W'!F3*Coefficient!$B$4</f>
        <v>46.346347007496846</v>
      </c>
      <c r="F3" s="4">
        <f>'Ridership Phase 3W'!G4*'Distances Phase 3W'!G3*Coefficient!$B$4</f>
        <v>5.5947873708227966</v>
      </c>
      <c r="G3" s="4">
        <f>'Ridership Phase 3W'!H4*'Distances Phase 3W'!H3*Coefficient!$B$4</f>
        <v>12.282122388841552</v>
      </c>
      <c r="H3" s="4">
        <f>'Ridership Phase 3W'!I4*'Distances Phase 3W'!I3*Coefficient!$B$4</f>
        <v>12.431293441506249</v>
      </c>
    </row>
    <row r="4" spans="1:8" x14ac:dyDescent="0.25">
      <c r="A4" t="s">
        <v>5</v>
      </c>
      <c r="B4" s="4">
        <f>'Ridership Phase 3W'!C19*'Distances Phase 3W'!C18*Coefficient!$B$4</f>
        <v>1.4527148968670367</v>
      </c>
      <c r="C4" s="4">
        <f>'Ridership Phase 3W'!D19*'Distances Phase 3W'!C18*Coefficient!$B$4</f>
        <v>2.5293235435525392</v>
      </c>
      <c r="D4" s="4">
        <f>'Ridership Phase 3W'!E19*'Distances Phase 3W'!E18*Coefficient!$B$4</f>
        <v>2.1168131354348247</v>
      </c>
      <c r="E4" s="4">
        <f>'Ridership Phase 3W'!F19*'Distances Phase 3W'!F18*Coefficient!$B$4</f>
        <v>20.34974587745085</v>
      </c>
      <c r="F4" s="4">
        <f>'Ridership Phase 3W'!G19*'Distances Phase 3W'!G18*Coefficient!$B$4</f>
        <v>2.4606689595153433</v>
      </c>
      <c r="G4" s="4">
        <f>'Ridership Phase 3W'!H19*'Distances Phase 3W'!H18*Coefficient!$B$4</f>
        <v>5.5025589027622059</v>
      </c>
      <c r="H4" s="4">
        <f>'Ridership Phase 3W'!I19*'Distances Phase 3W'!I18*Coefficient!$B$4</f>
        <v>10.642710722965951</v>
      </c>
    </row>
    <row r="5" spans="1:8" x14ac:dyDescent="0.25">
      <c r="A5" t="s">
        <v>4</v>
      </c>
      <c r="B5" s="4"/>
      <c r="C5" s="4"/>
      <c r="D5" s="4">
        <f>'Ridership Phase 3W'!E20*'Distances Phase 3W'!E19*Coefficient!$B$4</f>
        <v>0.91855535967665602</v>
      </c>
      <c r="E5" s="4">
        <f>'Ridership Phase 3W'!F20*'Distances Phase 3W'!F19*Coefficient!$B$4</f>
        <v>14.464426704143412</v>
      </c>
      <c r="F5" s="4">
        <f>'Ridership Phase 3W'!G20*'Distances Phase 3W'!G19*Coefficient!$B$4</f>
        <v>1.9507885757928778</v>
      </c>
      <c r="G5" s="4">
        <f>'Ridership Phase 3W'!H20*'Distances Phase 3W'!H19*Coefficient!$B$4</f>
        <v>9.7943930696078514</v>
      </c>
      <c r="H5" s="4">
        <f>'Ridership Phase 3W'!I20*'Distances Phase 3W'!I19*Coefficient!$B$4</f>
        <v>18.002252191658574</v>
      </c>
    </row>
    <row r="6" spans="1:8" x14ac:dyDescent="0.25">
      <c r="A6" t="s">
        <v>3</v>
      </c>
      <c r="B6" s="4"/>
      <c r="C6" s="4"/>
      <c r="D6" s="4"/>
      <c r="E6" s="4">
        <f>'Ridership Phase 3W'!F21*'Distances Phase 3W'!F20*Coefficient!$B$4</f>
        <v>8.2095394807300437</v>
      </c>
      <c r="F6" s="4">
        <f>'Ridership Phase 3W'!G21*'Distances Phase 3W'!G20*Coefficient!$B$4</f>
        <v>1.2866903372250895</v>
      </c>
      <c r="G6" s="4">
        <f>'Ridership Phase 3W'!H21*'Distances Phase 3W'!H20*Coefficient!$B$4</f>
        <v>11.272792023510922</v>
      </c>
      <c r="H6" s="4">
        <f>'Ridership Phase 3W'!I21*'Distances Phase 3W'!I20*Coefficient!$B$4</f>
        <v>20.045060950995715</v>
      </c>
    </row>
    <row r="7" spans="1:8" x14ac:dyDescent="0.25">
      <c r="A7" t="s">
        <v>38</v>
      </c>
      <c r="B7" s="4"/>
      <c r="C7" s="4"/>
      <c r="D7" s="4"/>
      <c r="E7" s="4"/>
      <c r="F7" s="4">
        <f>'Ridership Phase 3W'!G22*'Distances Phase 3W'!G22*Coefficient!$B$4</f>
        <v>0.7226638695864398</v>
      </c>
      <c r="G7" s="4">
        <f>'Ridership Phase 3W'!H22*'Distances Phase 3W'!H22*Coefficient!$B$4</f>
        <v>16.997299955468527</v>
      </c>
      <c r="H7" s="4">
        <f>'Ridership Phase 3W'!I22*'Distances Phase 3W'!I22*Coefficient!$B$4</f>
        <v>31.462309724453121</v>
      </c>
    </row>
    <row r="8" spans="1:8" x14ac:dyDescent="0.25">
      <c r="A8" t="s">
        <v>0</v>
      </c>
      <c r="B8" s="4"/>
      <c r="C8" s="4"/>
      <c r="D8" s="4"/>
      <c r="E8" s="4"/>
      <c r="F8" s="4">
        <f>'Ridership Phase 3W'!G23*'Distances Phase 3W'!G22*Coefficient!$B$4</f>
        <v>2.8263535940903961</v>
      </c>
      <c r="G8" s="4">
        <f>'Ridership Phase 3W'!H23*'Distances Phase 3W'!H22*Coefficient!$B$4</f>
        <v>69.162460262833221</v>
      </c>
      <c r="H8" s="4">
        <f>'Ridership Phase 3W'!I23*'Distances Phase 3W'!I22*Coefficient!$B$4</f>
        <v>160.38339259475472</v>
      </c>
    </row>
    <row r="9" spans="1:8" x14ac:dyDescent="0.25">
      <c r="A9" t="s">
        <v>1</v>
      </c>
      <c r="B9" s="4"/>
      <c r="C9" s="4"/>
      <c r="D9" s="4"/>
      <c r="E9" s="4"/>
      <c r="F9" s="4"/>
      <c r="G9" s="4">
        <f>'Ridership Phase 3W'!H24*'Distances Phase 3W'!H23*Coefficient!$B$4</f>
        <v>6.4792631080024963</v>
      </c>
      <c r="H9" s="4">
        <f>'Ridership Phase 3W'!I24*'Distances Phase 3W'!I23*Coefficient!$B$4</f>
        <v>18.57636780735875</v>
      </c>
    </row>
    <row r="10" spans="1:8" x14ac:dyDescent="0.25">
      <c r="A10" t="s">
        <v>6</v>
      </c>
      <c r="B10" s="4"/>
      <c r="C10" s="4"/>
      <c r="D10" s="4"/>
      <c r="E10" s="4"/>
      <c r="F10" s="4"/>
      <c r="G10" s="4"/>
      <c r="H10" s="4">
        <f>'Ridership Phase 3W'!I25*'Distances Phase 3W'!I24*Coefficient!$B$4</f>
        <v>20.589535312603001</v>
      </c>
    </row>
    <row r="12" spans="1:8" x14ac:dyDescent="0.25">
      <c r="A12" t="s">
        <v>26</v>
      </c>
      <c r="B12" s="6">
        <f>SUM(B3:H10)</f>
        <v>548.90183211051294</v>
      </c>
      <c r="D12" t="s">
        <v>36</v>
      </c>
      <c r="E12" s="6">
        <f>B12-'Profit Phase 1'!B9</f>
        <v>270.88445943087038</v>
      </c>
    </row>
    <row r="14" spans="1:8" x14ac:dyDescent="0.25">
      <c r="A14">
        <v>2041</v>
      </c>
    </row>
    <row r="15" spans="1:8" x14ac:dyDescent="0.25">
      <c r="A15" t="s">
        <v>46</v>
      </c>
      <c r="B15" t="s">
        <v>4</v>
      </c>
      <c r="C15" t="s">
        <v>38</v>
      </c>
      <c r="D15" t="s">
        <v>3</v>
      </c>
      <c r="E15" t="s">
        <v>0</v>
      </c>
      <c r="F15" t="s">
        <v>1</v>
      </c>
      <c r="G15" t="s">
        <v>6</v>
      </c>
      <c r="H15" t="s">
        <v>7</v>
      </c>
    </row>
    <row r="16" spans="1:8" x14ac:dyDescent="0.25">
      <c r="A16" t="s">
        <v>10</v>
      </c>
      <c r="B16" s="4">
        <f>'Ridership Phase 3W'!C32*'Distances Phase 3W'!C3*Coefficient!$B$4</f>
        <v>3.2338382429144596</v>
      </c>
      <c r="C16" s="4">
        <f>'Ridership Phase 3W'!D32*'Distances Phase 3W'!C3*Coefficient!$B$4</f>
        <v>6.7308560033931792</v>
      </c>
      <c r="D16" s="4">
        <f>'Ridership Phase 3W'!E32*'Distances Phase 3W'!E3*Coefficient!$B$4</f>
        <v>5.2841673975488312</v>
      </c>
      <c r="E16" s="4">
        <f>'Ridership Phase 3W'!F32*'Distances Phase 3W'!F3*Coefficient!$B$4</f>
        <v>62.261223628920042</v>
      </c>
      <c r="F16" s="4">
        <f>'Ridership Phase 3W'!G32*'Distances Phase 3W'!G3*Coefficient!$B$4</f>
        <v>6.443901412985829</v>
      </c>
      <c r="G16" s="4">
        <f>'Ridership Phase 3W'!H32*'Distances Phase 3W'!H3*Coefficient!$B$4</f>
        <v>14.296857397416307</v>
      </c>
      <c r="H16" s="4">
        <f>'Ridership Phase 3W'!I32*'Distances Phase 3W'!I3*Coefficient!$B$4</f>
        <v>14.317975655468533</v>
      </c>
    </row>
    <row r="17" spans="1:8" x14ac:dyDescent="0.25">
      <c r="A17" t="s">
        <v>5</v>
      </c>
      <c r="B17" s="4">
        <f>'Ridership Phase 3W'!C47*'Distances Phase 3W'!C18*Coefficient!$B$4</f>
        <v>1.7366344038762698</v>
      </c>
      <c r="C17" s="4">
        <f>'Ridership Phase 3W'!D47*'Distances Phase 3W'!C18*Coefficient!$B$4</f>
        <v>3.6146013575790725</v>
      </c>
      <c r="D17" s="4">
        <f>'Ridership Phase 3W'!E47*'Distances Phase 3W'!E18*Coefficient!$B$4</f>
        <v>2.8626480973250503</v>
      </c>
      <c r="E17" s="4">
        <f>'Ridership Phase 3W'!F47*'Distances Phase 3W'!F18*Coefficient!$B$4</f>
        <v>33.919688260116146</v>
      </c>
      <c r="F17" s="4">
        <f>'Ridership Phase 3W'!G47*'Distances Phase 3W'!G18*Coefficient!$B$4</f>
        <v>3.5164885822097638</v>
      </c>
      <c r="G17" s="4">
        <f>'Ridership Phase 3W'!H47*'Distances Phase 3W'!H18*Coefficient!$B$4</f>
        <v>7.9473544729786694</v>
      </c>
      <c r="H17" s="4">
        <f>'Ridership Phase 3W'!I47*'Distances Phase 3W'!I18*Coefficient!$B$4</f>
        <v>15.209266811917052</v>
      </c>
    </row>
    <row r="18" spans="1:8" x14ac:dyDescent="0.25">
      <c r="A18" t="s">
        <v>4</v>
      </c>
      <c r="B18" s="4"/>
      <c r="C18" s="4"/>
      <c r="D18" s="4">
        <f>'Ridership Phase 3W'!E48*'Distances Phase 3W'!E19*Coefficient!$B$4</f>
        <v>1.0391129739437919</v>
      </c>
      <c r="E18" s="4">
        <f>'Ridership Phase 3W'!F48*'Distances Phase 3W'!F19*Coefficient!$B$4</f>
        <v>20.168150647747783</v>
      </c>
      <c r="F18" s="4">
        <f>'Ridership Phase 3W'!G48*'Distances Phase 3W'!G19*Coefficient!$B$4</f>
        <v>2.3320519137767053</v>
      </c>
      <c r="G18" s="4">
        <f>'Ridership Phase 3W'!H48*'Distances Phase 3W'!H19*Coefficient!$B$4</f>
        <v>11.833341626470345</v>
      </c>
      <c r="H18" s="4">
        <f>'Ridership Phase 3W'!I48*'Distances Phase 3W'!I19*Coefficient!$B$4</f>
        <v>21.520623606679184</v>
      </c>
    </row>
    <row r="19" spans="1:8" x14ac:dyDescent="0.25">
      <c r="A19" t="s">
        <v>3</v>
      </c>
      <c r="B19" s="4"/>
      <c r="C19" s="4"/>
      <c r="D19" s="4"/>
      <c r="E19" s="4">
        <f>'Ridership Phase 3W'!F49*'Distances Phase 3W'!F20*Coefficient!$B$4</f>
        <v>12.949144555083192</v>
      </c>
      <c r="F19" s="4">
        <f>'Ridership Phase 3W'!G49*'Distances Phase 3W'!G20*Coefficient!$B$4</f>
        <v>1.7400410003348346</v>
      </c>
      <c r="G19" s="4">
        <f>'Ridership Phase 3W'!H49*'Distances Phase 3W'!H20*Coefficient!$B$4</f>
        <v>15.40702544506442</v>
      </c>
      <c r="H19" s="4">
        <f>'Ridership Phase 3W'!I49*'Distances Phase 3W'!I20*Coefficient!$B$4</f>
        <v>27.10770952408393</v>
      </c>
    </row>
    <row r="20" spans="1:8" x14ac:dyDescent="0.25">
      <c r="A20" t="s">
        <v>38</v>
      </c>
      <c r="B20" s="4"/>
      <c r="C20" s="4"/>
      <c r="D20" s="4"/>
      <c r="E20" s="4"/>
      <c r="F20" s="4">
        <f>'Ridership Phase 3W'!G50*'Distances Phase 3W'!G22*Coefficient!$B$4</f>
        <v>1.032743245022592</v>
      </c>
      <c r="G20" s="4">
        <f>'Ridership Phase 3W'!H50*'Distances Phase 3W'!H22*Coefficient!$B$4</f>
        <v>24.549227044501595</v>
      </c>
      <c r="H20" s="4">
        <f>'Ridership Phase 3W'!I50*'Distances Phase 3W'!I22*Coefficient!$B$4</f>
        <v>44.962103694670809</v>
      </c>
    </row>
    <row r="21" spans="1:8" x14ac:dyDescent="0.25">
      <c r="A21" t="s">
        <v>0</v>
      </c>
      <c r="B21" s="4"/>
      <c r="C21" s="4"/>
      <c r="D21" s="4"/>
      <c r="E21" s="4"/>
      <c r="F21" s="4">
        <f>'Ridership Phase 3W'!G51*'Distances Phase 3W'!G22*Coefficient!$B$4</f>
        <v>4.7110678139050206</v>
      </c>
      <c r="G21" s="4">
        <f>'Ridership Phase 3W'!H51*'Distances Phase 3W'!H22*Coefficient!$B$4</f>
        <v>116.51052488631298</v>
      </c>
      <c r="H21" s="4">
        <f>'Ridership Phase 3W'!I51*'Distances Phase 3W'!I22*Coefficient!$B$4</f>
        <v>267.33280659499684</v>
      </c>
    </row>
    <row r="22" spans="1:8" x14ac:dyDescent="0.25">
      <c r="A22" t="s">
        <v>1</v>
      </c>
      <c r="B22" s="4"/>
      <c r="C22" s="4"/>
      <c r="D22" s="4"/>
      <c r="E22" s="4"/>
      <c r="F22" s="4"/>
      <c r="G22" s="4">
        <f>'Ridership Phase 3W'!H52*'Distances Phase 3W'!H23*Coefficient!$B$4</f>
        <v>9.3580098919323831</v>
      </c>
      <c r="H22" s="4">
        <f>'Ridership Phase 3W'!I52*'Distances Phase 3W'!I23*Coefficient!$B$4</f>
        <v>26.547083889891578</v>
      </c>
    </row>
    <row r="23" spans="1:8" x14ac:dyDescent="0.25">
      <c r="A23" t="s">
        <v>6</v>
      </c>
      <c r="B23" s="4"/>
      <c r="C23" s="4"/>
      <c r="D23" s="4"/>
      <c r="E23" s="4"/>
      <c r="F23" s="4"/>
      <c r="G23" s="4"/>
      <c r="H23" s="4">
        <f>'Ridership Phase 3W'!I53*'Distances Phase 3W'!I24*Coefficient!$B$4</f>
        <v>29.737498217606838</v>
      </c>
    </row>
    <row r="25" spans="1:8" x14ac:dyDescent="0.25">
      <c r="A25" t="s">
        <v>26</v>
      </c>
      <c r="B25" s="6">
        <f>SUM(B16:H23)</f>
        <v>820.21376829667406</v>
      </c>
      <c r="D25" t="s">
        <v>36</v>
      </c>
      <c r="E25" s="6">
        <f>B25-'Profit Phase 1'!B19</f>
        <v>366.01677700202845</v>
      </c>
    </row>
    <row r="27" spans="1:8" x14ac:dyDescent="0.25">
      <c r="A27" s="4" t="s">
        <v>30</v>
      </c>
      <c r="B27" s="4">
        <f>SUM('Construction Costs'!C5:C7)</f>
        <v>15500</v>
      </c>
    </row>
    <row r="29" spans="1:8" x14ac:dyDescent="0.25">
      <c r="B29" s="4" t="s">
        <v>28</v>
      </c>
      <c r="C29" t="s">
        <v>29</v>
      </c>
    </row>
    <row r="30" spans="1:8" x14ac:dyDescent="0.25">
      <c r="A30">
        <v>2021</v>
      </c>
      <c r="B30" s="7">
        <f>E12/B27</f>
        <v>1.7476416737475509E-2</v>
      </c>
      <c r="C30" s="8">
        <f>1/B30</f>
        <v>57.219967629614402</v>
      </c>
    </row>
    <row r="31" spans="1:8" x14ac:dyDescent="0.25">
      <c r="A31">
        <v>2041</v>
      </c>
      <c r="B31" s="7">
        <f>E25/B27</f>
        <v>2.3613985613034093E-2</v>
      </c>
      <c r="C31" s="8">
        <f>1/B31</f>
        <v>42.347785604139396</v>
      </c>
    </row>
  </sheetData>
  <conditionalFormatting sqref="B16:H23 B3:H10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ED9B-3A4F-43B6-8E3B-3E043C6A9703}">
  <dimension ref="A1:S23"/>
  <sheetViews>
    <sheetView topLeftCell="A10" workbookViewId="0">
      <selection activeCell="B15" sqref="B15:I15"/>
    </sheetView>
  </sheetViews>
  <sheetFormatPr defaultRowHeight="15" x14ac:dyDescent="0.25"/>
  <sheetData>
    <row r="1" spans="1:19" x14ac:dyDescent="0.25">
      <c r="A1" t="s">
        <v>46</v>
      </c>
      <c r="B1" t="s">
        <v>4</v>
      </c>
      <c r="C1" t="s">
        <v>38</v>
      </c>
      <c r="D1" t="s">
        <v>3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19" x14ac:dyDescent="0.25">
      <c r="A2" t="s">
        <v>10</v>
      </c>
      <c r="B2" s="2">
        <f>'Ridership Phase 2S'!B16</f>
        <v>0.20729732326374742</v>
      </c>
      <c r="C2" s="2">
        <f>'Ridership Phase 2S'!C16</f>
        <v>0.43146512842263968</v>
      </c>
      <c r="D2" s="2">
        <f>'Ridership Phase 2S'!D16</f>
        <v>0.23450447030542151</v>
      </c>
      <c r="E2" s="2">
        <f>'Ridership Phase 2S'!E16</f>
        <v>1.9682157100817717</v>
      </c>
      <c r="F2" s="2">
        <f>'Ridership Phase 2S'!F16</f>
        <v>0.17916315328042157</v>
      </c>
      <c r="G2" s="2">
        <f>'Ridership Phase 2S'!G16</f>
        <v>0.20881485974804731</v>
      </c>
      <c r="H2" s="2">
        <f>'Ridership Phase 2S'!H16</f>
        <v>0.17119939006140134</v>
      </c>
      <c r="I2" s="2">
        <f>'All Ridership 2041'!K6</f>
        <v>2.4565566318016253E-2</v>
      </c>
    </row>
    <row r="3" spans="1:19" x14ac:dyDescent="0.25">
      <c r="A3" t="s">
        <v>5</v>
      </c>
      <c r="B3" s="2">
        <f>'Ridership Phase 2S'!B17</f>
        <v>0.11450336728854525</v>
      </c>
      <c r="C3" s="2">
        <f>'Ridership Phase 2S'!C17</f>
        <v>0.23832536423598277</v>
      </c>
      <c r="D3" s="2">
        <f>'Ridership Phase 2S'!D17</f>
        <v>0.12953158811425566</v>
      </c>
      <c r="E3" s="2">
        <f>'Ridership Phase 2S'!E17</f>
        <v>1.0871694955165432</v>
      </c>
      <c r="F3" s="2">
        <f>'Ridership Phase 2S'!F17</f>
        <v>9.8963093307967084E-2</v>
      </c>
      <c r="G3" s="2">
        <f>'Ridership Phase 2S'!G17</f>
        <v>0.11681559734902502</v>
      </c>
      <c r="H3" s="2">
        <f>'Ridership Phase 2S'!H17</f>
        <v>0.18280368764323379</v>
      </c>
      <c r="I3" s="2">
        <f>'All Ridership 2041'!I6</f>
        <v>2.6171044236581814E-2</v>
      </c>
    </row>
    <row r="4" spans="1:19" x14ac:dyDescent="0.25">
      <c r="A4" t="s">
        <v>4</v>
      </c>
      <c r="B4" s="2"/>
      <c r="C4" s="2"/>
      <c r="D4" s="2">
        <f>'Ridership Phase 2S'!D18</f>
        <v>0.14987206354958535</v>
      </c>
      <c r="E4" s="2">
        <f>'Ridership Phase 2S'!E18</f>
        <v>1.2578888137888429</v>
      </c>
      <c r="F4" s="2">
        <f>'Ridership Phase 2S'!F18</f>
        <v>0.11450336728854525</v>
      </c>
      <c r="G4" s="2">
        <f>'Ridership Phase 2S'!G18</f>
        <v>0.22383370037459668</v>
      </c>
      <c r="H4" s="2">
        <f>'Ridership Phase 2S'!H18</f>
        <v>0.31632469779538241</v>
      </c>
      <c r="I4" s="2">
        <f>'All Ridership 2041'!G6</f>
        <v>4.1159619567095476E-2</v>
      </c>
    </row>
    <row r="5" spans="1:19" x14ac:dyDescent="0.25">
      <c r="A5" t="s">
        <v>3</v>
      </c>
      <c r="B5" s="2"/>
      <c r="C5" s="2"/>
      <c r="D5" s="2"/>
      <c r="E5" s="2">
        <f>'Ridership Phase 2S'!E19</f>
        <v>1.4229829181410101</v>
      </c>
      <c r="F5" s="2">
        <f>'Ridership Phase 2S'!F19</f>
        <v>0.12953158811425566</v>
      </c>
      <c r="G5" s="2">
        <f>'Ridership Phase 2S'!G19</f>
        <v>0.33542145381127181</v>
      </c>
      <c r="H5" s="2">
        <f>'Ridership Phase 2S'!H19</f>
        <v>0.44366136700628361</v>
      </c>
      <c r="I5" s="2">
        <f>'All Ridership 2041'!F6</f>
        <v>5.4516061344838239E-2</v>
      </c>
    </row>
    <row r="6" spans="1:19" x14ac:dyDescent="0.25">
      <c r="A6" t="s">
        <v>38</v>
      </c>
      <c r="B6" s="2"/>
      <c r="C6" s="2"/>
      <c r="D6" s="2"/>
      <c r="E6" s="2"/>
      <c r="F6" s="2">
        <f>'Ridership Phase 2S'!F20</f>
        <v>0.23832536423598277</v>
      </c>
      <c r="G6" s="2">
        <f>'Ridership Phase 2S'!G20</f>
        <v>0.66649485188692115</v>
      </c>
      <c r="H6" s="2">
        <f>'Ridership Phase 2S'!H20</f>
        <v>0.86465584028213094</v>
      </c>
      <c r="I6" s="2">
        <f>'Phase 2Q'!D6</f>
        <v>0.10454939764995301</v>
      </c>
    </row>
    <row r="7" spans="1:19" x14ac:dyDescent="0.25">
      <c r="A7" t="s">
        <v>0</v>
      </c>
      <c r="B7" s="2"/>
      <c r="C7" s="2"/>
      <c r="D7" s="2"/>
      <c r="E7" s="2"/>
      <c r="F7" s="2">
        <f>'Ridership Phase 2S'!F21</f>
        <v>1.0871694955165432</v>
      </c>
      <c r="G7" s="2">
        <f>'Ridership Phase 2S'!G21</f>
        <v>3.163181671121619</v>
      </c>
      <c r="H7" s="2">
        <f>'Ridership Phase 2S'!H21</f>
        <v>5.1410155114422471</v>
      </c>
      <c r="I7" s="2">
        <f>'Phase 2Q'!D5</f>
        <v>0.57466767090718285</v>
      </c>
    </row>
    <row r="8" spans="1:19" x14ac:dyDescent="0.25">
      <c r="A8" t="s">
        <v>1</v>
      </c>
      <c r="B8" s="2"/>
      <c r="C8" s="2"/>
      <c r="D8" s="2"/>
      <c r="E8" s="2"/>
      <c r="F8" s="2"/>
      <c r="G8" s="2">
        <f>'Ridership Phase 2S'!G22</f>
        <v>0.28793876590561179</v>
      </c>
      <c r="H8" s="2">
        <f>'Ridership Phase 2S'!H22</f>
        <v>0.55693182985786527</v>
      </c>
      <c r="I8" s="2">
        <f>'Phase 2Q'!D4</f>
        <v>5.8884849532309082E-2</v>
      </c>
    </row>
    <row r="9" spans="1:19" x14ac:dyDescent="0.25">
      <c r="A9" t="s">
        <v>6</v>
      </c>
      <c r="B9" s="2"/>
      <c r="C9" s="2"/>
      <c r="D9" s="2"/>
      <c r="E9" s="2"/>
      <c r="F9" s="2"/>
      <c r="G9" s="2"/>
      <c r="H9" s="2">
        <f>'Ridership Phase 2S'!H23</f>
        <v>1.9607141681938574</v>
      </c>
      <c r="I9" s="2">
        <f>'Phase 2Q'!D3</f>
        <v>0.46080601886429728</v>
      </c>
    </row>
    <row r="10" spans="1:19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f>'Phase 2Q'!D2</f>
        <v>1.0784634072144481</v>
      </c>
    </row>
    <row r="14" spans="1:19" x14ac:dyDescent="0.25">
      <c r="A14" t="s">
        <v>46</v>
      </c>
      <c r="B14" t="s">
        <v>4</v>
      </c>
      <c r="C14" t="s">
        <v>38</v>
      </c>
      <c r="D14" t="s">
        <v>3</v>
      </c>
      <c r="E14" t="s">
        <v>0</v>
      </c>
      <c r="F14" t="s">
        <v>1</v>
      </c>
      <c r="G14" t="s">
        <v>6</v>
      </c>
      <c r="H14" t="s">
        <v>7</v>
      </c>
      <c r="I14" t="s">
        <v>8</v>
      </c>
    </row>
    <row r="15" spans="1:19" x14ac:dyDescent="0.25">
      <c r="A15" t="s">
        <v>10</v>
      </c>
      <c r="B15" s="4">
        <f>'Profit Phase 2S'!B16</f>
        <v>3.2338382429144596</v>
      </c>
      <c r="C15" s="4">
        <f>'Profit Phase 2S'!C16</f>
        <v>6.7308560033931792</v>
      </c>
      <c r="D15" s="4">
        <f>'Profit Phase 2S'!D16</f>
        <v>5.2841673975488312</v>
      </c>
      <c r="E15" s="4">
        <f>'Profit Phase 2S'!E16</f>
        <v>62.261223628920042</v>
      </c>
      <c r="F15" s="4">
        <f>'Profit Phase 2S'!F16</f>
        <v>6.443901412985829</v>
      </c>
      <c r="G15" s="4">
        <f>'Profit Phase 2S'!G16</f>
        <v>14.296857397416307</v>
      </c>
      <c r="H15" s="4">
        <f>'Profit Phase 2S'!H16</f>
        <v>14.317975655468533</v>
      </c>
      <c r="I15" s="12">
        <f>'All Ridership 2041'!K6*'All Distances'!K6*Coefficient!$B$4</f>
        <v>2.6293344482383398</v>
      </c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t="s">
        <v>5</v>
      </c>
      <c r="B16" s="4">
        <f>'Profit Phase 2S'!B17</f>
        <v>1.7366344038762698</v>
      </c>
      <c r="C16" s="4">
        <f>'Profit Phase 2S'!C17</f>
        <v>3.6146013575790725</v>
      </c>
      <c r="D16" s="4">
        <f>'Profit Phase 2S'!D17</f>
        <v>2.8626480973250503</v>
      </c>
      <c r="E16" s="4">
        <f>'Profit Phase 2S'!E17</f>
        <v>33.919688260116146</v>
      </c>
      <c r="F16" s="4">
        <f>'Profit Phase 2S'!F17</f>
        <v>3.5164885822097638</v>
      </c>
      <c r="G16" s="4">
        <f>'Profit Phase 2S'!G17</f>
        <v>7.9473544729786694</v>
      </c>
      <c r="H16" s="4">
        <f>'Profit Phase 2S'!H17</f>
        <v>15.209266811917052</v>
      </c>
      <c r="I16" s="4">
        <f>'All Ridership 2041'!I6*'All Distances'!I6*Coefficient!$B$4</f>
        <v>2.7898333156196218</v>
      </c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t="s">
        <v>4</v>
      </c>
      <c r="B17" s="4"/>
      <c r="C17" s="4"/>
      <c r="D17" s="4">
        <f>'Profit Phase 2S'!D18</f>
        <v>1.0391129739437919</v>
      </c>
      <c r="E17" s="4">
        <f>'Profit Phase 2S'!E18</f>
        <v>20.168150647747783</v>
      </c>
      <c r="F17" s="4">
        <f>'Profit Phase 2S'!F18</f>
        <v>2.3320519137767053</v>
      </c>
      <c r="G17" s="4">
        <f>'Profit Phase 2S'!G18</f>
        <v>11.833341626470345</v>
      </c>
      <c r="H17" s="4">
        <f>'Profit Phase 2S'!H18</f>
        <v>21.520623606679184</v>
      </c>
      <c r="I17" s="4">
        <f>'All Ridership 2041'!G6*'All Distances'!G6*Coefficient!$B$4</f>
        <v>3.7633612157514298</v>
      </c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t="s">
        <v>3</v>
      </c>
      <c r="B18" s="4"/>
      <c r="C18" s="4"/>
      <c r="D18" s="4"/>
      <c r="E18" s="4">
        <f>'Profit Phase 2S'!E19</f>
        <v>12.949144555083192</v>
      </c>
      <c r="F18" s="4">
        <f>'Profit Phase 2S'!F19</f>
        <v>1.7400410003348346</v>
      </c>
      <c r="G18" s="4">
        <f>'Profit Phase 2S'!G19</f>
        <v>15.40702544506442</v>
      </c>
      <c r="H18" s="4">
        <f>'Profit Phase 2S'!H19</f>
        <v>27.10770952408393</v>
      </c>
      <c r="I18" s="4">
        <f>'Phase 2Q'!F7</f>
        <v>4.110511025400803</v>
      </c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t="s">
        <v>38</v>
      </c>
      <c r="B19" s="4"/>
      <c r="C19" s="4"/>
      <c r="D19" s="4"/>
      <c r="E19" s="4"/>
      <c r="F19" s="4">
        <f>'Profit Phase 2S'!F20</f>
        <v>1.032743245022592</v>
      </c>
      <c r="G19" s="4">
        <f>'Profit Phase 2S'!G20</f>
        <v>24.549227044501595</v>
      </c>
      <c r="H19" s="4">
        <f>'Profit Phase 2S'!H20</f>
        <v>44.962103694670809</v>
      </c>
      <c r="I19" s="4">
        <f>'Phase 2Q'!F6</f>
        <v>7.8830245828064571</v>
      </c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t="s">
        <v>0</v>
      </c>
      <c r="B20" s="4"/>
      <c r="C20" s="4"/>
      <c r="D20" s="4"/>
      <c r="E20" s="4"/>
      <c r="F20" s="4">
        <f>'Profit Phase 2S'!F21</f>
        <v>4.7110678139050206</v>
      </c>
      <c r="G20" s="4">
        <f>'Profit Phase 2S'!G21</f>
        <v>116.51052488631298</v>
      </c>
      <c r="H20" s="4">
        <f>'Profit Phase 2S'!H21</f>
        <v>267.33280659499684</v>
      </c>
      <c r="I20" s="4">
        <f>'Phase 2Q'!F5</f>
        <v>43.329942386401591</v>
      </c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t="s">
        <v>1</v>
      </c>
      <c r="B21" s="4"/>
      <c r="C21" s="4"/>
      <c r="D21" s="4"/>
      <c r="E21" s="4"/>
      <c r="F21" s="4"/>
      <c r="G21" s="4">
        <f>'Profit Phase 2S'!G22</f>
        <v>9.3580098919323831</v>
      </c>
      <c r="H21" s="4">
        <f>'Profit Phase 2S'!H22</f>
        <v>26.547083889891578</v>
      </c>
      <c r="I21" s="4">
        <f>'Phase 2Q'!F4</f>
        <v>4.1847499734294322</v>
      </c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t="s">
        <v>6</v>
      </c>
      <c r="B22" s="4"/>
      <c r="C22" s="4"/>
      <c r="D22" s="4"/>
      <c r="E22" s="4"/>
      <c r="F22" s="4"/>
      <c r="G22" s="4"/>
      <c r="H22" s="4">
        <f>'Profit Phase 2S'!H23</f>
        <v>29.737498217606838</v>
      </c>
      <c r="I22" s="4">
        <f>'Phase 2Q'!F3</f>
        <v>17.771752127533066</v>
      </c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t="s">
        <v>7</v>
      </c>
      <c r="B23" s="4"/>
      <c r="C23" s="4"/>
      <c r="D23" s="4"/>
      <c r="E23" s="4"/>
      <c r="F23" s="4"/>
      <c r="G23" s="4"/>
      <c r="H23" s="4"/>
      <c r="I23" s="4">
        <f>'Phase 2Q'!F2</f>
        <v>25.236043728818089</v>
      </c>
      <c r="L23" s="4"/>
      <c r="M23" s="4"/>
      <c r="N23" s="4"/>
      <c r="O23" s="4"/>
      <c r="P23" s="4"/>
      <c r="Q23" s="4"/>
      <c r="R23" s="4"/>
      <c r="S23" s="4"/>
    </row>
  </sheetData>
  <conditionalFormatting sqref="B2:I1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I23">
    <cfRule type="colorScale" priority="2">
      <colorScale>
        <cfvo type="min"/>
        <cfvo type="max"/>
        <color rgb="FFFCFCFF"/>
        <color rgb="FF63BE7B"/>
      </colorScale>
    </cfRule>
  </conditionalFormatting>
  <conditionalFormatting sqref="L15:S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B61A-32DD-42EB-AC83-D6729A8BDDCD}">
  <dimension ref="A1:J25"/>
  <sheetViews>
    <sheetView topLeftCell="A10" workbookViewId="0">
      <selection activeCell="J24" sqref="J24"/>
    </sheetView>
  </sheetViews>
  <sheetFormatPr defaultRowHeight="15" x14ac:dyDescent="0.25"/>
  <sheetData>
    <row r="1" spans="1:10" x14ac:dyDescent="0.25">
      <c r="B1" t="s">
        <v>5</v>
      </c>
      <c r="C1" t="s">
        <v>4</v>
      </c>
      <c r="D1" t="s">
        <v>38</v>
      </c>
      <c r="E1" t="s">
        <v>3</v>
      </c>
      <c r="F1" t="s">
        <v>0</v>
      </c>
      <c r="G1" t="s">
        <v>1</v>
      </c>
      <c r="H1" t="s">
        <v>6</v>
      </c>
      <c r="I1" t="s">
        <v>7</v>
      </c>
      <c r="J1" t="s">
        <v>8</v>
      </c>
    </row>
    <row r="2" spans="1:10" x14ac:dyDescent="0.25">
      <c r="A2" t="s">
        <v>11</v>
      </c>
      <c r="B2">
        <f>B3</f>
        <v>5</v>
      </c>
      <c r="C2">
        <f t="shared" ref="C2:I2" si="0">C3</f>
        <v>180</v>
      </c>
      <c r="D2">
        <f>D3</f>
        <v>460</v>
      </c>
      <c r="E2">
        <f t="shared" si="0"/>
        <v>260</v>
      </c>
      <c r="F2">
        <f t="shared" si="0"/>
        <v>365</v>
      </c>
      <c r="G2">
        <f t="shared" si="0"/>
        <v>415</v>
      </c>
      <c r="H2">
        <f t="shared" si="0"/>
        <v>790</v>
      </c>
      <c r="I2">
        <f t="shared" si="0"/>
        <v>965</v>
      </c>
      <c r="J2">
        <f>J18</f>
        <v>1230</v>
      </c>
    </row>
    <row r="3" spans="1:10" x14ac:dyDescent="0.25">
      <c r="A3" t="s">
        <v>10</v>
      </c>
      <c r="B3">
        <f>'All Distances'!K10</f>
        <v>5</v>
      </c>
      <c r="C3">
        <f>'All Distances'!K8</f>
        <v>180</v>
      </c>
      <c r="D3">
        <f>'All Distances'!K5</f>
        <v>460</v>
      </c>
      <c r="E3">
        <f>'All Distances'!K7</f>
        <v>260</v>
      </c>
      <c r="F3">
        <f>'All Distances'!K2</f>
        <v>365</v>
      </c>
      <c r="G3">
        <f>'All Distances'!K9</f>
        <v>415</v>
      </c>
      <c r="H3">
        <f>'All Distances'!K4</f>
        <v>790</v>
      </c>
      <c r="I3">
        <f>'All Distances'!K3</f>
        <v>965</v>
      </c>
      <c r="J3">
        <f>J18</f>
        <v>1230</v>
      </c>
    </row>
    <row r="4" spans="1:10" x14ac:dyDescent="0.25">
      <c r="A4" t="s">
        <v>40</v>
      </c>
      <c r="B4">
        <f>B3</f>
        <v>5</v>
      </c>
      <c r="C4">
        <f t="shared" ref="C4:E4" si="1">C3</f>
        <v>180</v>
      </c>
      <c r="E4">
        <f t="shared" si="1"/>
        <v>260</v>
      </c>
    </row>
    <row r="5" spans="1:10" x14ac:dyDescent="0.25">
      <c r="A5" t="s">
        <v>41</v>
      </c>
      <c r="B5">
        <f>B3</f>
        <v>5</v>
      </c>
      <c r="C5">
        <f t="shared" ref="C5:I5" si="2">C3</f>
        <v>180</v>
      </c>
      <c r="D5">
        <f t="shared" si="2"/>
        <v>460</v>
      </c>
      <c r="E5">
        <f t="shared" si="2"/>
        <v>260</v>
      </c>
      <c r="F5">
        <f t="shared" si="2"/>
        <v>365</v>
      </c>
      <c r="G5">
        <f t="shared" si="2"/>
        <v>415</v>
      </c>
      <c r="H5">
        <f t="shared" si="2"/>
        <v>790</v>
      </c>
      <c r="I5">
        <f t="shared" si="2"/>
        <v>965</v>
      </c>
      <c r="J5">
        <f>J18</f>
        <v>1230</v>
      </c>
    </row>
    <row r="6" spans="1:10" x14ac:dyDescent="0.25">
      <c r="A6" t="s">
        <v>68</v>
      </c>
      <c r="B6">
        <f>B3</f>
        <v>5</v>
      </c>
      <c r="C6">
        <f t="shared" ref="C6:E6" si="3">C3</f>
        <v>180</v>
      </c>
      <c r="E6">
        <f t="shared" si="3"/>
        <v>260</v>
      </c>
    </row>
    <row r="7" spans="1:10" x14ac:dyDescent="0.25">
      <c r="A7" t="s">
        <v>69</v>
      </c>
      <c r="B7">
        <f>B3</f>
        <v>5</v>
      </c>
      <c r="C7">
        <f t="shared" ref="C7:E7" si="4">C4</f>
        <v>180</v>
      </c>
      <c r="E7">
        <f t="shared" si="4"/>
        <v>260</v>
      </c>
    </row>
    <row r="8" spans="1:10" x14ac:dyDescent="0.25">
      <c r="A8" t="s">
        <v>71</v>
      </c>
      <c r="B8">
        <f>B3</f>
        <v>5</v>
      </c>
    </row>
    <row r="9" spans="1:10" x14ac:dyDescent="0.25">
      <c r="A9" t="s">
        <v>72</v>
      </c>
      <c r="B9">
        <f>B3</f>
        <v>5</v>
      </c>
    </row>
    <row r="10" spans="1:10" x14ac:dyDescent="0.25">
      <c r="A10" t="s">
        <v>73</v>
      </c>
      <c r="B10">
        <f>B3</f>
        <v>5</v>
      </c>
    </row>
    <row r="11" spans="1:10" x14ac:dyDescent="0.25">
      <c r="A11" t="s">
        <v>75</v>
      </c>
      <c r="B11">
        <f>B3</f>
        <v>5</v>
      </c>
    </row>
    <row r="12" spans="1:10" x14ac:dyDescent="0.25">
      <c r="A12" t="s">
        <v>76</v>
      </c>
      <c r="B12">
        <f>B3</f>
        <v>5</v>
      </c>
    </row>
    <row r="13" spans="1:10" x14ac:dyDescent="0.25">
      <c r="A13" t="s">
        <v>78</v>
      </c>
      <c r="B13">
        <f>B3</f>
        <v>5</v>
      </c>
    </row>
    <row r="14" spans="1:10" x14ac:dyDescent="0.25">
      <c r="A14" t="s">
        <v>80</v>
      </c>
      <c r="B14">
        <f>B3</f>
        <v>5</v>
      </c>
      <c r="C14">
        <f>C4</f>
        <v>180</v>
      </c>
    </row>
    <row r="15" spans="1:10" x14ac:dyDescent="0.25">
      <c r="A15" t="s">
        <v>81</v>
      </c>
      <c r="B15">
        <f>B3</f>
        <v>5</v>
      </c>
      <c r="C15">
        <f>C4</f>
        <v>180</v>
      </c>
    </row>
    <row r="16" spans="1:10" x14ac:dyDescent="0.25">
      <c r="A16" t="s">
        <v>70</v>
      </c>
      <c r="B16">
        <f>B3</f>
        <v>5</v>
      </c>
      <c r="C16">
        <f>C4</f>
        <v>180</v>
      </c>
    </row>
    <row r="17" spans="1:10" x14ac:dyDescent="0.25">
      <c r="A17" t="s">
        <v>90</v>
      </c>
      <c r="B17">
        <f>B3</f>
        <v>5</v>
      </c>
      <c r="C17">
        <f>C4</f>
        <v>180</v>
      </c>
    </row>
    <row r="18" spans="1:10" x14ac:dyDescent="0.25">
      <c r="A18" t="s">
        <v>5</v>
      </c>
      <c r="C18">
        <f>'All Distances'!I8</f>
        <v>175</v>
      </c>
      <c r="D18">
        <f>'All Distances'!I5</f>
        <v>455</v>
      </c>
      <c r="E18">
        <f>'All Distances'!I7</f>
        <v>255</v>
      </c>
      <c r="F18">
        <f>'All Distances'!I2</f>
        <v>360</v>
      </c>
      <c r="G18">
        <f>'All Distances'!I9</f>
        <v>410</v>
      </c>
      <c r="H18">
        <f>'All Distances'!I4</f>
        <v>785</v>
      </c>
      <c r="I18">
        <f>'All Distances'!I3</f>
        <v>960</v>
      </c>
      <c r="J18">
        <f>'All Distances'!I6</f>
        <v>1230</v>
      </c>
    </row>
    <row r="19" spans="1:10" x14ac:dyDescent="0.25">
      <c r="A19" t="s">
        <v>4</v>
      </c>
      <c r="E19">
        <f>'All Distances'!G7</f>
        <v>80</v>
      </c>
      <c r="F19">
        <f>'All Distances'!G2</f>
        <v>185</v>
      </c>
      <c r="G19">
        <f>'All Distances'!H8</f>
        <v>235</v>
      </c>
      <c r="H19">
        <f>'All Distances'!G4</f>
        <v>610</v>
      </c>
      <c r="I19">
        <f>'All Distances'!G3</f>
        <v>785</v>
      </c>
      <c r="J19">
        <f>'All Distances'!G6</f>
        <v>1055</v>
      </c>
    </row>
    <row r="20" spans="1:10" x14ac:dyDescent="0.25">
      <c r="A20" t="s">
        <v>3</v>
      </c>
      <c r="F20">
        <f>'All Distances'!F2</f>
        <v>105</v>
      </c>
      <c r="G20">
        <f>'All Distances'!H7</f>
        <v>155</v>
      </c>
      <c r="H20">
        <f>'All Distances'!F4</f>
        <v>530</v>
      </c>
      <c r="I20">
        <f>'All Distances'!F3</f>
        <v>705</v>
      </c>
      <c r="J20">
        <f>'All Distances'!F6</f>
        <v>975</v>
      </c>
    </row>
    <row r="21" spans="1:10" x14ac:dyDescent="0.25">
      <c r="A21" t="s">
        <v>2</v>
      </c>
      <c r="G21">
        <f>G22</f>
        <v>50</v>
      </c>
      <c r="H21">
        <f>H22</f>
        <v>425</v>
      </c>
      <c r="I21">
        <f>I22</f>
        <v>600</v>
      </c>
      <c r="J21">
        <f>J22</f>
        <v>870</v>
      </c>
    </row>
    <row r="22" spans="1:10" x14ac:dyDescent="0.25">
      <c r="A22" t="s">
        <v>0</v>
      </c>
      <c r="G22">
        <f>'All Distances'!H2</f>
        <v>50</v>
      </c>
      <c r="H22">
        <f>'All Distances'!C2</f>
        <v>425</v>
      </c>
      <c r="I22">
        <f>'All Distances'!B2</f>
        <v>600</v>
      </c>
      <c r="J22">
        <f>'All Distances'!E2</f>
        <v>870</v>
      </c>
    </row>
    <row r="23" spans="1:10" x14ac:dyDescent="0.25">
      <c r="A23" t="s">
        <v>1</v>
      </c>
      <c r="H23">
        <f>'All Distances'!H4</f>
        <v>375</v>
      </c>
      <c r="I23">
        <f>'All Distances'!H3</f>
        <v>550</v>
      </c>
      <c r="J23">
        <f>'All Distances'!H6</f>
        <v>820</v>
      </c>
    </row>
    <row r="24" spans="1:10" x14ac:dyDescent="0.25">
      <c r="A24" t="s">
        <v>6</v>
      </c>
      <c r="I24">
        <f>'All Distances'!C3</f>
        <v>175</v>
      </c>
      <c r="J24">
        <f>'All Distances'!E4</f>
        <v>445</v>
      </c>
    </row>
    <row r="25" spans="1:10" x14ac:dyDescent="0.25">
      <c r="A25" t="s">
        <v>7</v>
      </c>
      <c r="J25">
        <f>'All Distances'!E3</f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2D8B-F651-497A-BA11-212D6C169957}">
  <dimension ref="A1:Y10"/>
  <sheetViews>
    <sheetView topLeftCell="F1" workbookViewId="0">
      <selection activeCell="O12" sqref="O12"/>
    </sheetView>
  </sheetViews>
  <sheetFormatPr defaultRowHeight="15" x14ac:dyDescent="0.25"/>
  <sheetData>
    <row r="1" spans="1:25" x14ac:dyDescent="0.25">
      <c r="B1" t="s">
        <v>7</v>
      </c>
      <c r="C1" t="s">
        <v>6</v>
      </c>
      <c r="D1" t="s">
        <v>2</v>
      </c>
      <c r="E1" t="s">
        <v>8</v>
      </c>
      <c r="F1" t="s">
        <v>3</v>
      </c>
      <c r="G1" t="s">
        <v>4</v>
      </c>
      <c r="H1" t="s">
        <v>1</v>
      </c>
      <c r="I1" t="s">
        <v>5</v>
      </c>
      <c r="J1" t="s">
        <v>11</v>
      </c>
      <c r="K1" t="s">
        <v>10</v>
      </c>
      <c r="L1" t="s">
        <v>40</v>
      </c>
      <c r="M1" t="s">
        <v>41</v>
      </c>
      <c r="N1" t="s">
        <v>68</v>
      </c>
      <c r="O1" t="s">
        <v>69</v>
      </c>
      <c r="P1" t="s">
        <v>71</v>
      </c>
      <c r="Q1" t="s">
        <v>72</v>
      </c>
      <c r="R1" t="s">
        <v>73</v>
      </c>
      <c r="S1" t="s">
        <v>75</v>
      </c>
      <c r="T1" t="s">
        <v>76</v>
      </c>
      <c r="U1" t="s">
        <v>78</v>
      </c>
      <c r="V1" t="s">
        <v>80</v>
      </c>
      <c r="W1" t="s">
        <v>81</v>
      </c>
      <c r="X1" t="s">
        <v>70</v>
      </c>
      <c r="Y1" t="s">
        <v>90</v>
      </c>
    </row>
    <row r="2" spans="1:25" x14ac:dyDescent="0.25">
      <c r="A2" t="s">
        <v>0</v>
      </c>
      <c r="B2">
        <f>Segments!L5+Segments!L6+Segments!L7</f>
        <v>600</v>
      </c>
      <c r="C2">
        <f>Segments!L5+Segments!L6</f>
        <v>425</v>
      </c>
      <c r="E2">
        <f>B2+Segments!L8</f>
        <v>870</v>
      </c>
      <c r="F2">
        <f>Segments!L4</f>
        <v>105</v>
      </c>
      <c r="G2">
        <f>F2+Segments!L3</f>
        <v>185</v>
      </c>
      <c r="H2">
        <f>Segments!L5</f>
        <v>50</v>
      </c>
      <c r="I2">
        <f>G2+Segments!L2</f>
        <v>360</v>
      </c>
      <c r="J2">
        <f>K2+Segments!$L$11+Segments!$L$12</f>
        <v>820</v>
      </c>
      <c r="K2">
        <f>I2+Segments!$L$10</f>
        <v>365</v>
      </c>
      <c r="L2" s="15">
        <f>P2+Segments!$L$17</f>
        <v>470</v>
      </c>
      <c r="M2">
        <f>K2+Segments!$L$11</f>
        <v>460</v>
      </c>
      <c r="N2" s="15">
        <f>L2+Segments!$L$15</f>
        <v>680</v>
      </c>
      <c r="O2" s="15">
        <f>L2+Segments!$L$14</f>
        <v>660</v>
      </c>
      <c r="P2" s="15">
        <f>Segments!L9+Segments!L16</f>
        <v>175</v>
      </c>
      <c r="Q2" s="15">
        <f>P2+Segments!$L$18</f>
        <v>275</v>
      </c>
      <c r="R2" s="15">
        <f>Q2+Segments!$L$19</f>
        <v>405</v>
      </c>
      <c r="S2" s="15">
        <f>R2+Segments!$L$20</f>
        <v>625</v>
      </c>
      <c r="T2" s="15">
        <f>S2+Segments!$L$22</f>
        <v>885</v>
      </c>
      <c r="U2" s="15">
        <f>S2+Segments!$L$21</f>
        <v>845</v>
      </c>
      <c r="V2" s="15">
        <f>U2+Segments!$L$23</f>
        <v>980</v>
      </c>
      <c r="W2" s="15">
        <f>Y2+Segments!$L$28</f>
        <v>1060</v>
      </c>
      <c r="X2" s="15">
        <f>W2+Segments!L25</f>
        <v>1120</v>
      </c>
      <c r="Y2" s="15">
        <f>O2+Segments!$L$26</f>
        <v>950</v>
      </c>
    </row>
    <row r="3" spans="1:25" x14ac:dyDescent="0.25">
      <c r="A3" t="s">
        <v>7</v>
      </c>
      <c r="C3">
        <f>Segments!L7</f>
        <v>175</v>
      </c>
      <c r="D3">
        <f>B2+Segments!L9</f>
        <v>685</v>
      </c>
      <c r="E3">
        <f>Segments!L8</f>
        <v>270</v>
      </c>
      <c r="F3">
        <f>B2+F2</f>
        <v>705</v>
      </c>
      <c r="G3">
        <f>G2+B2</f>
        <v>785</v>
      </c>
      <c r="H3">
        <f>C3+Segments!L6</f>
        <v>550</v>
      </c>
      <c r="I3">
        <f>I2+B2</f>
        <v>960</v>
      </c>
      <c r="J3">
        <f>K3+Segments!$L$11+Segments!$L$12</f>
        <v>1420</v>
      </c>
      <c r="K3">
        <f>I3+Segments!$L$10</f>
        <v>965</v>
      </c>
      <c r="L3" s="16">
        <f>P3+Segments!$L$17</f>
        <v>1095</v>
      </c>
      <c r="M3">
        <f>K3+Segments!$L$11</f>
        <v>1060</v>
      </c>
      <c r="N3" s="16">
        <f>L3+Segments!$L$15</f>
        <v>1305</v>
      </c>
      <c r="O3" s="16">
        <f>Y3+Segments!$L$26</f>
        <v>1150</v>
      </c>
      <c r="P3" s="16">
        <f>Q3+Segments!$L$18</f>
        <v>800</v>
      </c>
      <c r="Q3" s="16">
        <f>R3+Segments!$L$19</f>
        <v>700</v>
      </c>
      <c r="R3" s="16">
        <f>S3+Segments!$L$20</f>
        <v>570</v>
      </c>
      <c r="S3" s="16">
        <f>Segments!L29</f>
        <v>350</v>
      </c>
      <c r="T3" s="16">
        <f>S3+Segments!$L$22</f>
        <v>610</v>
      </c>
      <c r="U3" s="16">
        <f>S3+Segments!$L$21</f>
        <v>570</v>
      </c>
      <c r="V3" s="16">
        <f>U3+Segments!$L$23</f>
        <v>705</v>
      </c>
      <c r="W3" s="16">
        <f>V3+Segments!$L$24</f>
        <v>860</v>
      </c>
      <c r="X3" s="16">
        <f>W3+Segments!$L$25</f>
        <v>920</v>
      </c>
      <c r="Y3" s="16">
        <f>V3+Segments!L27</f>
        <v>860</v>
      </c>
    </row>
    <row r="4" spans="1:25" x14ac:dyDescent="0.25">
      <c r="A4" t="s">
        <v>6</v>
      </c>
      <c r="D4">
        <f>C2+Segments!L9</f>
        <v>510</v>
      </c>
      <c r="E4">
        <f>E3+C3</f>
        <v>445</v>
      </c>
      <c r="F4">
        <f>C2+F2</f>
        <v>530</v>
      </c>
      <c r="G4">
        <f>G2+C2</f>
        <v>610</v>
      </c>
      <c r="H4">
        <f>Segments!L6</f>
        <v>375</v>
      </c>
      <c r="I4">
        <f>I2+C2</f>
        <v>785</v>
      </c>
      <c r="J4">
        <f>K4+Segments!$L$11+Segments!$L$12</f>
        <v>1245</v>
      </c>
      <c r="K4">
        <f>I4+Segments!$L$10</f>
        <v>790</v>
      </c>
      <c r="L4" s="15">
        <f>P4+Segments!$L$17</f>
        <v>895</v>
      </c>
      <c r="M4">
        <f>K4+Segments!$L$11</f>
        <v>885</v>
      </c>
      <c r="N4" s="15">
        <f>L4+Segments!$L$15</f>
        <v>1105</v>
      </c>
      <c r="O4" s="15">
        <f>L4+Segments!$L$14</f>
        <v>1085</v>
      </c>
      <c r="P4" s="15">
        <f>P2+C2</f>
        <v>600</v>
      </c>
      <c r="Q4" s="15">
        <f>P4+Segments!$L$18</f>
        <v>700</v>
      </c>
      <c r="S4" s="16">
        <f>S3+C3</f>
        <v>525</v>
      </c>
      <c r="T4" s="16">
        <f>S4+Segments!$L$22</f>
        <v>785</v>
      </c>
      <c r="U4" s="16">
        <f>S4+Segments!$L$21</f>
        <v>745</v>
      </c>
      <c r="V4" s="16">
        <f>U4+Segments!$L$23</f>
        <v>880</v>
      </c>
      <c r="W4" s="16">
        <f>V4+Segments!$L$24</f>
        <v>1035</v>
      </c>
      <c r="X4" s="16">
        <f>W4+Segments!$L$25</f>
        <v>1095</v>
      </c>
      <c r="Y4" s="16">
        <f>V4+Segments!L28</f>
        <v>990</v>
      </c>
    </row>
    <row r="5" spans="1:25" x14ac:dyDescent="0.25">
      <c r="A5" t="s">
        <v>2</v>
      </c>
      <c r="E5">
        <f>E2+Segments!L9</f>
        <v>955</v>
      </c>
      <c r="H5">
        <f>H2+Segments!L9</f>
        <v>135</v>
      </c>
      <c r="I5">
        <f>Segments!L2+2*Coefficient!B7</f>
        <v>455</v>
      </c>
      <c r="J5">
        <f>K5+Segments!$L$11+Segments!$L$12</f>
        <v>915</v>
      </c>
      <c r="K5">
        <f>I5+Segments!$L$10</f>
        <v>460</v>
      </c>
      <c r="L5" s="15">
        <f>P5+Segments!$L$17</f>
        <v>385</v>
      </c>
      <c r="M5">
        <f>K5+Segments!$L$11</f>
        <v>555</v>
      </c>
      <c r="N5" s="15">
        <f>L5+Segments!$L$15</f>
        <v>595</v>
      </c>
      <c r="O5" s="15">
        <f>L5+Segments!$L$14</f>
        <v>575</v>
      </c>
      <c r="P5" s="15">
        <f>Segments!L16</f>
        <v>90</v>
      </c>
      <c r="Q5" s="15">
        <f>P5+Segments!$L$18</f>
        <v>190</v>
      </c>
      <c r="R5" s="15">
        <f>Q5+Segments!$L$19</f>
        <v>320</v>
      </c>
      <c r="S5" s="15">
        <f>R5+Segments!$L$20</f>
        <v>540</v>
      </c>
      <c r="T5" s="15">
        <f>S5+Segments!$L$22</f>
        <v>800</v>
      </c>
      <c r="U5" s="15">
        <f>S5+Segments!$L$21</f>
        <v>760</v>
      </c>
      <c r="V5" s="15">
        <f>U5+Segments!$L$23</f>
        <v>895</v>
      </c>
      <c r="W5" s="15">
        <f>Y5+Segments!$L$28</f>
        <v>975</v>
      </c>
      <c r="X5" s="15">
        <f>W5+Segments!L28</f>
        <v>1085</v>
      </c>
      <c r="Y5" s="15">
        <f>O5+Segments!$L$26</f>
        <v>865</v>
      </c>
    </row>
    <row r="6" spans="1:25" x14ac:dyDescent="0.25">
      <c r="A6" t="s">
        <v>8</v>
      </c>
      <c r="F6">
        <f>F2+E2</f>
        <v>975</v>
      </c>
      <c r="G6">
        <f>G2+E2</f>
        <v>1055</v>
      </c>
      <c r="H6">
        <f>H3+E3</f>
        <v>820</v>
      </c>
      <c r="I6">
        <f>I2+E2</f>
        <v>1230</v>
      </c>
      <c r="J6">
        <f>K6+Segments!$L$11+Segments!$L$12</f>
        <v>1690</v>
      </c>
      <c r="K6">
        <f>I6+Segments!$L$10</f>
        <v>1235</v>
      </c>
      <c r="L6" s="16">
        <f>P6+Segments!$L$17</f>
        <v>1365</v>
      </c>
      <c r="M6">
        <f>K6+Segments!$L$11</f>
        <v>1330</v>
      </c>
      <c r="N6" s="16">
        <f>L6+Segments!$L$15</f>
        <v>1575</v>
      </c>
      <c r="O6" s="16">
        <f>Y6+Segments!$L$26</f>
        <v>1265</v>
      </c>
      <c r="P6" s="16">
        <f>Q6+Segments!$L$18</f>
        <v>1070</v>
      </c>
      <c r="Q6" s="16">
        <f>R6+Segments!$L$19</f>
        <v>970</v>
      </c>
      <c r="R6" s="16">
        <f>S6+Segments!$L$20</f>
        <v>840</v>
      </c>
      <c r="S6" s="16">
        <f>S3+E3</f>
        <v>620</v>
      </c>
      <c r="T6" s="16">
        <f>S6+Segments!$L$22</f>
        <v>880</v>
      </c>
      <c r="U6" s="16">
        <f>S6+Segments!$L$21</f>
        <v>840</v>
      </c>
      <c r="V6" s="16">
        <f>U6+Segments!$L$23</f>
        <v>975</v>
      </c>
      <c r="W6" s="16">
        <f>V6+Segments!$L$24</f>
        <v>1130</v>
      </c>
      <c r="X6" s="16">
        <f>W6+Segments!$L$25</f>
        <v>1190</v>
      </c>
      <c r="Y6" s="16">
        <f>V6+Segments!L30</f>
        <v>975</v>
      </c>
    </row>
    <row r="7" spans="1:25" x14ac:dyDescent="0.25">
      <c r="A7" t="s">
        <v>3</v>
      </c>
      <c r="G7">
        <f>Segments!L3</f>
        <v>80</v>
      </c>
      <c r="H7">
        <f>F2+H2</f>
        <v>155</v>
      </c>
      <c r="I7">
        <f>Segments!L2+Segments!L3</f>
        <v>255</v>
      </c>
      <c r="J7">
        <f>K7+Segments!$L$11+Segments!$L$12</f>
        <v>715</v>
      </c>
      <c r="K7">
        <f>I7+Segments!$L$10</f>
        <v>260</v>
      </c>
      <c r="L7" s="14">
        <f>M7+Segments!$L$13</f>
        <v>530</v>
      </c>
      <c r="M7">
        <f>K7+Segments!$L$11</f>
        <v>355</v>
      </c>
      <c r="N7" s="14">
        <f>L7+Segments!$L$15</f>
        <v>740</v>
      </c>
      <c r="O7" s="14">
        <f>L7+Segments!$L$14</f>
        <v>720</v>
      </c>
      <c r="P7" s="15">
        <f>Coefficient!B8*2+Segments!L16</f>
        <v>280</v>
      </c>
      <c r="Q7" s="15">
        <f>P7+Segments!$L$18</f>
        <v>380</v>
      </c>
      <c r="R7" s="15">
        <f>Q7+Segments!$L$19</f>
        <v>510</v>
      </c>
      <c r="S7" s="15">
        <f>R7+Segments!$L$20</f>
        <v>730</v>
      </c>
      <c r="T7" s="15">
        <f>S7+Segments!$L$22</f>
        <v>990</v>
      </c>
      <c r="U7" s="15">
        <f>S7+Segments!$L$21</f>
        <v>950</v>
      </c>
      <c r="V7" s="15">
        <f>U7+Segments!$L$23</f>
        <v>1085</v>
      </c>
      <c r="W7" s="15">
        <f>Y7+Segments!$L$28</f>
        <v>1120</v>
      </c>
      <c r="X7" s="15">
        <f>W7+Segments!L30</f>
        <v>1120</v>
      </c>
      <c r="Y7" s="15">
        <f>O7+Segments!$L$26</f>
        <v>1010</v>
      </c>
    </row>
    <row r="8" spans="1:25" x14ac:dyDescent="0.25">
      <c r="A8" t="s">
        <v>4</v>
      </c>
      <c r="H8">
        <f>H2+G2</f>
        <v>235</v>
      </c>
      <c r="I8">
        <f>Segments!L2</f>
        <v>175</v>
      </c>
      <c r="J8">
        <f>K8+Segments!$L$11+Segments!$L$12</f>
        <v>635</v>
      </c>
      <c r="K8">
        <f>I8+Segments!$L$10</f>
        <v>180</v>
      </c>
      <c r="L8" s="14">
        <f>M8+Segments!$L$13</f>
        <v>450</v>
      </c>
      <c r="M8">
        <f>K8+Segments!$L$11</f>
        <v>275</v>
      </c>
      <c r="N8" s="14">
        <f>L8+Segments!$L$15</f>
        <v>660</v>
      </c>
      <c r="O8" s="14">
        <f>L8+Segments!$L$14</f>
        <v>640</v>
      </c>
      <c r="P8" s="15">
        <f>P5+2*Coefficient!B7</f>
        <v>370</v>
      </c>
      <c r="Q8" s="15">
        <f>P8+Segments!$L$18</f>
        <v>470</v>
      </c>
      <c r="R8" s="15">
        <f>Q8+Segments!$L$19</f>
        <v>600</v>
      </c>
      <c r="S8" s="15">
        <f>R8+Segments!$L$20</f>
        <v>820</v>
      </c>
      <c r="T8" s="15">
        <f>S8+Segments!$L$22</f>
        <v>1080</v>
      </c>
      <c r="U8" s="15">
        <f>S8+Segments!$L$21</f>
        <v>1040</v>
      </c>
      <c r="V8" s="14">
        <v>610</v>
      </c>
      <c r="W8" s="14">
        <v>565</v>
      </c>
      <c r="X8" s="14">
        <v>575</v>
      </c>
      <c r="Y8" s="14">
        <v>470</v>
      </c>
    </row>
    <row r="9" spans="1:25" x14ac:dyDescent="0.25">
      <c r="A9" t="s">
        <v>1</v>
      </c>
      <c r="I9">
        <f>I2+H2</f>
        <v>410</v>
      </c>
      <c r="J9">
        <f>K9+Segments!$L$11+Segments!$L$12</f>
        <v>870</v>
      </c>
      <c r="K9">
        <f>I9+Segments!$L$10</f>
        <v>415</v>
      </c>
      <c r="L9" s="15">
        <f>P9+Segments!$L$17</f>
        <v>520</v>
      </c>
      <c r="M9">
        <f>K9+Segments!$L$11</f>
        <v>510</v>
      </c>
      <c r="N9" s="15">
        <f>L9+Segments!$L$15</f>
        <v>730</v>
      </c>
      <c r="O9" s="15">
        <f>L9+Segments!$L$14</f>
        <v>710</v>
      </c>
      <c r="P9" s="15">
        <f>H2+P2</f>
        <v>225</v>
      </c>
      <c r="Q9" s="15">
        <f>P9+Segments!$L$18</f>
        <v>325</v>
      </c>
      <c r="R9" s="15">
        <f>Q9+Segments!$L$19</f>
        <v>455</v>
      </c>
      <c r="S9" s="15">
        <f>R9+Segments!$L$20</f>
        <v>675</v>
      </c>
      <c r="T9" s="15">
        <f>S9+Segments!$L$22</f>
        <v>935</v>
      </c>
      <c r="U9" s="15">
        <f>S9+Segments!$L$21</f>
        <v>895</v>
      </c>
      <c r="V9" s="15">
        <f>U9+Segments!$L$23</f>
        <v>1030</v>
      </c>
      <c r="W9" s="15">
        <f>Y9+Segments!$L$28</f>
        <v>1110</v>
      </c>
      <c r="X9" s="15">
        <f>W9+Segments!L32</f>
        <v>1110</v>
      </c>
      <c r="Y9" s="15">
        <f>O9+Segments!$L$26</f>
        <v>1000</v>
      </c>
    </row>
    <row r="10" spans="1:25" x14ac:dyDescent="0.25">
      <c r="A10" t="s">
        <v>5</v>
      </c>
      <c r="J10">
        <f>K10+Segments!$L$11+Segments!$L$12</f>
        <v>460</v>
      </c>
      <c r="K10">
        <f>I10+Segments!$L$10</f>
        <v>5</v>
      </c>
      <c r="L10" s="14">
        <f>M10+Segments!$L$13</f>
        <v>275</v>
      </c>
      <c r="M10">
        <f>K10+Segments!$L$11</f>
        <v>100</v>
      </c>
      <c r="N10" s="14">
        <f>L10+Segments!$L$15</f>
        <v>485</v>
      </c>
      <c r="O10" s="14">
        <f>L10+Segments!$L$14</f>
        <v>465</v>
      </c>
      <c r="P10" s="14">
        <f>L10+Segments!L17</f>
        <v>570</v>
      </c>
      <c r="Q10" s="14">
        <f>P10+Segments!L18</f>
        <v>670</v>
      </c>
      <c r="R10" s="14">
        <f>Q10+Segments!L19</f>
        <v>800</v>
      </c>
      <c r="S10" s="14">
        <f>R10+Segments!L20</f>
        <v>1020</v>
      </c>
      <c r="T10" s="14">
        <f>S10+Segments!L22</f>
        <v>1280</v>
      </c>
      <c r="U10" s="14">
        <f>V10+Segments!L23</f>
        <v>1045</v>
      </c>
      <c r="V10" s="14">
        <f>Y10+Segments!L27</f>
        <v>910</v>
      </c>
      <c r="W10" s="14">
        <f>Y10+Segments!L28</f>
        <v>865</v>
      </c>
      <c r="X10" s="14">
        <f>W10+Segments!L25</f>
        <v>925</v>
      </c>
      <c r="Y10" s="14">
        <f>O10+Segments!L26</f>
        <v>755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B16-C09D-4F2F-9F3B-0D7B3D4E79A9}">
  <dimension ref="A1:P54"/>
  <sheetViews>
    <sheetView topLeftCell="A17" workbookViewId="0">
      <selection activeCell="H49" sqref="H49"/>
    </sheetView>
  </sheetViews>
  <sheetFormatPr defaultRowHeight="15" x14ac:dyDescent="0.25"/>
  <sheetData>
    <row r="1" spans="1:16" x14ac:dyDescent="0.25">
      <c r="A1">
        <v>2021</v>
      </c>
    </row>
    <row r="2" spans="1:16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6" x14ac:dyDescent="0.25">
      <c r="A3" t="s">
        <v>11</v>
      </c>
      <c r="B3" s="2">
        <f>'All Ridership 2021'!J10</f>
        <v>0.29036097172718395</v>
      </c>
      <c r="C3" s="2">
        <f>'All Ridership 2021'!J8</f>
        <v>0.24900255677521108</v>
      </c>
      <c r="D3" s="2">
        <f>'All Ridership 2021'!J5</f>
        <v>0.20880123615380974</v>
      </c>
      <c r="E3" s="2">
        <f>'All Ridership 2021'!J7</f>
        <v>0.1963989553634593</v>
      </c>
      <c r="F3" s="2">
        <f>'All Ridership 2021'!J2</f>
        <v>1.0168050638980344</v>
      </c>
      <c r="G3" s="2">
        <f>'All Ridership 2021'!J9</f>
        <v>9.5904667633499793E-2</v>
      </c>
      <c r="H3" s="2">
        <f>'All Ridership 2021'!J4</f>
        <v>0.13482317837141697</v>
      </c>
      <c r="I3" s="2">
        <f>'All Ridership 2021'!J3</f>
        <v>0.12813556691302061</v>
      </c>
      <c r="J3" s="2">
        <f>'All Ridership 2021'!J6</f>
        <v>2.3130382926835159E-2</v>
      </c>
      <c r="L3" s="2"/>
      <c r="P3" s="2"/>
    </row>
    <row r="4" spans="1:16" x14ac:dyDescent="0.25">
      <c r="A4" t="s">
        <v>10</v>
      </c>
      <c r="B4" s="2">
        <f>'All Ridership 2021'!K10</f>
        <v>0.15555479251592577</v>
      </c>
      <c r="C4" s="2">
        <f>'All Ridership 2021'!K8</f>
        <v>0.21515745727175073</v>
      </c>
      <c r="D4" s="2">
        <f>'All Ridership 2021'!K5</f>
        <v>0.37461089125056873</v>
      </c>
      <c r="E4" s="2">
        <f>'All Ridership 2021'!K7</f>
        <v>0.21515745727175073</v>
      </c>
      <c r="F4" s="2">
        <f>'All Ridership 2021'!K2</f>
        <v>1.4651110750525871</v>
      </c>
      <c r="G4" s="2">
        <f>'All Ridership 2021'!K9</f>
        <v>0.15555479251592577</v>
      </c>
      <c r="H4" s="2">
        <f>'All Ridership 2021'!K4</f>
        <v>0.17938835037256404</v>
      </c>
      <c r="I4" s="2">
        <f>'All Ridership 2021'!K3</f>
        <v>0.1486404158011907</v>
      </c>
      <c r="J4" s="2">
        <f>'All Ridership 2021'!K6</f>
        <v>2.3204246557538336E-2</v>
      </c>
      <c r="L4" s="2"/>
      <c r="P4" s="2"/>
    </row>
    <row r="5" spans="1:16" x14ac:dyDescent="0.25">
      <c r="A5" t="s">
        <v>40</v>
      </c>
      <c r="B5" s="2">
        <f>'All Ridership 2021'!L10</f>
        <v>0.1052476157047371</v>
      </c>
      <c r="C5" s="2">
        <f>'All Ridership 2021'!L8</f>
        <v>0.14557448865888992</v>
      </c>
      <c r="D5" s="2"/>
      <c r="E5" s="2">
        <f>'All Ridership 2021'!L7</f>
        <v>0.12956077666330537</v>
      </c>
      <c r="F5" s="2"/>
      <c r="G5" s="2"/>
      <c r="H5" s="2"/>
      <c r="I5" s="2"/>
      <c r="L5" s="2"/>
      <c r="P5" s="2"/>
    </row>
    <row r="6" spans="1:16" x14ac:dyDescent="0.25">
      <c r="A6" t="s">
        <v>41</v>
      </c>
      <c r="B6" s="2">
        <f>'All Ridership 2021'!M10</f>
        <v>3.1596738437038745E-2</v>
      </c>
      <c r="C6" s="2">
        <f>'All Ridership 2021'!M8</f>
        <v>4.3703403734718323E-2</v>
      </c>
      <c r="D6" s="2">
        <f>'All Ridership 2021'!M5</f>
        <v>6.1758011101723874E-2</v>
      </c>
      <c r="E6" s="2">
        <f>'All Ridership 2021'!M7</f>
        <v>4.3703403734718323E-2</v>
      </c>
      <c r="F6" s="2">
        <f>'All Ridership 2021'!M2</f>
        <v>0.29759759034685968</v>
      </c>
      <c r="G6" s="2">
        <f>'All Ridership 2021'!M9</f>
        <v>3.0369798574623939E-2</v>
      </c>
      <c r="H6" s="2">
        <f>'All Ridership 2021'!M4</f>
        <v>2.9034926867853077E-2</v>
      </c>
      <c r="I6" s="2">
        <f>'All Ridership 2021'!M3</f>
        <v>2.5022959142938846E-2</v>
      </c>
      <c r="J6" s="2">
        <f>'All Ridership 2021'!M6</f>
        <v>4.0640305486325089E-3</v>
      </c>
      <c r="L6" s="2"/>
      <c r="P6" s="2"/>
    </row>
    <row r="7" spans="1:16" x14ac:dyDescent="0.25">
      <c r="A7" t="s">
        <v>68</v>
      </c>
      <c r="B7" s="2">
        <f>'All Ridership 2021'!N10</f>
        <v>8.2783779687672879E-2</v>
      </c>
      <c r="C7" s="2">
        <f>'All Ridership 2021'!N8</f>
        <v>6.5715890317117345E-2</v>
      </c>
      <c r="D7" s="2"/>
      <c r="E7" s="2">
        <f>'All Ridership 2021'!N7</f>
        <v>5.2275094635018837E-2</v>
      </c>
      <c r="F7" s="2"/>
      <c r="G7" s="2"/>
      <c r="H7" s="2"/>
      <c r="I7" s="2"/>
      <c r="J7" s="2"/>
      <c r="L7" s="2"/>
      <c r="P7" s="2"/>
    </row>
    <row r="8" spans="1:16" x14ac:dyDescent="0.25">
      <c r="A8" t="s">
        <v>69</v>
      </c>
      <c r="B8" s="2">
        <f>'All Ridership 2021'!O10</f>
        <v>9.257708960883558E-2</v>
      </c>
      <c r="C8" s="2">
        <f>'All Ridership 2021'!O8</f>
        <v>7.8154968338250863E-2</v>
      </c>
      <c r="D8" s="2"/>
      <c r="E8" s="2">
        <f>'All Ridership 2021'!O7</f>
        <v>6.1752073748741428E-2</v>
      </c>
      <c r="F8" s="2"/>
      <c r="G8" s="2"/>
      <c r="H8" s="2"/>
      <c r="I8" s="2"/>
      <c r="J8" s="2"/>
      <c r="L8" s="2"/>
      <c r="P8" s="2"/>
    </row>
    <row r="9" spans="1:16" x14ac:dyDescent="0.25">
      <c r="A9" t="s">
        <v>71</v>
      </c>
      <c r="B9" s="2">
        <f>'All Ridership 2021'!P10</f>
        <v>3.9484414297360777E-2</v>
      </c>
      <c r="C9" s="2"/>
      <c r="D9" s="2"/>
      <c r="E9" s="2"/>
      <c r="F9" s="2"/>
      <c r="G9" s="2"/>
      <c r="H9" s="2"/>
      <c r="I9" s="2"/>
      <c r="J9" s="2"/>
      <c r="L9" s="2"/>
      <c r="P9" s="2"/>
    </row>
    <row r="10" spans="1:16" x14ac:dyDescent="0.25">
      <c r="A10" t="s">
        <v>72</v>
      </c>
      <c r="B10" s="2">
        <f>'All Ridership 2021'!Q10</f>
        <v>2.6479614487543667E-2</v>
      </c>
      <c r="C10" s="2"/>
      <c r="D10" s="2"/>
      <c r="E10" s="2"/>
      <c r="F10" s="2"/>
      <c r="G10" s="2"/>
      <c r="H10" s="2"/>
      <c r="I10" s="2"/>
      <c r="J10" s="2"/>
      <c r="L10" s="2"/>
      <c r="P10" s="2"/>
    </row>
    <row r="11" spans="1:16" x14ac:dyDescent="0.25">
      <c r="A11" t="s">
        <v>73</v>
      </c>
      <c r="B11" s="2">
        <f>'All Ridership 2021'!R10</f>
        <v>1.8572967099153674E-2</v>
      </c>
      <c r="C11" s="2"/>
      <c r="D11" s="2"/>
      <c r="E11" s="2"/>
      <c r="F11" s="2"/>
      <c r="G11" s="2"/>
      <c r="H11" s="2"/>
      <c r="I11" s="2"/>
      <c r="J11" s="2"/>
      <c r="L11" s="2"/>
      <c r="P11" s="2"/>
    </row>
    <row r="12" spans="1:16" x14ac:dyDescent="0.25">
      <c r="A12" t="s">
        <v>75</v>
      </c>
      <c r="B12" s="2">
        <f>'All Ridership 2021'!S10</f>
        <v>1.0501586825912712E-2</v>
      </c>
      <c r="C12" s="2"/>
      <c r="D12" s="2"/>
      <c r="E12" s="2"/>
      <c r="F12" s="2"/>
      <c r="G12" s="2"/>
      <c r="H12" s="2"/>
      <c r="I12" s="2"/>
      <c r="J12" s="2"/>
      <c r="L12" s="2"/>
      <c r="P12" s="2"/>
    </row>
    <row r="13" spans="1:16" x14ac:dyDescent="0.25">
      <c r="A13" t="s">
        <v>76</v>
      </c>
      <c r="B13" s="2">
        <f>'All Ridership 2021'!T10</f>
        <v>3.8292464084153079E-2</v>
      </c>
      <c r="C13" s="2"/>
      <c r="D13" s="2"/>
      <c r="E13" s="2"/>
      <c r="F13" s="2"/>
      <c r="G13" s="2"/>
      <c r="H13" s="2"/>
      <c r="I13" s="2"/>
      <c r="J13" s="2"/>
      <c r="L13" s="2"/>
      <c r="P13" s="2"/>
    </row>
    <row r="14" spans="1:16" x14ac:dyDescent="0.25">
      <c r="A14" t="s">
        <v>78</v>
      </c>
      <c r="B14" s="2">
        <f>'All Ridership 2021'!U10</f>
        <v>0.12858312441005951</v>
      </c>
      <c r="C14" s="2"/>
      <c r="D14" s="2"/>
      <c r="E14" s="2"/>
      <c r="F14" s="2"/>
      <c r="G14" s="2"/>
      <c r="H14" s="2"/>
      <c r="I14" s="2"/>
      <c r="J14" s="2"/>
      <c r="L14" s="2"/>
      <c r="P14" s="2"/>
    </row>
    <row r="15" spans="1:16" x14ac:dyDescent="0.25">
      <c r="A15" t="s">
        <v>80</v>
      </c>
      <c r="B15" s="2">
        <f>'All Ridership 2021'!V10</f>
        <v>6.098771283973365E-2</v>
      </c>
      <c r="C15" s="2">
        <f>'All Ridership 2021'!V8</f>
        <v>0.1877320698969176</v>
      </c>
      <c r="D15" s="2"/>
      <c r="E15" s="2"/>
      <c r="F15" s="2"/>
      <c r="G15" s="2"/>
      <c r="H15" s="2"/>
      <c r="I15" s="2"/>
      <c r="J15" s="2"/>
      <c r="L15" s="2"/>
      <c r="P15" s="2"/>
    </row>
    <row r="16" spans="1:16" x14ac:dyDescent="0.25">
      <c r="A16" t="s">
        <v>81</v>
      </c>
      <c r="B16" s="2">
        <f>'All Ridership 2021'!W10</f>
        <v>3.62039097443222E-2</v>
      </c>
      <c r="C16" s="2">
        <f>'All Ridership 2021'!W8</f>
        <v>0.11737180949924454</v>
      </c>
      <c r="D16" s="2"/>
      <c r="E16" s="2"/>
      <c r="F16" s="2"/>
      <c r="G16" s="2"/>
      <c r="H16" s="2"/>
      <c r="I16" s="2"/>
      <c r="J16" s="2"/>
      <c r="L16" s="2"/>
      <c r="P16" s="2"/>
    </row>
    <row r="17" spans="1:16" x14ac:dyDescent="0.25">
      <c r="A17" t="s">
        <v>70</v>
      </c>
      <c r="B17" s="2">
        <f>'All Ridership 2021'!X10</f>
        <v>6.1336893556496547E-2</v>
      </c>
      <c r="C17" s="2">
        <f>'All Ridership 2021'!X8</f>
        <v>0.21955461000165138</v>
      </c>
      <c r="D17" s="2"/>
      <c r="E17" s="2"/>
      <c r="F17" s="2"/>
      <c r="G17" s="2"/>
      <c r="H17" s="2"/>
      <c r="I17" s="2"/>
      <c r="J17" s="2"/>
      <c r="L17" s="2"/>
      <c r="P17" s="2"/>
    </row>
    <row r="18" spans="1:16" x14ac:dyDescent="0.25">
      <c r="A18" t="s">
        <v>90</v>
      </c>
      <c r="B18" s="2">
        <f>'All Ridership 2021'!Y10</f>
        <v>1.3857610822787924E-2</v>
      </c>
      <c r="C18" s="2">
        <f>'All Ridership 2021'!Y8</f>
        <v>4.3703403734718323E-2</v>
      </c>
      <c r="D18" s="2"/>
      <c r="E18" s="2"/>
      <c r="F18" s="2"/>
      <c r="G18" s="2"/>
      <c r="H18" s="2"/>
      <c r="I18" s="2"/>
      <c r="J18" s="2"/>
      <c r="L18" s="2"/>
      <c r="P18" s="2"/>
    </row>
    <row r="19" spans="1:16" x14ac:dyDescent="0.25">
      <c r="A19" t="s">
        <v>5</v>
      </c>
      <c r="C19" s="2">
        <f>'All Ridership 2021'!I8</f>
        <v>9.5783399793430979E-2</v>
      </c>
      <c r="D19" s="2">
        <f>'All Ridership 2021'!I5</f>
        <v>0.1667685852891784</v>
      </c>
      <c r="E19" s="2">
        <f>'All Ridership 2021'!I7</f>
        <v>9.5783399793430979E-2</v>
      </c>
      <c r="F19" s="2">
        <f>'All Ridership 2021'!I2</f>
        <v>0.65223544479009132</v>
      </c>
      <c r="G19" s="2">
        <f>'All Ridership 2021'!I9</f>
        <v>6.9249595483546242E-2</v>
      </c>
      <c r="H19" s="2">
        <f>'All Ridership 2021'!I4</f>
        <v>8.0880336640306791E-2</v>
      </c>
      <c r="I19" s="2">
        <f>'All Ridership 2021'!I3</f>
        <v>0.1279171961894946</v>
      </c>
      <c r="J19" s="2">
        <f>'All Ridership 2021'!I6</f>
        <v>1.9923747225933614E-2</v>
      </c>
      <c r="L19" s="2"/>
      <c r="P19" s="2"/>
    </row>
    <row r="20" spans="1:16" x14ac:dyDescent="0.25">
      <c r="A20" t="s">
        <v>4</v>
      </c>
      <c r="E20" s="2">
        <f>'All Ridership 2021'!G7</f>
        <v>0.13248394610720998</v>
      </c>
      <c r="F20" s="2">
        <f>'All Ridership 2021'!G2</f>
        <v>0.90214719568462021</v>
      </c>
      <c r="G20" s="2">
        <f>'All Ridership 2021'!H8</f>
        <v>9.5783399793430979E-2</v>
      </c>
      <c r="H20" s="2">
        <f>'All Ridership 2021'!G4</f>
        <v>0.18526594709220398</v>
      </c>
      <c r="I20" s="2">
        <f>'All Ridership 2021'!G3</f>
        <v>0.26460929238106673</v>
      </c>
      <c r="J20" s="2">
        <f>'All Ridership 2021'!G6</f>
        <v>3.7458409579564339E-2</v>
      </c>
      <c r="L20" s="2"/>
      <c r="P20" s="2"/>
    </row>
    <row r="21" spans="1:16" x14ac:dyDescent="0.25">
      <c r="A21" t="s">
        <v>3</v>
      </c>
      <c r="F21" s="2">
        <f>'All Ridership 2021'!F2</f>
        <v>0.90214719568462021</v>
      </c>
      <c r="G21" s="2">
        <f>'All Ridership 2021'!H7</f>
        <v>9.5783399793430979E-2</v>
      </c>
      <c r="H21" s="2">
        <f>'All Ridership 2021'!F4</f>
        <v>0.24541637206482414</v>
      </c>
      <c r="I21" s="2">
        <f>'All Ridership 2021'!F3</f>
        <v>0.3280697373321721</v>
      </c>
      <c r="J21" s="2">
        <f>'All Ridership 2021'!F6</f>
        <v>4.3857616118127121E-2</v>
      </c>
      <c r="L21" s="2"/>
      <c r="P21" s="2"/>
    </row>
    <row r="22" spans="1:16" x14ac:dyDescent="0.25">
      <c r="A22" t="s">
        <v>38</v>
      </c>
      <c r="F22" s="2"/>
      <c r="G22" s="2">
        <f>'All Ridership 2021'!H5</f>
        <v>0.1667685852891784</v>
      </c>
      <c r="H22" s="2">
        <f>'All Ridership 2021'!D4</f>
        <v>0.46146515716204151</v>
      </c>
      <c r="I22" s="2">
        <f>'All Ridership 2021'!D3</f>
        <v>0.6050444177779446</v>
      </c>
      <c r="J22" s="2">
        <f>'All Ridership 2021'!E5</f>
        <v>7.9592382809458059E-2</v>
      </c>
      <c r="L22" s="2"/>
      <c r="P22" s="2"/>
    </row>
    <row r="23" spans="1:16" x14ac:dyDescent="0.25">
      <c r="A23" t="s">
        <v>0</v>
      </c>
      <c r="G23" s="2">
        <f>'Ridership Phase 1'!B5</f>
        <v>0.65223544479009132</v>
      </c>
      <c r="H23" s="2">
        <f>'Ridership Phase 1'!C5</f>
        <v>1.8777138532895898</v>
      </c>
      <c r="I23" s="2">
        <f>'Ridership Phase 1'!D5</f>
        <v>3.084296011437591</v>
      </c>
      <c r="J23" s="2">
        <f>'All Ridership 2021'!E2</f>
        <v>0.37508517232376282</v>
      </c>
      <c r="L23" s="2"/>
      <c r="O23" s="2"/>
      <c r="P23" s="2"/>
    </row>
    <row r="24" spans="1:16" x14ac:dyDescent="0.25">
      <c r="A24" t="s">
        <v>1</v>
      </c>
      <c r="H24" s="2">
        <f>'Ridership Phase 1'!C6</f>
        <v>0.19936194178469219</v>
      </c>
      <c r="I24" s="2">
        <f>'Ridership Phase 1'!D6</f>
        <v>0.38971400994458916</v>
      </c>
      <c r="J24" s="2">
        <f>'All Ridership 2021'!H6</f>
        <v>4.4828431258350634E-2</v>
      </c>
      <c r="L24" s="2"/>
      <c r="O24" s="2"/>
      <c r="P24" s="2"/>
    </row>
    <row r="25" spans="1:16" x14ac:dyDescent="0.25">
      <c r="A25" t="s">
        <v>6</v>
      </c>
      <c r="I25" s="2">
        <f>'Ridership Phase 1'!D7</f>
        <v>1.3575517788529452</v>
      </c>
      <c r="J25" s="2">
        <f>'All Ridership 2021'!E4</f>
        <v>0.34710930144094587</v>
      </c>
      <c r="L25" s="2"/>
      <c r="O25" s="2"/>
      <c r="P25" s="2"/>
    </row>
    <row r="26" spans="1:16" x14ac:dyDescent="0.25">
      <c r="A26" t="s">
        <v>7</v>
      </c>
      <c r="J26" s="2">
        <f>'All Ridership 2021'!E3</f>
        <v>0.82102311713360121</v>
      </c>
      <c r="L26" s="2"/>
      <c r="O26" s="2"/>
      <c r="P26" s="2"/>
    </row>
    <row r="29" spans="1:16" x14ac:dyDescent="0.25">
      <c r="A29">
        <v>2041</v>
      </c>
    </row>
    <row r="30" spans="1:16" x14ac:dyDescent="0.25">
      <c r="A30" t="s">
        <v>46</v>
      </c>
      <c r="B30" t="s">
        <v>5</v>
      </c>
      <c r="C30" t="s">
        <v>4</v>
      </c>
      <c r="D30" t="s">
        <v>38</v>
      </c>
      <c r="E30" t="s">
        <v>3</v>
      </c>
      <c r="F30" t="s">
        <v>0</v>
      </c>
      <c r="G30" t="s">
        <v>1</v>
      </c>
      <c r="H30" t="s">
        <v>6</v>
      </c>
      <c r="I30" t="s">
        <v>7</v>
      </c>
      <c r="J30" t="s">
        <v>8</v>
      </c>
    </row>
    <row r="31" spans="1:16" x14ac:dyDescent="0.25">
      <c r="A31" t="s">
        <v>11</v>
      </c>
      <c r="B31" s="2">
        <f>'All Ridership 2041'!J10</f>
        <v>0.36149838727664652</v>
      </c>
      <c r="C31" s="2">
        <f>'All Ridership 2041'!J8</f>
        <v>0.25932472085400055</v>
      </c>
      <c r="D31" s="2">
        <f>'All Ridership 2041'!J5</f>
        <v>0.25995680370532998</v>
      </c>
      <c r="E31" s="2">
        <f>'All Ridership 2041'!J7</f>
        <v>0.23138580783645929</v>
      </c>
      <c r="F31" s="2">
        <f>'All Ridership 2041'!J2</f>
        <v>1.4765313233600472</v>
      </c>
      <c r="G31" s="2">
        <f>'All Ridership 2041'!J9</f>
        <v>0.11940097346962826</v>
      </c>
      <c r="H31" s="2">
        <f>'All Ridership 2041'!J4</f>
        <v>0.16964245440597747</v>
      </c>
      <c r="I31" s="2">
        <f>'All Ridership 2041'!J3</f>
        <v>0.15952832956957336</v>
      </c>
      <c r="J31" s="2">
        <f>'All Ridership 2041'!J6</f>
        <v>2.646945218545705E-2</v>
      </c>
      <c r="L31" s="2"/>
    </row>
    <row r="32" spans="1:16" x14ac:dyDescent="0.25">
      <c r="A32" t="s">
        <v>10</v>
      </c>
      <c r="B32" s="2">
        <f>'All Ridership 2041'!K10</f>
        <v>0.17916315328042157</v>
      </c>
      <c r="C32" s="2">
        <f>'All Ridership 2041'!K8</f>
        <v>0.20729732326374742</v>
      </c>
      <c r="D32" s="2">
        <f>'All Ridership 2041'!K5</f>
        <v>0.43146512842263968</v>
      </c>
      <c r="E32" s="2">
        <f>'All Ridership 2041'!K7</f>
        <v>0.23450447030542151</v>
      </c>
      <c r="F32" s="2">
        <f>'All Ridership 2041'!K2</f>
        <v>1.9682157100817717</v>
      </c>
      <c r="G32" s="2">
        <f>'All Ridership 2041'!K9</f>
        <v>0.17916315328042157</v>
      </c>
      <c r="H32" s="2">
        <f>'All Ridership 2041'!K4</f>
        <v>0.20881485974804731</v>
      </c>
      <c r="I32" s="2">
        <f>'All Ridership 2041'!K3</f>
        <v>0.17119939006140134</v>
      </c>
      <c r="J32" s="2">
        <f>'All Ridership 2041'!K6</f>
        <v>2.4565566318016253E-2</v>
      </c>
      <c r="L32" s="2"/>
    </row>
    <row r="33" spans="1:12" x14ac:dyDescent="0.25">
      <c r="A33" t="s">
        <v>40</v>
      </c>
      <c r="B33" s="2">
        <f>'All Ridership 2041'!L10</f>
        <v>0.12207534027068821</v>
      </c>
      <c r="C33" s="2">
        <f>'All Ridership 2041'!L8</f>
        <v>0.14124495361508116</v>
      </c>
      <c r="D33" s="2"/>
      <c r="E33" s="2">
        <f>'All Ridership 2041'!L7</f>
        <v>0.14220623603534696</v>
      </c>
      <c r="F33" s="2"/>
      <c r="G33" s="2"/>
      <c r="H33" s="2"/>
      <c r="I33" s="2"/>
      <c r="L33" s="2"/>
    </row>
    <row r="34" spans="1:12" x14ac:dyDescent="0.25">
      <c r="A34" t="s">
        <v>41</v>
      </c>
      <c r="B34" s="2">
        <f>'All Ridership 2041'!M10</f>
        <v>3.7772024736842422E-2</v>
      </c>
      <c r="C34" s="2">
        <f>'All Ridership 2041'!M8</f>
        <v>4.3703403734718323E-2</v>
      </c>
      <c r="D34" s="2">
        <f>'All Ridership 2041'!M5</f>
        <v>7.3828035373993101E-2</v>
      </c>
      <c r="E34" s="2">
        <f>'All Ridership 2041'!M7</f>
        <v>4.9439343364383943E-2</v>
      </c>
      <c r="F34" s="2">
        <f>'All Ridership 2041'!M2</f>
        <v>0.41494856016677745</v>
      </c>
      <c r="G34" s="2">
        <f>'All Ridership 2041'!M9</f>
        <v>3.6305290981201867E-2</v>
      </c>
      <c r="H34" s="2">
        <f>'All Ridership 2041'!M4</f>
        <v>3.5079275079639448E-2</v>
      </c>
      <c r="I34" s="2">
        <f>'All Ridership 2041'!M3</f>
        <v>2.9913461910616907E-2</v>
      </c>
      <c r="J34" s="2">
        <f>'All Ridership 2041'!M6</f>
        <v>4.4655913897109429E-3</v>
      </c>
      <c r="L34" s="2"/>
    </row>
    <row r="35" spans="1:12" x14ac:dyDescent="0.25">
      <c r="A35" t="s">
        <v>68</v>
      </c>
      <c r="B35" s="2">
        <f>'All Ridership 2041'!N10</f>
        <v>0.1106704138383702</v>
      </c>
      <c r="C35" s="2">
        <f>'All Ridership 2041'!N8</f>
        <v>7.3490071238171611E-2</v>
      </c>
      <c r="D35" s="2"/>
      <c r="E35" s="2">
        <f>'All Ridership 2041'!N7</f>
        <v>6.6131828633444398E-2</v>
      </c>
      <c r="F35" s="2"/>
      <c r="G35" s="2"/>
      <c r="H35" s="2"/>
      <c r="I35" s="2"/>
      <c r="J35" s="2"/>
      <c r="L35" s="2"/>
    </row>
    <row r="36" spans="1:12" x14ac:dyDescent="0.25">
      <c r="A36" t="s">
        <v>69</v>
      </c>
      <c r="B36" s="2">
        <f>'All Ridership 2041'!O10</f>
        <v>0.1106704138383702</v>
      </c>
      <c r="C36" s="2">
        <f>'All Ridership 2041'!O8</f>
        <v>7.8154968338250863E-2</v>
      </c>
      <c r="D36" s="2"/>
      <c r="E36" s="2">
        <f>'All Ridership 2041'!O7</f>
        <v>6.98568467586307E-2</v>
      </c>
      <c r="F36" s="2"/>
      <c r="G36" s="2"/>
      <c r="H36" s="2"/>
      <c r="I36" s="2"/>
      <c r="J36" s="2"/>
      <c r="L36" s="2"/>
    </row>
    <row r="37" spans="1:12" x14ac:dyDescent="0.25">
      <c r="A37" t="s">
        <v>71</v>
      </c>
      <c r="B37" s="2">
        <f>'All Ridership 2041'!P10</f>
        <v>4.3736050511034109E-2</v>
      </c>
      <c r="C37" s="2"/>
      <c r="D37" s="2"/>
      <c r="E37" s="2"/>
      <c r="F37" s="2"/>
      <c r="G37" s="2"/>
      <c r="H37" s="2"/>
      <c r="I37" s="2"/>
      <c r="J37" s="2"/>
      <c r="L37" s="2"/>
    </row>
    <row r="38" spans="1:12" x14ac:dyDescent="0.25">
      <c r="A38" t="s">
        <v>72</v>
      </c>
      <c r="B38" s="2">
        <f>'All Ridership 2041'!Q10</f>
        <v>3.1654806885798581E-2</v>
      </c>
      <c r="C38" s="2"/>
      <c r="D38" s="2"/>
      <c r="E38" s="2"/>
      <c r="F38" s="2"/>
      <c r="G38" s="2"/>
      <c r="H38" s="2"/>
      <c r="I38" s="2"/>
      <c r="J38" s="2"/>
      <c r="L38" s="2"/>
    </row>
    <row r="39" spans="1:12" x14ac:dyDescent="0.25">
      <c r="A39" t="s">
        <v>73</v>
      </c>
      <c r="B39" s="2">
        <f>'All Ridership 2041'!R10</f>
        <v>2.0408134478042541E-2</v>
      </c>
      <c r="C39" s="2"/>
      <c r="D39" s="2"/>
      <c r="E39" s="2"/>
      <c r="F39" s="2"/>
      <c r="G39" s="2"/>
      <c r="H39" s="2"/>
      <c r="I39" s="2"/>
      <c r="J39" s="2"/>
      <c r="L39" s="2"/>
    </row>
    <row r="40" spans="1:12" x14ac:dyDescent="0.25">
      <c r="A40" t="s">
        <v>75</v>
      </c>
      <c r="B40" s="2">
        <f>'All Ridership 2041'!S10</f>
        <v>1.2554023515904678E-2</v>
      </c>
      <c r="C40" s="2"/>
      <c r="D40" s="2"/>
      <c r="E40" s="2"/>
      <c r="F40" s="2"/>
      <c r="G40" s="2"/>
      <c r="H40" s="2"/>
      <c r="I40" s="2"/>
      <c r="J40" s="2"/>
      <c r="L40" s="2"/>
    </row>
    <row r="41" spans="1:12" x14ac:dyDescent="0.25">
      <c r="A41" t="s">
        <v>76</v>
      </c>
      <c r="B41" s="2">
        <f>'All Ridership 2041'!T10</f>
        <v>4.8051226237717105E-2</v>
      </c>
      <c r="C41" s="2"/>
      <c r="D41" s="2"/>
      <c r="E41" s="2"/>
      <c r="F41" s="2"/>
      <c r="G41" s="2"/>
      <c r="H41" s="2"/>
      <c r="I41" s="2"/>
      <c r="J41" s="2"/>
      <c r="L41" s="2"/>
    </row>
    <row r="42" spans="1:12" x14ac:dyDescent="0.25">
      <c r="A42" t="s">
        <v>78</v>
      </c>
      <c r="B42" s="2">
        <f>'All Ridership 2041'!U10</f>
        <v>0.1559554597612747</v>
      </c>
      <c r="C42" s="2"/>
      <c r="D42" s="2"/>
      <c r="E42" s="2"/>
      <c r="F42" s="2"/>
      <c r="G42" s="2"/>
      <c r="H42" s="2"/>
      <c r="I42" s="2"/>
      <c r="J42" s="2"/>
      <c r="L42" s="2"/>
    </row>
    <row r="43" spans="1:12" x14ac:dyDescent="0.25">
      <c r="A43" t="s">
        <v>80</v>
      </c>
      <c r="B43" s="2">
        <f>'All Ridership 2041'!V10</f>
        <v>7.4813320139124284E-2</v>
      </c>
      <c r="C43" s="2">
        <f>'All Ridership 2041'!V8</f>
        <v>0.19264025310113547</v>
      </c>
      <c r="D43" s="2"/>
      <c r="E43" s="2"/>
      <c r="F43" s="2"/>
      <c r="G43" s="2"/>
      <c r="H43" s="2"/>
      <c r="I43" s="2"/>
      <c r="J43" s="2"/>
      <c r="L43" s="2"/>
    </row>
    <row r="44" spans="1:12" x14ac:dyDescent="0.25">
      <c r="A44" t="s">
        <v>81</v>
      </c>
      <c r="B44" s="2">
        <f>'All Ridership 2041'!W10</f>
        <v>4.5735566482666072E-2</v>
      </c>
      <c r="C44" s="2">
        <f>'All Ridership 2041'!W8</f>
        <v>0.12403218051695396</v>
      </c>
      <c r="D44" s="2"/>
      <c r="E44" s="2"/>
      <c r="F44" s="2"/>
      <c r="G44" s="2"/>
      <c r="H44" s="2"/>
      <c r="I44" s="2"/>
      <c r="J44" s="2"/>
      <c r="L44" s="2"/>
    </row>
    <row r="45" spans="1:12" x14ac:dyDescent="0.25">
      <c r="A45" t="s">
        <v>70</v>
      </c>
      <c r="B45" s="2">
        <f>'All Ridership 2041'!X10</f>
        <v>8.4131122251457066E-2</v>
      </c>
      <c r="C45" s="2">
        <f>'All Ridership 2041'!X8</f>
        <v>0.25191234755202246</v>
      </c>
      <c r="D45" s="2"/>
      <c r="E45" s="2"/>
      <c r="F45" s="2"/>
      <c r="G45" s="2"/>
      <c r="H45" s="2"/>
      <c r="I45" s="2"/>
      <c r="J45" s="2"/>
      <c r="L45" s="2"/>
    </row>
    <row r="46" spans="1:12" x14ac:dyDescent="0.25">
      <c r="A46" t="s">
        <v>90</v>
      </c>
      <c r="B46" s="2">
        <f>'All Ridership 2041'!Y10</f>
        <v>1.6565950939363371E-2</v>
      </c>
      <c r="C46" s="2">
        <f>'All Ridership 2041'!Y8</f>
        <v>4.3703403734718323E-2</v>
      </c>
      <c r="D46" s="2"/>
      <c r="E46" s="2"/>
      <c r="F46" s="2"/>
      <c r="G46" s="2"/>
      <c r="H46" s="2"/>
      <c r="I46" s="2"/>
      <c r="J46" s="2"/>
      <c r="L46" s="2"/>
    </row>
    <row r="47" spans="1:12" x14ac:dyDescent="0.25">
      <c r="A47" t="s">
        <v>5</v>
      </c>
      <c r="C47" s="2">
        <f>'All Ridership 2041'!I8</f>
        <v>0.11450336728854525</v>
      </c>
      <c r="D47" s="2">
        <f>'All Ridership 2041'!I5</f>
        <v>0.23832536423598277</v>
      </c>
      <c r="E47" s="2">
        <f>'All Ridership 2041'!I7</f>
        <v>0.12953158811425566</v>
      </c>
      <c r="F47" s="2">
        <f>'All Ridership 2041'!I2</f>
        <v>1.0871694955165432</v>
      </c>
      <c r="G47" s="2">
        <f>'All Ridership 2041'!I9</f>
        <v>9.8963093307967084E-2</v>
      </c>
      <c r="H47" s="2">
        <f>'All Ridership 2041'!I4</f>
        <v>0.11681559734902502</v>
      </c>
      <c r="I47" s="2">
        <f>'All Ridership 2041'!I3</f>
        <v>0.18280368764323379</v>
      </c>
      <c r="J47" s="2">
        <f>'All Ridership 2041'!I6</f>
        <v>2.6171044236581814E-2</v>
      </c>
      <c r="L47" s="2"/>
    </row>
    <row r="48" spans="1:12" x14ac:dyDescent="0.25">
      <c r="A48" t="s">
        <v>4</v>
      </c>
      <c r="E48" s="2">
        <f>'All Ridership 2041'!G7</f>
        <v>0.14987206354958535</v>
      </c>
      <c r="F48" s="2">
        <f>'All Ridership 2041'!G2</f>
        <v>1.2578888137888429</v>
      </c>
      <c r="G48" s="2">
        <f>'All Ridership 2041'!H8</f>
        <v>0.11450336728854525</v>
      </c>
      <c r="H48" s="2">
        <f>'All Ridership 2041'!G4</f>
        <v>0.22383370037459668</v>
      </c>
      <c r="I48" s="2">
        <f>'All Ridership 2041'!G3</f>
        <v>0.31632469779538241</v>
      </c>
      <c r="J48" s="2">
        <f>'All Ridership 2041'!G6</f>
        <v>4.1159619567095476E-2</v>
      </c>
      <c r="L48" s="2"/>
    </row>
    <row r="49" spans="1:12" x14ac:dyDescent="0.25">
      <c r="A49" t="s">
        <v>3</v>
      </c>
      <c r="F49" s="2">
        <f>'All Ridership 2041'!F2</f>
        <v>1.4229829181410101</v>
      </c>
      <c r="G49" s="2">
        <f>'All Ridership 2041'!H7</f>
        <v>0.12953158811425566</v>
      </c>
      <c r="H49" s="2">
        <f>'All Ridership 2041'!F4</f>
        <v>0.33542145381127181</v>
      </c>
      <c r="I49" s="2">
        <f>'All Ridership 2041'!F3</f>
        <v>0.44366136700628361</v>
      </c>
      <c r="J49" s="2">
        <f>'All Ridership 2041'!F6</f>
        <v>5.4516061344838239E-2</v>
      </c>
      <c r="L49" s="2"/>
    </row>
    <row r="50" spans="1:12" x14ac:dyDescent="0.25">
      <c r="A50" t="s">
        <v>38</v>
      </c>
      <c r="F50" s="2"/>
      <c r="G50" s="2">
        <f>'All Ridership 2041'!H5</f>
        <v>0.23832536423598277</v>
      </c>
      <c r="H50" s="2">
        <f>'All Ridership 2041'!D4</f>
        <v>0.66649485188692115</v>
      </c>
      <c r="I50" s="2">
        <f>'All Ridership 2041'!D3</f>
        <v>0.86465584028213094</v>
      </c>
      <c r="J50" s="2">
        <f>'All Ridership 2041'!E5</f>
        <v>0.10454939764995301</v>
      </c>
      <c r="L50" s="2"/>
    </row>
    <row r="51" spans="1:12" x14ac:dyDescent="0.25">
      <c r="A51" t="s">
        <v>0</v>
      </c>
      <c r="G51" s="2">
        <f>'Ridership Phase 1'!B15</f>
        <v>1.0871694955165432</v>
      </c>
      <c r="H51" s="2">
        <f>'Ridership Phase 1'!C15</f>
        <v>3.163181671121619</v>
      </c>
      <c r="I51" s="2">
        <f>'Ridership Phase 1'!D15</f>
        <v>5.1410155114422471</v>
      </c>
      <c r="J51" s="2">
        <f>'All Ridership 2041'!E2</f>
        <v>0.57466767090718285</v>
      </c>
      <c r="L51" s="2"/>
    </row>
    <row r="52" spans="1:12" x14ac:dyDescent="0.25">
      <c r="A52" t="s">
        <v>1</v>
      </c>
      <c r="H52" s="2">
        <f>'Ridership Phase 1'!C16</f>
        <v>0.28793876590561179</v>
      </c>
      <c r="I52" s="2">
        <f>'Ridership Phase 1'!D16</f>
        <v>0.55693182985786527</v>
      </c>
      <c r="J52" s="2">
        <f>'All Ridership 2041'!H6</f>
        <v>5.8884849532309082E-2</v>
      </c>
      <c r="L52" s="2"/>
    </row>
    <row r="53" spans="1:12" x14ac:dyDescent="0.25">
      <c r="A53" t="s">
        <v>6</v>
      </c>
      <c r="I53" s="2">
        <f>'Ridership Phase 1'!D17</f>
        <v>1.9607141681938574</v>
      </c>
      <c r="J53" s="2">
        <f>'All Ridership 2041'!E4</f>
        <v>0.46080601886429728</v>
      </c>
      <c r="L53" s="2"/>
    </row>
    <row r="54" spans="1:12" x14ac:dyDescent="0.25">
      <c r="A54" t="s">
        <v>7</v>
      </c>
      <c r="J54" s="2">
        <f>'All Ridership 2041'!E3</f>
        <v>1.0784634072144481</v>
      </c>
      <c r="L54" s="2"/>
    </row>
  </sheetData>
  <conditionalFormatting sqref="B3:I25 B31:I53">
    <cfRule type="colorScale" priority="3">
      <colorScale>
        <cfvo type="min"/>
        <cfvo type="max"/>
        <color rgb="FFFCFCFF"/>
        <color rgb="FFF8696B"/>
      </colorScale>
    </cfRule>
  </conditionalFormatting>
  <conditionalFormatting sqref="B3:J26 B31:J54">
    <cfRule type="colorScale" priority="1">
      <colorScale>
        <cfvo type="min"/>
        <cfvo type="max"/>
        <color rgb="FFFCFCFF"/>
        <color rgb="FFF8696B"/>
      </colorScale>
    </cfRule>
  </conditionalFormatting>
  <conditionalFormatting sqref="L31:L54 L3:L2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C06-E286-4B1F-9F99-2ECFB0EFD3E0}">
  <dimension ref="A1:T62"/>
  <sheetViews>
    <sheetView topLeftCell="A44" workbookViewId="0">
      <selection activeCell="F37" sqref="F37"/>
    </sheetView>
  </sheetViews>
  <sheetFormatPr defaultRowHeight="15" x14ac:dyDescent="0.25"/>
  <cols>
    <col min="2" max="2" width="12.7109375" customWidth="1"/>
  </cols>
  <sheetData>
    <row r="1" spans="1:10" x14ac:dyDescent="0.25">
      <c r="A1">
        <v>2021</v>
      </c>
    </row>
    <row r="2" spans="1:10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0" x14ac:dyDescent="0.25">
      <c r="A3" t="s">
        <v>11</v>
      </c>
      <c r="B3" s="4">
        <f>'Ridership Phase 3W'!B3*'Distances Phase 3W'!B2*Coefficient!$B$4</f>
        <v>0.12582308774844639</v>
      </c>
      <c r="C3" s="4">
        <f>'Ridership Phase 3W'!C3*'Distances Phase 3W'!C2*Coefficient!$B$4</f>
        <v>3.8844398856932929</v>
      </c>
      <c r="D3" s="4">
        <f>'Ridership Phase 3W'!D3*'Distances Phase 3W'!C2*Coefficient!$B$4</f>
        <v>3.2572992839994321</v>
      </c>
      <c r="E3" s="4">
        <f>'Ridership Phase 3W'!E3*'Distances Phase 3W'!E2*Coefficient!$B$4</f>
        <v>4.4255231275232836</v>
      </c>
      <c r="F3" s="4">
        <f>'Ridership Phase 3W'!F3*'Distances Phase 3W'!F2*Coefficient!$B$4</f>
        <v>32.164933521307823</v>
      </c>
      <c r="G3" s="4">
        <f>'Ridership Phase 3W'!G3*'Distances Phase 3W'!G2*Coefficient!$B$4</f>
        <v>3.4493712125515428</v>
      </c>
      <c r="H3" s="4">
        <f>'Ridership Phase 3W'!H3*'Distances Phase 3W'!H2*Coefficient!$B$4</f>
        <v>9.2308936124963488</v>
      </c>
      <c r="I3" s="4">
        <f>'Ridership Phase 3W'!I3*'Distances Phase 3W'!I2*Coefficient!$B$4</f>
        <v>10.716404579492291</v>
      </c>
      <c r="J3" s="4">
        <f>'Ridership Phase 3W'!J3*'Distances Phase 3W'!J2*Coefficient!$B$4</f>
        <v>2.465698820000628</v>
      </c>
    </row>
    <row r="4" spans="1:10" x14ac:dyDescent="0.25">
      <c r="A4" t="s">
        <v>10</v>
      </c>
      <c r="B4" s="4">
        <f>'Ridership Phase 3W'!B4*'Distances Phase 3W'!B3*Coefficient!$B$4</f>
        <v>6.7407076756901163E-2</v>
      </c>
      <c r="C4" s="4">
        <f>'Ridership Phase 3W'!C4*'Distances Phase 3W'!C3*Coefficient!$B$4</f>
        <v>3.3564563334393114</v>
      </c>
      <c r="D4" s="4">
        <f>'Ridership Phase 3W'!D4*'Distances Phase 3W'!C3*Coefficient!$B$4</f>
        <v>5.8439299035088714</v>
      </c>
      <c r="E4" s="4">
        <f>'Ridership Phase 3W'!E4*'Distances Phase 3W'!E3*Coefficient!$B$4</f>
        <v>4.8482147038567831</v>
      </c>
      <c r="F4" s="4">
        <f>'Ridership Phase 3W'!F4*'Distances Phase 3W'!F3*Coefficient!$B$4</f>
        <v>46.346347007496846</v>
      </c>
      <c r="G4" s="4">
        <f>'Ridership Phase 3W'!G4*'Distances Phase 3W'!G3*Coefficient!$B$4</f>
        <v>5.5947873708227966</v>
      </c>
      <c r="H4" s="4">
        <f>'Ridership Phase 3W'!H4*'Distances Phase 3W'!H3*Coefficient!$B$4</f>
        <v>12.282122388841552</v>
      </c>
      <c r="I4" s="4">
        <f>'Ridership Phase 3W'!I4*'Distances Phase 3W'!I3*Coefficient!$B$4</f>
        <v>12.431293441506249</v>
      </c>
      <c r="J4" s="4">
        <f>'Ridership Phase 3W'!J4*'Distances Phase 3W'!J3*Coefficient!$B$4</f>
        <v>2.4735726830335869</v>
      </c>
    </row>
    <row r="5" spans="1:10" x14ac:dyDescent="0.25">
      <c r="A5" t="s">
        <v>40</v>
      </c>
      <c r="B5" s="4">
        <f>'Ridership Phase 3W'!B5*'Distances Phase 3W'!B4*Coefficient!$B$4</f>
        <v>4.5607300138719414E-2</v>
      </c>
      <c r="C5" s="4">
        <f>'Ridership Phase 3W'!C5*'Distances Phase 3W'!C4*Coefficient!$B$4</f>
        <v>2.2709620230786829</v>
      </c>
      <c r="D5" s="4"/>
      <c r="E5" s="4">
        <f>'Ridership Phase 3W'!E5*'Distances Phase 3W'!E4*Coefficient!$B$4</f>
        <v>2.9194361674798146</v>
      </c>
      <c r="F5" s="4"/>
      <c r="G5" s="4"/>
      <c r="H5" s="4"/>
      <c r="I5" s="4"/>
      <c r="J5" s="4"/>
    </row>
    <row r="6" spans="1:10" x14ac:dyDescent="0.25">
      <c r="A6" t="s">
        <v>41</v>
      </c>
      <c r="B6" s="4">
        <f>'Ridership Phase 3W'!B6*'Distances Phase 3W'!B5*Coefficient!$B$4</f>
        <v>1.3691919989383457E-2</v>
      </c>
      <c r="C6" s="4">
        <f>'Ridership Phase 3W'!C6*'Distances Phase 3W'!C5*Coefficient!$B$4</f>
        <v>0.68177309826160581</v>
      </c>
      <c r="D6" s="4">
        <f>'Ridership Phase 3W'!D6*'Distances Phase 3W'!D5*Coefficient!$B$4</f>
        <v>2.4620860425887252</v>
      </c>
      <c r="E6" s="4">
        <f>'Ridership Phase 3W'!E6*'Distances Phase 3W'!E5*Coefficient!$B$4</f>
        <v>0.98478336415565293</v>
      </c>
      <c r="F6" s="4">
        <f>'Ridership Phase 3W'!F6*'Distances Phase 3W'!F5*Coefficient!$B$4</f>
        <v>9.4140037746389957</v>
      </c>
      <c r="G6" s="4">
        <f>'Ridership Phase 3W'!G6*'Distances Phase 3W'!G5*Coefficient!$B$4</f>
        <v>1.0923004220673076</v>
      </c>
      <c r="H6" s="4">
        <f>'Ridership Phase 3W'!H6*'Distances Phase 3W'!H5*Coefficient!$B$4</f>
        <v>1.9879246595523405</v>
      </c>
      <c r="I6" s="4">
        <f>'Ridership Phase 3W'!I6*'Distances Phase 3W'!I5*Coefficient!$B$4</f>
        <v>2.0927534829877854</v>
      </c>
      <c r="J6" s="4">
        <f>'Ridership Phase 3W'!J6*'Distances Phase 3W'!J5*Coefficient!$B$4</f>
        <v>0.43322565648422551</v>
      </c>
    </row>
    <row r="7" spans="1:10" x14ac:dyDescent="0.25">
      <c r="A7" t="s">
        <v>68</v>
      </c>
      <c r="B7" s="4">
        <f>'Ridership Phase 3W'!B7*'Distances Phase 3W'!B6*Coefficient!$B$4</f>
        <v>3.5872971197991578E-2</v>
      </c>
      <c r="C7" s="4">
        <f>'Ridership Phase 3W'!C7*'Distances Phase 3W'!C6*Coefficient!$B$4</f>
        <v>1.0251678889470306</v>
      </c>
      <c r="D7" s="4"/>
      <c r="E7" s="4">
        <f>'Ridership Phase 3W'!E7*'Distances Phase 3W'!E6*Coefficient!$B$4</f>
        <v>1.1779321324424246</v>
      </c>
      <c r="F7" s="4"/>
      <c r="G7" s="4"/>
      <c r="H7" s="4"/>
      <c r="I7" s="4"/>
      <c r="J7" s="4"/>
    </row>
    <row r="8" spans="1:10" x14ac:dyDescent="0.25">
      <c r="A8" t="s">
        <v>69</v>
      </c>
      <c r="B8" s="4">
        <f>'Ridership Phase 3W'!B8*'Distances Phase 3W'!B7*Coefficient!$B$4</f>
        <v>4.0116738830495421E-2</v>
      </c>
      <c r="C8" s="4">
        <f>'Ridership Phase 3W'!C8*'Distances Phase 3W'!C7*Coefficient!$B$4</f>
        <v>1.2192175060767136</v>
      </c>
      <c r="D8" s="4"/>
      <c r="E8" s="4">
        <f>'Ridership Phase 3W'!E8*'Distances Phase 3W'!E7*Coefficient!$B$4</f>
        <v>1.3914800618049734</v>
      </c>
      <c r="F8" s="4"/>
      <c r="G8" s="4"/>
      <c r="H8" s="4"/>
      <c r="I8" s="4"/>
      <c r="J8" s="4"/>
    </row>
    <row r="9" spans="1:10" x14ac:dyDescent="0.25">
      <c r="A9" t="s">
        <v>71</v>
      </c>
      <c r="B9" s="4">
        <f>'Ridership Phase 3W'!B9*'Distances Phase 3W'!B8*Coefficient!$B$4</f>
        <v>1.7109912862189672E-2</v>
      </c>
      <c r="C9" s="4"/>
      <c r="D9" s="4"/>
      <c r="E9" s="4"/>
      <c r="F9" s="4"/>
      <c r="G9" s="4"/>
      <c r="H9" s="4"/>
      <c r="I9" s="4"/>
      <c r="J9" s="4"/>
    </row>
    <row r="10" spans="1:10" x14ac:dyDescent="0.25">
      <c r="A10" t="s">
        <v>72</v>
      </c>
      <c r="B10" s="4">
        <f>'Ridership Phase 3W'!B10*'Distances Phase 3W'!B9*Coefficient!$B$4</f>
        <v>1.1474499611268923E-2</v>
      </c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t="s">
        <v>73</v>
      </c>
      <c r="B11" s="4">
        <f>'Ridership Phase 3W'!B11*'Distances Phase 3W'!B10*Coefficient!$B$4</f>
        <v>8.0482857429665933E-3</v>
      </c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t="s">
        <v>75</v>
      </c>
      <c r="B12" s="4">
        <f>'Ridership Phase 3W'!B12*'Distances Phase 3W'!B11*Coefficient!$B$4</f>
        <v>4.5506876245621757E-3</v>
      </c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t="s">
        <v>76</v>
      </c>
      <c r="B13" s="4">
        <f>'Ridership Phase 3W'!B13*'Distances Phase 3W'!B12*Coefficient!$B$4</f>
        <v>1.6593401103132999E-2</v>
      </c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t="s">
        <v>78</v>
      </c>
      <c r="B14" s="4">
        <f>'Ridership Phase 3W'!B14*'Distances Phase 3W'!B13*Coefficient!$B$4</f>
        <v>5.5719353911025789E-2</v>
      </c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80</v>
      </c>
      <c r="B15" s="4">
        <f>'Ridership Phase 3W'!B15*'Distances Phase 3W'!B14*Coefficient!$B$4</f>
        <v>2.6428008897217917E-2</v>
      </c>
      <c r="C15" s="4">
        <f>'Ridership Phase 3W'!C15*'Distances Phase 3W'!C14*Coefficient!$B$4</f>
        <v>2.9286202903919145</v>
      </c>
      <c r="D15" s="4"/>
      <c r="E15" s="4"/>
      <c r="F15" s="4"/>
      <c r="G15" s="4"/>
      <c r="H15" s="4"/>
      <c r="I15" s="4"/>
      <c r="J15" s="4"/>
    </row>
    <row r="16" spans="1:10" x14ac:dyDescent="0.25">
      <c r="A16" t="s">
        <v>81</v>
      </c>
      <c r="B16" s="4">
        <f>'Ridership Phase 3W'!B16*'Distances Phase 3W'!B15*Coefficient!$B$4</f>
        <v>1.5688360889206287E-2</v>
      </c>
      <c r="C16" s="4">
        <f>'Ridership Phase 3W'!C16*'Distances Phase 3W'!C15*Coefficient!$B$4</f>
        <v>1.831000228188215</v>
      </c>
      <c r="D16" s="4"/>
      <c r="E16" s="4"/>
      <c r="F16" s="4"/>
      <c r="G16" s="4"/>
      <c r="H16" s="4"/>
      <c r="I16" s="4"/>
      <c r="J16" s="4"/>
    </row>
    <row r="17" spans="1:10" x14ac:dyDescent="0.25">
      <c r="A17" t="s">
        <v>70</v>
      </c>
      <c r="B17" s="4">
        <f>'Ridership Phase 3W'!B17*'Distances Phase 3W'!B16*Coefficient!$B$4</f>
        <v>2.6579320541148501E-2</v>
      </c>
      <c r="C17" s="4">
        <f>'Ridership Phase 3W'!C17*'Distances Phase 3W'!C16*Coefficient!$B$4</f>
        <v>3.4250519160257618</v>
      </c>
      <c r="D17" s="4"/>
      <c r="E17" s="4"/>
      <c r="F17" s="4"/>
      <c r="G17" s="4"/>
      <c r="H17" s="4"/>
      <c r="I17" s="4"/>
      <c r="J17" s="4"/>
    </row>
    <row r="18" spans="1:10" x14ac:dyDescent="0.25">
      <c r="A18" t="s">
        <v>90</v>
      </c>
      <c r="B18" s="4">
        <f>'Ridership Phase 3W'!B18*'Distances Phase 3W'!B17*Coefficient!$B$4</f>
        <v>6.0049646898747673E-3</v>
      </c>
      <c r="C18" s="4">
        <f>'Ridership Phase 3W'!C18*'Distances Phase 3W'!C17*Coefficient!$B$4</f>
        <v>0.68177309826160581</v>
      </c>
      <c r="D18" s="4"/>
      <c r="E18" s="4"/>
      <c r="F18" s="4"/>
      <c r="G18" s="4"/>
      <c r="H18" s="4"/>
      <c r="I18" s="4"/>
      <c r="J18" s="4"/>
    </row>
    <row r="19" spans="1:10" x14ac:dyDescent="0.25">
      <c r="A19" t="s">
        <v>5</v>
      </c>
      <c r="B19" s="4"/>
      <c r="C19" s="4">
        <f>'Ridership Phase 3W'!C19*'Distances Phase 3W'!C18*Coefficient!$B$4</f>
        <v>1.4527148968670367</v>
      </c>
      <c r="D19" s="4">
        <f>'Ridership Phase 3W'!D19*'Distances Phase 3W'!C18*Coefficient!$B$4</f>
        <v>2.5293235435525392</v>
      </c>
      <c r="E19" s="4">
        <f>'Ridership Phase 3W'!E19*'Distances Phase 3W'!E18*Coefficient!$B$4</f>
        <v>2.1168131354348247</v>
      </c>
      <c r="F19" s="4">
        <f>'Ridership Phase 3W'!F19*'Distances Phase 3W'!F18*Coefficient!$B$4</f>
        <v>20.34974587745085</v>
      </c>
      <c r="G19" s="4">
        <f>'Ridership Phase 3W'!G19*'Distances Phase 3W'!G18*Coefficient!$B$4</f>
        <v>2.4606689595153433</v>
      </c>
      <c r="H19" s="4">
        <f>'Ridership Phase 3W'!H19*'Distances Phase 3W'!H18*Coefficient!$B$4</f>
        <v>5.5025589027622059</v>
      </c>
      <c r="I19" s="4">
        <f>'Ridership Phase 3W'!I19*'Distances Phase 3W'!I18*Coefficient!$B$4</f>
        <v>10.642710722965951</v>
      </c>
      <c r="J19" s="4">
        <f>'Ridership Phase 3W'!J19*'Distances Phase 3W'!J18*Coefficient!$B$4</f>
        <v>2.1238714542845232</v>
      </c>
    </row>
    <row r="20" spans="1:10" x14ac:dyDescent="0.25">
      <c r="A20" t="s">
        <v>4</v>
      </c>
      <c r="B20" s="4"/>
      <c r="C20" s="4"/>
      <c r="D20" s="4"/>
      <c r="E20" s="4">
        <f>'Ridership Phase 3W'!E20*'Distances Phase 3W'!E19*Coefficient!$B$4</f>
        <v>0.91855535967665602</v>
      </c>
      <c r="F20" s="4">
        <f>'Ridership Phase 3W'!F20*'Distances Phase 3W'!F19*Coefficient!$B$4</f>
        <v>14.464426704143412</v>
      </c>
      <c r="G20" s="4">
        <f>'Ridership Phase 3W'!G20*'Distances Phase 3W'!G19*Coefficient!$B$4</f>
        <v>1.9507885757928778</v>
      </c>
      <c r="H20" s="4">
        <f>'Ridership Phase 3W'!H20*'Distances Phase 3W'!H19*Coefficient!$B$4</f>
        <v>9.7943930696078514</v>
      </c>
      <c r="I20" s="4">
        <f>'Ridership Phase 3W'!I20*'Distances Phase 3W'!I19*Coefficient!$B$4</f>
        <v>18.002252191658574</v>
      </c>
      <c r="J20" s="4">
        <f>'Ridership Phase 3W'!J20*'Distances Phase 3W'!J19*Coefficient!$B$4</f>
        <v>3.4249472492248327</v>
      </c>
    </row>
    <row r="21" spans="1:10" x14ac:dyDescent="0.25">
      <c r="A21" t="s">
        <v>3</v>
      </c>
      <c r="B21" s="4"/>
      <c r="C21" s="4"/>
      <c r="D21" s="4"/>
      <c r="E21" s="4"/>
      <c r="F21" s="4">
        <f>'Ridership Phase 3W'!F21*'Distances Phase 3W'!F20*Coefficient!$B$4</f>
        <v>8.2095394807300437</v>
      </c>
      <c r="G21" s="4">
        <f>'Ridership Phase 3W'!G21*'Distances Phase 3W'!G20*Coefficient!$B$4</f>
        <v>1.2866903372250895</v>
      </c>
      <c r="H21" s="4">
        <f>'Ridership Phase 3W'!H21*'Distances Phase 3W'!H20*Coefficient!$B$4</f>
        <v>11.272792023510922</v>
      </c>
      <c r="I21" s="4">
        <f>'Ridership Phase 3W'!I21*'Distances Phase 3W'!I20*Coefficient!$B$4</f>
        <v>20.045060950995715</v>
      </c>
      <c r="J21" s="4">
        <f>'Ridership Phase 3W'!J21*'Distances Phase 3W'!J20*Coefficient!$B$4</f>
        <v>3.7059685619817415</v>
      </c>
    </row>
    <row r="22" spans="1:10" x14ac:dyDescent="0.25">
      <c r="A22" t="s">
        <v>38</v>
      </c>
      <c r="B22" s="4"/>
      <c r="C22" s="4"/>
      <c r="D22" s="4"/>
      <c r="E22" s="4"/>
      <c r="F22" s="4"/>
      <c r="G22" s="4">
        <f>'Ridership Phase 3W'!G22*'Distances Phase 3W'!G22*Coefficient!$B$4</f>
        <v>0.7226638695864398</v>
      </c>
      <c r="H22" s="4">
        <f>'Ridership Phase 3W'!H22*'Distances Phase 3W'!H22*Coefficient!$B$4</f>
        <v>16.997299955468527</v>
      </c>
      <c r="I22" s="4">
        <f>'Ridership Phase 3W'!I22*'Distances Phase 3W'!I22*Coefficient!$B$4</f>
        <v>31.462309724453121</v>
      </c>
      <c r="J22" s="4">
        <f>'Ridership Phase 3W'!J22*'Distances Phase 3W'!J22*Coefficient!$B$4</f>
        <v>6.0012656638331379</v>
      </c>
    </row>
    <row r="23" spans="1:10" x14ac:dyDescent="0.25">
      <c r="A23" t="s">
        <v>0</v>
      </c>
      <c r="B23" s="4"/>
      <c r="C23" s="4"/>
      <c r="D23" s="4"/>
      <c r="E23" s="4"/>
      <c r="F23" s="4"/>
      <c r="G23" s="4">
        <f>'Ridership Phase 3W'!G23*'Distances Phase 3W'!G22*Coefficient!$B$4</f>
        <v>2.8263535940903961</v>
      </c>
      <c r="H23" s="4">
        <f>'Ridership Phase 3W'!H23*'Distances Phase 3W'!H22*Coefficient!$B$4</f>
        <v>69.162460262833221</v>
      </c>
      <c r="I23" s="4">
        <f>'Ridership Phase 3W'!I23*'Distances Phase 3W'!I22*Coefficient!$B$4</f>
        <v>160.38339259475472</v>
      </c>
      <c r="J23" s="4">
        <f>'Ridership Phase 3W'!J23*'Distances Phase 3W'!J22*Coefficient!$B$4</f>
        <v>28.281421993211719</v>
      </c>
    </row>
    <row r="24" spans="1:10" x14ac:dyDescent="0.25">
      <c r="A24" t="s">
        <v>1</v>
      </c>
      <c r="B24" s="4"/>
      <c r="C24" s="4"/>
      <c r="D24" s="4"/>
      <c r="E24" s="4"/>
      <c r="F24" s="4"/>
      <c r="G24" s="4"/>
      <c r="H24" s="4">
        <f>'Ridership Phase 3W'!H24*'Distances Phase 3W'!H23*Coefficient!$B$4</f>
        <v>6.4792631080024963</v>
      </c>
      <c r="I24" s="4">
        <f>'Ridership Phase 3W'!I24*'Distances Phase 3W'!I23*Coefficient!$B$4</f>
        <v>18.57636780735875</v>
      </c>
      <c r="J24" s="4">
        <f>'Ridership Phase 3W'!J24*'Distances Phase 3W'!J23*Coefficient!$B$4</f>
        <v>3.1858071814267852</v>
      </c>
    </row>
    <row r="25" spans="1:10" x14ac:dyDescent="0.25">
      <c r="A25" t="s">
        <v>6</v>
      </c>
      <c r="B25" s="4"/>
      <c r="C25" s="4"/>
      <c r="D25" s="4"/>
      <c r="E25" s="4"/>
      <c r="F25" s="4"/>
      <c r="G25" s="4"/>
      <c r="H25" s="4"/>
      <c r="I25" s="4">
        <f>'Ridership Phase 3W'!I25*'Distances Phase 3W'!I24*Coefficient!$B$4</f>
        <v>20.589535312603001</v>
      </c>
      <c r="J25" s="4">
        <f>'Ridership Phase 3W'!J25*'Distances Phase 3W'!J24*Coefficient!$B$4</f>
        <v>13.386848725572479</v>
      </c>
    </row>
    <row r="26" spans="1:10" x14ac:dyDescent="0.25">
      <c r="A26" t="s">
        <v>7</v>
      </c>
      <c r="B26" s="4"/>
      <c r="C26" s="4"/>
      <c r="D26" s="4"/>
      <c r="E26" s="4"/>
      <c r="F26" s="4"/>
      <c r="G26" s="4"/>
      <c r="H26" s="4"/>
      <c r="I26" s="4"/>
      <c r="J26" s="4">
        <f>'Ridership Phase 3W'!J26*'Distances Phase 3W'!J25*Coefficient!$B$4</f>
        <v>19.211940940926269</v>
      </c>
    </row>
    <row r="28" spans="1:10" x14ac:dyDescent="0.25">
      <c r="A28" t="s">
        <v>26</v>
      </c>
      <c r="B28" s="6">
        <f>SUM(B3:J26)</f>
        <v>738.82824831104085</v>
      </c>
      <c r="E28" s="6"/>
    </row>
    <row r="30" spans="1:10" x14ac:dyDescent="0.25">
      <c r="A30">
        <v>2041</v>
      </c>
    </row>
    <row r="31" spans="1:10" x14ac:dyDescent="0.25">
      <c r="A31" t="s">
        <v>46</v>
      </c>
      <c r="B31" t="s">
        <v>5</v>
      </c>
      <c r="C31" t="s">
        <v>4</v>
      </c>
      <c r="D31" t="s">
        <v>38</v>
      </c>
      <c r="E31" t="s">
        <v>3</v>
      </c>
      <c r="F31" t="s">
        <v>0</v>
      </c>
      <c r="G31" t="s">
        <v>1</v>
      </c>
      <c r="H31" t="s">
        <v>6</v>
      </c>
      <c r="I31" t="s">
        <v>7</v>
      </c>
      <c r="J31" t="s">
        <v>8</v>
      </c>
    </row>
    <row r="32" spans="1:10" x14ac:dyDescent="0.25">
      <c r="A32" t="s">
        <v>11</v>
      </c>
      <c r="B32" s="4">
        <f>'Ridership Phase 3W'!B31*'Distances Phase 3W'!B2*Coefficient!$B$4</f>
        <v>0.15664930115321349</v>
      </c>
      <c r="C32" s="4">
        <f>'Ridership Phase 3W'!C31*'Distances Phase 3W'!C2*Coefficient!$B$4</f>
        <v>4.045465645322408</v>
      </c>
      <c r="D32" s="4">
        <f>'Ridership Phase 3W'!D31*'Distances Phase 3W'!C2*Coefficient!$B$4</f>
        <v>4.0553261378031484</v>
      </c>
      <c r="E32" s="4">
        <f>'Ridership Phase 3W'!E31*'Distances Phase 3W'!E2*Coefficient!$B$4</f>
        <v>5.2138935365815495</v>
      </c>
      <c r="F32" s="4">
        <f>'Ridership Phase 3W'!F31*'Distances Phase 3W'!F2*Coefficient!$B$4</f>
        <v>46.70760752895616</v>
      </c>
      <c r="G32" s="4">
        <f>'Ridership Phase 3W'!G31*'Distances Phase 3W'!G2*Coefficient!$B$4</f>
        <v>4.2944550124576297</v>
      </c>
      <c r="H32" s="4">
        <f>'Ridership Phase 3W'!H31*'Distances Phase 3W'!H2*Coefficient!$B$4</f>
        <v>11.614853378329258</v>
      </c>
      <c r="I32" s="4">
        <f>'Ridership Phase 3W'!I31*'Distances Phase 3W'!I2*Coefficient!$B$4</f>
        <v>13.341885963001985</v>
      </c>
      <c r="J32" s="4">
        <f>'Ridership Phase 3W'!J31*'Distances Phase 3W'!J2*Coefficient!$B$4</f>
        <v>2.8216436029697221</v>
      </c>
    </row>
    <row r="33" spans="1:20" x14ac:dyDescent="0.25">
      <c r="A33" t="s">
        <v>10</v>
      </c>
      <c r="B33" s="4">
        <f>'Ridership Phase 3W'!B32*'Distances Phase 3W'!B3*Coefficient!$B$4</f>
        <v>7.7637366421516016E-2</v>
      </c>
      <c r="C33" s="4">
        <f>'Ridership Phase 3W'!C32*'Distances Phase 3W'!C3*Coefficient!$B$4</f>
        <v>3.2338382429144596</v>
      </c>
      <c r="D33" s="4">
        <f>'Ridership Phase 3W'!D32*'Distances Phase 3W'!C3*Coefficient!$B$4</f>
        <v>6.7308560033931792</v>
      </c>
      <c r="E33" s="4">
        <f>'Ridership Phase 3W'!E32*'Distances Phase 3W'!E3*Coefficient!$B$4</f>
        <v>5.2841673975488312</v>
      </c>
      <c r="F33" s="4">
        <f>'Ridership Phase 3W'!F32*'Distances Phase 3W'!F3*Coefficient!$B$4</f>
        <v>62.261223628920042</v>
      </c>
      <c r="G33" s="4">
        <f>'Ridership Phase 3W'!G32*'Distances Phase 3W'!G3*Coefficient!$B$4</f>
        <v>6.443901412985829</v>
      </c>
      <c r="H33" s="4">
        <f>'Ridership Phase 3W'!H32*'Distances Phase 3W'!H3*Coefficient!$B$4</f>
        <v>14.296857397416307</v>
      </c>
      <c r="I33" s="4">
        <f>'Ridership Phase 3W'!I32*'Distances Phase 3W'!I3*Coefficient!$B$4</f>
        <v>14.317975655468533</v>
      </c>
      <c r="J33" s="4">
        <f>'Ridership Phase 3W'!J32*'Distances Phase 3W'!J3*Coefficient!$B$4</f>
        <v>2.6186893695005327</v>
      </c>
    </row>
    <row r="34" spans="1:20" x14ac:dyDescent="0.25">
      <c r="A34" t="s">
        <v>40</v>
      </c>
      <c r="B34" s="4">
        <f>'Ridership Phase 3W'!B33*'Distances Phase 3W'!B4*Coefficient!$B$4</f>
        <v>5.2899314117298223E-2</v>
      </c>
      <c r="C34" s="4">
        <f>'Ridership Phase 3W'!C33*'Distances Phase 3W'!C4*Coefficient!$B$4</f>
        <v>2.2034212763952663</v>
      </c>
      <c r="D34" s="4"/>
      <c r="E34" s="4">
        <f>'Ridership Phase 3W'!E33*'Distances Phase 3W'!E4*Coefficient!$B$4</f>
        <v>3.204380518663152</v>
      </c>
      <c r="F34" s="4"/>
      <c r="G34" s="4"/>
      <c r="H34" s="4"/>
      <c r="I34" s="4"/>
      <c r="J34" s="4"/>
    </row>
    <row r="35" spans="1:20" x14ac:dyDescent="0.25">
      <c r="A35" t="s">
        <v>41</v>
      </c>
      <c r="B35" s="4">
        <f>'Ridership Phase 3W'!B34*'Distances Phase 3W'!B5*Coefficient!$B$4</f>
        <v>1.6367877385965051E-2</v>
      </c>
      <c r="C35" s="4">
        <f>'Ridership Phase 3W'!C34*'Distances Phase 3W'!C5*Coefficient!$B$4</f>
        <v>0.68177309826160581</v>
      </c>
      <c r="D35" s="4">
        <f>'Ridership Phase 3W'!D34*'Distances Phase 3W'!D5*Coefficient!$B$4</f>
        <v>2.9432776769098585</v>
      </c>
      <c r="E35" s="4">
        <f>'Ridership Phase 3W'!E34*'Distances Phase 3W'!E5*Coefficient!$B$4</f>
        <v>1.114033203810785</v>
      </c>
      <c r="F35" s="4">
        <f>'Ridership Phase 3W'!F34*'Distances Phase 3W'!F5*Coefficient!$B$4</f>
        <v>13.126206119942392</v>
      </c>
      <c r="G35" s="4">
        <f>'Ridership Phase 3W'!G34*'Distances Phase 3W'!G5*Coefficient!$B$4</f>
        <v>1.3057802989572271</v>
      </c>
      <c r="H35" s="4">
        <f>'Ridership Phase 3W'!H34*'Distances Phase 3W'!H5*Coefficient!$B$4</f>
        <v>2.4017610337859807</v>
      </c>
      <c r="I35" s="4">
        <f>'Ridership Phase 3W'!I34*'Distances Phase 3W'!I5*Coefficient!$B$4</f>
        <v>2.5017625311245943</v>
      </c>
      <c r="J35" s="4">
        <f>'Ridership Phase 3W'!J34*'Distances Phase 3W'!J5*Coefficient!$B$4</f>
        <v>0.47603204214318656</v>
      </c>
    </row>
    <row r="36" spans="1:20" x14ac:dyDescent="0.25">
      <c r="A36" t="s">
        <v>68</v>
      </c>
      <c r="B36" s="4">
        <f>'Ridership Phase 3W'!B35*'Distances Phase 3W'!B6*Coefficient!$B$4</f>
        <v>4.7957179329960423E-2</v>
      </c>
      <c r="C36" s="4">
        <f>'Ridership Phase 3W'!C35*'Distances Phase 3W'!C6*Coefficient!$B$4</f>
        <v>1.1464451113154772</v>
      </c>
      <c r="D36" s="4"/>
      <c r="E36" s="4">
        <f>'Ridership Phase 3W'!E35*'Distances Phase 3W'!E6*Coefficient!$B$4</f>
        <v>1.4901705385402804</v>
      </c>
      <c r="F36" s="4"/>
      <c r="G36" s="4"/>
      <c r="H36" s="4"/>
      <c r="I36" s="4"/>
      <c r="J36" s="4"/>
    </row>
    <row r="37" spans="1:20" x14ac:dyDescent="0.25">
      <c r="A37" t="s">
        <v>69</v>
      </c>
      <c r="B37" s="4">
        <f>'Ridership Phase 3W'!B36*'Distances Phase 3W'!B7*Coefficient!$B$4</f>
        <v>4.7957179329960423E-2</v>
      </c>
      <c r="C37" s="4">
        <f>'Ridership Phase 3W'!C36*'Distances Phase 3W'!C7*Coefficient!$B$4</f>
        <v>1.2192175060767136</v>
      </c>
      <c r="D37" s="4"/>
      <c r="E37" s="4">
        <f>'Ridership Phase 3W'!E36*'Distances Phase 3W'!E7*Coefficient!$B$4</f>
        <v>1.5741076136278118</v>
      </c>
      <c r="F37" s="4"/>
      <c r="G37" s="4"/>
      <c r="H37" s="4"/>
      <c r="I37" s="4"/>
      <c r="J37" s="4"/>
    </row>
    <row r="38" spans="1:20" x14ac:dyDescent="0.25">
      <c r="A38" t="s">
        <v>71</v>
      </c>
      <c r="B38" s="4">
        <f>'Ridership Phase 3W'!B37*'Distances Phase 3W'!B8*Coefficient!$B$4</f>
        <v>1.8952288554781448E-2</v>
      </c>
      <c r="C38" s="4"/>
      <c r="D38" s="4"/>
      <c r="E38" s="4"/>
      <c r="F38" s="4"/>
      <c r="G38" s="4"/>
      <c r="H38" s="4"/>
      <c r="I38" s="4"/>
      <c r="J38" s="4"/>
    </row>
    <row r="39" spans="1:20" x14ac:dyDescent="0.25">
      <c r="A39" t="s">
        <v>72</v>
      </c>
      <c r="B39" s="4">
        <f>'Ridership Phase 3W'!B38*'Distances Phase 3W'!B9*Coefficient!$B$4</f>
        <v>1.3717082983846052E-2</v>
      </c>
      <c r="C39" s="4"/>
      <c r="D39" s="4"/>
      <c r="E39" s="4"/>
      <c r="F39" s="4"/>
      <c r="G39" s="4"/>
      <c r="H39" s="4"/>
      <c r="I39" s="4"/>
      <c r="J39" s="4"/>
    </row>
    <row r="40" spans="1:20" x14ac:dyDescent="0.25">
      <c r="A40" t="s">
        <v>73</v>
      </c>
      <c r="B40" s="4">
        <f>'Ridership Phase 3W'!B39*'Distances Phase 3W'!B10*Coefficient!$B$4</f>
        <v>8.8435249404851014E-3</v>
      </c>
      <c r="C40" s="4"/>
      <c r="D40" s="4"/>
      <c r="E40" s="4"/>
      <c r="F40" s="4"/>
      <c r="G40" s="4"/>
      <c r="H40" s="4"/>
      <c r="I40" s="4"/>
      <c r="J40" s="4"/>
    </row>
    <row r="41" spans="1:20" x14ac:dyDescent="0.25">
      <c r="A41" t="s">
        <v>75</v>
      </c>
      <c r="B41" s="4">
        <f>'Ridership Phase 3W'!B40*'Distances Phase 3W'!B11*Coefficient!$B$4</f>
        <v>5.4400768568920272E-3</v>
      </c>
      <c r="C41" s="4"/>
      <c r="D41" s="4"/>
      <c r="E41" s="4"/>
      <c r="F41" s="4"/>
      <c r="G41" s="4"/>
      <c r="H41" s="4"/>
      <c r="I41" s="4"/>
      <c r="J41" s="4"/>
    </row>
    <row r="42" spans="1:20" x14ac:dyDescent="0.25">
      <c r="A42" t="s">
        <v>76</v>
      </c>
      <c r="B42" s="4">
        <f>'Ridership Phase 3W'!B41*'Distances Phase 3W'!B12*Coefficient!$B$4</f>
        <v>2.0822198036344081E-2</v>
      </c>
      <c r="C42" s="4"/>
      <c r="D42" s="4"/>
      <c r="E42" s="4"/>
      <c r="F42" s="4"/>
      <c r="G42" s="4"/>
      <c r="H42" s="4"/>
      <c r="I42" s="4"/>
      <c r="J42" s="4"/>
    </row>
    <row r="43" spans="1:20" x14ac:dyDescent="0.25">
      <c r="A43" t="s">
        <v>78</v>
      </c>
      <c r="B43" s="4">
        <f>'Ridership Phase 3W'!B42*'Distances Phase 3W'!B13*Coefficient!$B$4</f>
        <v>6.7580699229885702E-2</v>
      </c>
      <c r="C43" s="4"/>
      <c r="D43" s="4"/>
      <c r="E43" s="4"/>
      <c r="F43" s="4"/>
      <c r="G43" s="4"/>
      <c r="H43" s="4"/>
      <c r="I43" s="4"/>
      <c r="J43" s="4"/>
    </row>
    <row r="44" spans="1:20" x14ac:dyDescent="0.25">
      <c r="A44" t="s">
        <v>80</v>
      </c>
      <c r="B44" s="4">
        <f>'Ridership Phase 3W'!B43*'Distances Phase 3W'!B14*Coefficient!$B$4</f>
        <v>3.2419105393620522E-2</v>
      </c>
      <c r="C44" s="4">
        <f>'Ridership Phase 3W'!C43*'Distances Phase 3W'!C14*Coefficient!$B$4</f>
        <v>3.0051879483777135</v>
      </c>
      <c r="D44" s="4"/>
      <c r="E44" s="4"/>
      <c r="F44" s="4"/>
      <c r="G44" s="4"/>
      <c r="H44" s="4"/>
      <c r="I44" s="4"/>
      <c r="J44" s="4"/>
    </row>
    <row r="45" spans="1:20" x14ac:dyDescent="0.25">
      <c r="A45" t="s">
        <v>81</v>
      </c>
      <c r="B45" s="4">
        <f>'Ridership Phase 3W'!B44*'Distances Phase 3W'!B15*Coefficient!$B$4</f>
        <v>1.9818745475821967E-2</v>
      </c>
      <c r="C45" s="4">
        <f>'Ridership Phase 3W'!C44*'Distances Phase 3W'!C15*Coefficient!$B$4</f>
        <v>1.9349020160644816</v>
      </c>
      <c r="D45" s="4"/>
      <c r="E45" s="4"/>
      <c r="F45" s="4"/>
      <c r="G45" s="4"/>
      <c r="H45" s="4"/>
      <c r="I45" s="4"/>
      <c r="J45" s="4"/>
    </row>
    <row r="46" spans="1:20" x14ac:dyDescent="0.25">
      <c r="A46" t="s">
        <v>70</v>
      </c>
      <c r="B46" s="4">
        <f>'Ridership Phase 3W'!B45*'Distances Phase 3W'!B16*Coefficient!$B$4</f>
        <v>3.6456819642298063E-2</v>
      </c>
      <c r="C46" s="4">
        <f>'Ridership Phase 3W'!C45*'Distances Phase 3W'!C16*Coefficient!$B$4</f>
        <v>3.9298326218115505</v>
      </c>
      <c r="D46" s="4"/>
      <c r="E46" s="4"/>
      <c r="F46" s="4"/>
      <c r="G46" s="4"/>
      <c r="H46" s="4"/>
      <c r="I46" s="4"/>
      <c r="J46" s="4"/>
    </row>
    <row r="47" spans="1:20" x14ac:dyDescent="0.25">
      <c r="A47" t="s">
        <v>90</v>
      </c>
      <c r="B47" s="4">
        <f>'Ridership Phase 3W'!B46*'Distances Phase 3W'!B17*Coefficient!$B$4</f>
        <v>7.1785787403907944E-3</v>
      </c>
      <c r="C47" s="4">
        <f>'Ridership Phase 3W'!C46*'Distances Phase 3W'!C17*Coefficient!$B$4</f>
        <v>0.68177309826160581</v>
      </c>
      <c r="D47" s="4"/>
      <c r="E47" s="4"/>
      <c r="F47" s="4"/>
      <c r="G47" s="4"/>
      <c r="H47" s="4"/>
      <c r="I47" s="4"/>
      <c r="J47" s="4"/>
    </row>
    <row r="48" spans="1:20" x14ac:dyDescent="0.25">
      <c r="A48" t="s">
        <v>5</v>
      </c>
      <c r="B48" s="4"/>
      <c r="C48" s="4">
        <f>'Ridership Phase 3W'!C47*'Distances Phase 3W'!C18*Coefficient!$B$4</f>
        <v>1.7366344038762698</v>
      </c>
      <c r="D48" s="4">
        <f>'Ridership Phase 3W'!D47*'Distances Phase 3W'!C18*Coefficient!$B$4</f>
        <v>3.6146013575790725</v>
      </c>
      <c r="E48" s="4">
        <f>'Ridership Phase 3W'!E47*'Distances Phase 3W'!E18*Coefficient!$B$4</f>
        <v>2.8626480973250503</v>
      </c>
      <c r="F48" s="4">
        <f>'Ridership Phase 3W'!F47*'Distances Phase 3W'!F18*Coefficient!$B$4</f>
        <v>33.919688260116146</v>
      </c>
      <c r="G48" s="4">
        <f>'Ridership Phase 3W'!G47*'Distances Phase 3W'!G18*Coefficient!$B$4</f>
        <v>3.5164885822097638</v>
      </c>
      <c r="H48" s="4">
        <f>'Ridership Phase 3W'!H47*'Distances Phase 3W'!H18*Coefficient!$B$4</f>
        <v>7.9473544729786694</v>
      </c>
      <c r="I48" s="4">
        <f>'Ridership Phase 3W'!I47*'Distances Phase 3W'!I18*Coefficient!$B$4</f>
        <v>15.209266811917052</v>
      </c>
      <c r="J48" s="4">
        <f>'Ridership Phase 3W'!J47*'Distances Phase 3W'!J18*Coefficient!$B$4</f>
        <v>2.7898333156196218</v>
      </c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t="s">
        <v>4</v>
      </c>
      <c r="B49" s="4"/>
      <c r="C49" s="4"/>
      <c r="D49" s="4"/>
      <c r="E49" s="4">
        <f>'Ridership Phase 3W'!E48*'Distances Phase 3W'!E19*Coefficient!$B$4</f>
        <v>1.0391129739437919</v>
      </c>
      <c r="F49" s="4">
        <f>'Ridership Phase 3W'!F48*'Distances Phase 3W'!F19*Coefficient!$B$4</f>
        <v>20.168150647747783</v>
      </c>
      <c r="G49" s="4">
        <f>'Ridership Phase 3W'!G48*'Distances Phase 3W'!G19*Coefficient!$B$4</f>
        <v>2.3320519137767053</v>
      </c>
      <c r="H49" s="4">
        <f>'Ridership Phase 3W'!H48*'Distances Phase 3W'!H19*Coefficient!$B$4</f>
        <v>11.833341626470345</v>
      </c>
      <c r="I49" s="4">
        <f>'Ridership Phase 3W'!I48*'Distances Phase 3W'!I19*Coefficient!$B$4</f>
        <v>21.520623606679184</v>
      </c>
      <c r="J49" s="4">
        <f>'Ridership Phase 3W'!J48*'Distances Phase 3W'!J19*Coefficient!$B$4</f>
        <v>3.7633612157514298</v>
      </c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t="s">
        <v>3</v>
      </c>
      <c r="B50" s="4"/>
      <c r="C50" s="4"/>
      <c r="D50" s="4"/>
      <c r="E50" s="4"/>
      <c r="F50" s="4">
        <f>'Ridership Phase 3W'!F49*'Distances Phase 3W'!F20*Coefficient!$B$4</f>
        <v>12.949144555083192</v>
      </c>
      <c r="G50" s="4">
        <f>'Ridership Phase 3W'!G49*'Distances Phase 3W'!G20*Coefficient!$B$4</f>
        <v>1.7400410003348346</v>
      </c>
      <c r="H50" s="4">
        <f>'Ridership Phase 3W'!H49*'Distances Phase 3W'!H20*Coefficient!$B$4</f>
        <v>15.40702544506442</v>
      </c>
      <c r="I50" s="4">
        <f>'Ridership Phase 3W'!I49*'Distances Phase 3W'!I20*Coefficient!$B$4</f>
        <v>27.10770952408393</v>
      </c>
      <c r="J50" s="4">
        <f>'Ridership Phase 3W'!J49*'Distances Phase 3W'!J20*Coefficient!$B$4</f>
        <v>4.6066071836388316</v>
      </c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t="s">
        <v>38</v>
      </c>
      <c r="B51" s="4"/>
      <c r="C51" s="4"/>
      <c r="D51" s="4"/>
      <c r="E51" s="4"/>
      <c r="F51" s="4"/>
      <c r="G51" s="4">
        <f>'Ridership Phase 3W'!G50*'Distances Phase 3W'!G22*Coefficient!$B$4</f>
        <v>1.032743245022592</v>
      </c>
      <c r="H51" s="4">
        <f>'Ridership Phase 3W'!H50*'Distances Phase 3W'!H22*Coefficient!$B$4</f>
        <v>24.549227044501595</v>
      </c>
      <c r="I51" s="4">
        <f>'Ridership Phase 3W'!I50*'Distances Phase 3W'!I22*Coefficient!$B$4</f>
        <v>44.962103694670809</v>
      </c>
      <c r="J51" s="4">
        <f>'Ridership Phase 3W'!J50*'Distances Phase 3W'!J22*Coefficient!$B$4</f>
        <v>7.8830245828064571</v>
      </c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t="s">
        <v>0</v>
      </c>
      <c r="B52" s="4"/>
      <c r="C52" s="4"/>
      <c r="D52" s="4"/>
      <c r="E52" s="4"/>
      <c r="F52" s="4"/>
      <c r="G52" s="4">
        <f>'Ridership Phase 3W'!G51*'Distances Phase 3W'!G22*Coefficient!$B$4</f>
        <v>4.7110678139050206</v>
      </c>
      <c r="H52" s="4">
        <f>'Ridership Phase 3W'!H51*'Distances Phase 3W'!H22*Coefficient!$B$4</f>
        <v>116.51052488631298</v>
      </c>
      <c r="I52" s="4">
        <f>'Ridership Phase 3W'!I51*'Distances Phase 3W'!I22*Coefficient!$B$4</f>
        <v>267.33280659499684</v>
      </c>
      <c r="J52" s="4">
        <f>'Ridership Phase 3W'!J51*'Distances Phase 3W'!J22*Coefficient!$B$4</f>
        <v>43.329942386401591</v>
      </c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t="s">
        <v>1</v>
      </c>
      <c r="B53" s="4"/>
      <c r="C53" s="4"/>
      <c r="D53" s="4"/>
      <c r="E53" s="4"/>
      <c r="F53" s="4"/>
      <c r="G53" s="4"/>
      <c r="H53" s="4">
        <f>'Ridership Phase 3W'!H52*'Distances Phase 3W'!H23*Coefficient!$B$4</f>
        <v>9.3580098919323831</v>
      </c>
      <c r="I53" s="4">
        <f>'Ridership Phase 3W'!I52*'Distances Phase 3W'!I23*Coefficient!$B$4</f>
        <v>26.547083889891578</v>
      </c>
      <c r="J53" s="4">
        <f>'Ridership Phase 3W'!J52*'Distances Phase 3W'!J23*Coefficient!$B$4</f>
        <v>4.1847499734294322</v>
      </c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t="s">
        <v>6</v>
      </c>
      <c r="B54" s="4"/>
      <c r="C54" s="4"/>
      <c r="D54" s="4"/>
      <c r="E54" s="4"/>
      <c r="F54" s="4"/>
      <c r="G54" s="4"/>
      <c r="H54" s="4"/>
      <c r="I54" s="4">
        <f>'Ridership Phase 3W'!I53*'Distances Phase 3W'!I24*Coefficient!$B$4</f>
        <v>29.737498217606838</v>
      </c>
      <c r="J54" s="4">
        <f>'Ridership Phase 3W'!J53*'Distances Phase 3W'!J24*Coefficient!$B$4</f>
        <v>17.771752127533066</v>
      </c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t="s">
        <v>7</v>
      </c>
      <c r="B55" s="4"/>
      <c r="C55" s="4"/>
      <c r="D55" s="4"/>
      <c r="E55" s="4"/>
      <c r="F55" s="4"/>
      <c r="G55" s="4"/>
      <c r="H55" s="4"/>
      <c r="I55" s="4"/>
      <c r="J55" s="4">
        <f>'Ridership Phase 3W'!J54*'Distances Phase 3W'!J25*Coefficient!$B$4</f>
        <v>25.236043728818089</v>
      </c>
      <c r="M55" s="6"/>
      <c r="N55" s="6"/>
      <c r="O55" s="6"/>
      <c r="P55" s="6"/>
      <c r="Q55" s="6"/>
      <c r="R55" s="6"/>
      <c r="S55" s="6"/>
      <c r="T55" s="6"/>
    </row>
    <row r="57" spans="1:20" x14ac:dyDescent="0.25">
      <c r="A57" t="s">
        <v>26</v>
      </c>
      <c r="B57" s="6">
        <f>SUM(B32:J55)</f>
        <v>1070.063664577257</v>
      </c>
      <c r="D57" t="s">
        <v>36</v>
      </c>
      <c r="E57" s="6">
        <f>B57-SUM('Phase 2 Summary'!B15:I23)</f>
        <v>138.1513434765842</v>
      </c>
    </row>
    <row r="59" spans="1:20" x14ac:dyDescent="0.25">
      <c r="A59" s="4" t="s">
        <v>30</v>
      </c>
      <c r="B59" s="4">
        <f>'Construction Costs'!C4</f>
        <v>700</v>
      </c>
    </row>
    <row r="61" spans="1:20" x14ac:dyDescent="0.25">
      <c r="B61" s="4" t="s">
        <v>28</v>
      </c>
      <c r="C61" t="s">
        <v>29</v>
      </c>
    </row>
    <row r="62" spans="1:20" x14ac:dyDescent="0.25">
      <c r="A62">
        <v>2041</v>
      </c>
      <c r="B62" s="7">
        <f>E57/B59</f>
        <v>0.19735906210940601</v>
      </c>
      <c r="C62" s="8">
        <f>1/B62</f>
        <v>5.0669069325311744</v>
      </c>
    </row>
  </sheetData>
  <conditionalFormatting sqref="B3:J26 B32:J5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1219-EB36-4A62-8B7D-6F9ABAC31F9E}">
  <dimension ref="A1:J25"/>
  <sheetViews>
    <sheetView workbookViewId="0">
      <selection activeCell="O16" sqref="O16"/>
    </sheetView>
  </sheetViews>
  <sheetFormatPr defaultRowHeight="15" x14ac:dyDescent="0.25"/>
  <sheetData>
    <row r="1" spans="1:10" x14ac:dyDescent="0.25">
      <c r="B1" t="s">
        <v>5</v>
      </c>
      <c r="C1" t="s">
        <v>4</v>
      </c>
      <c r="D1" t="s">
        <v>38</v>
      </c>
      <c r="E1" t="s">
        <v>3</v>
      </c>
      <c r="F1" t="s">
        <v>0</v>
      </c>
      <c r="G1" t="s">
        <v>1</v>
      </c>
      <c r="H1" t="s">
        <v>6</v>
      </c>
      <c r="I1" t="s">
        <v>7</v>
      </c>
      <c r="J1" t="s">
        <v>8</v>
      </c>
    </row>
    <row r="2" spans="1:10" x14ac:dyDescent="0.25">
      <c r="A2" t="s">
        <v>11</v>
      </c>
    </row>
    <row r="3" spans="1:10" x14ac:dyDescent="0.25">
      <c r="A3" t="s">
        <v>10</v>
      </c>
      <c r="C3">
        <f>'All Distances'!K8</f>
        <v>180</v>
      </c>
      <c r="D3">
        <f>'All Distances'!K5</f>
        <v>460</v>
      </c>
      <c r="E3">
        <f>'All Distances'!K7</f>
        <v>260</v>
      </c>
      <c r="F3">
        <f>'All Distances'!K2</f>
        <v>365</v>
      </c>
      <c r="G3">
        <f>'All Distances'!K9</f>
        <v>415</v>
      </c>
      <c r="H3">
        <f>'All Distances'!K4</f>
        <v>790</v>
      </c>
      <c r="I3">
        <f>'All Distances'!K3</f>
        <v>965</v>
      </c>
      <c r="J3">
        <f>J18</f>
        <v>1230</v>
      </c>
    </row>
    <row r="4" spans="1:10" x14ac:dyDescent="0.25">
      <c r="A4" t="s">
        <v>40</v>
      </c>
      <c r="D4">
        <v>50</v>
      </c>
      <c r="F4">
        <v>120</v>
      </c>
      <c r="G4">
        <v>170</v>
      </c>
      <c r="H4">
        <v>470</v>
      </c>
    </row>
    <row r="5" spans="1:10" x14ac:dyDescent="0.25">
      <c r="A5" t="s">
        <v>41</v>
      </c>
    </row>
    <row r="6" spans="1:10" x14ac:dyDescent="0.25">
      <c r="A6" t="s">
        <v>68</v>
      </c>
      <c r="D6">
        <v>50</v>
      </c>
      <c r="F6">
        <v>120</v>
      </c>
      <c r="G6">
        <v>170</v>
      </c>
      <c r="H6">
        <v>470</v>
      </c>
    </row>
    <row r="7" spans="1:10" x14ac:dyDescent="0.25">
      <c r="A7" t="s">
        <v>69</v>
      </c>
      <c r="D7">
        <v>50</v>
      </c>
      <c r="F7">
        <v>120</v>
      </c>
      <c r="G7">
        <v>170</v>
      </c>
      <c r="H7">
        <v>470</v>
      </c>
    </row>
    <row r="8" spans="1:10" x14ac:dyDescent="0.25">
      <c r="A8" t="s">
        <v>71</v>
      </c>
      <c r="C8">
        <v>70</v>
      </c>
      <c r="D8">
        <v>50</v>
      </c>
      <c r="E8">
        <v>70</v>
      </c>
      <c r="F8">
        <v>120</v>
      </c>
      <c r="G8">
        <v>170</v>
      </c>
      <c r="H8">
        <v>470</v>
      </c>
    </row>
    <row r="9" spans="1:10" x14ac:dyDescent="0.25">
      <c r="A9" t="s">
        <v>72</v>
      </c>
      <c r="C9">
        <v>70</v>
      </c>
      <c r="D9">
        <v>50</v>
      </c>
      <c r="E9">
        <v>70</v>
      </c>
      <c r="F9">
        <v>120</v>
      </c>
      <c r="G9">
        <v>170</v>
      </c>
      <c r="H9">
        <v>470</v>
      </c>
    </row>
    <row r="10" spans="1:10" x14ac:dyDescent="0.25">
      <c r="A10" t="s">
        <v>73</v>
      </c>
      <c r="C10">
        <v>70</v>
      </c>
      <c r="D10">
        <v>50</v>
      </c>
      <c r="E10">
        <v>70</v>
      </c>
      <c r="F10">
        <v>120</v>
      </c>
      <c r="G10">
        <v>170</v>
      </c>
    </row>
    <row r="11" spans="1:10" x14ac:dyDescent="0.25">
      <c r="A11" t="s">
        <v>75</v>
      </c>
      <c r="C11">
        <v>70</v>
      </c>
      <c r="D11">
        <v>50</v>
      </c>
      <c r="E11">
        <v>70</v>
      </c>
      <c r="F11">
        <v>120</v>
      </c>
      <c r="G11">
        <v>170</v>
      </c>
    </row>
    <row r="12" spans="1:10" x14ac:dyDescent="0.25">
      <c r="A12" t="s">
        <v>76</v>
      </c>
      <c r="C12">
        <v>70</v>
      </c>
      <c r="D12">
        <v>50</v>
      </c>
      <c r="E12">
        <v>70</v>
      </c>
      <c r="F12">
        <v>120</v>
      </c>
      <c r="G12">
        <v>170</v>
      </c>
    </row>
    <row r="13" spans="1:10" x14ac:dyDescent="0.25">
      <c r="A13" t="s">
        <v>78</v>
      </c>
      <c r="C13">
        <v>70</v>
      </c>
      <c r="D13">
        <v>50</v>
      </c>
      <c r="E13">
        <v>70</v>
      </c>
      <c r="F13">
        <v>120</v>
      </c>
      <c r="G13">
        <v>170</v>
      </c>
    </row>
    <row r="14" spans="1:10" x14ac:dyDescent="0.25">
      <c r="A14" t="s">
        <v>80</v>
      </c>
      <c r="D14">
        <v>50</v>
      </c>
      <c r="E14">
        <v>70</v>
      </c>
      <c r="F14">
        <v>120</v>
      </c>
      <c r="G14">
        <v>170</v>
      </c>
    </row>
    <row r="15" spans="1:10" x14ac:dyDescent="0.25">
      <c r="A15" t="s">
        <v>81</v>
      </c>
      <c r="D15">
        <v>50</v>
      </c>
      <c r="E15">
        <v>70</v>
      </c>
      <c r="F15">
        <v>120</v>
      </c>
      <c r="G15">
        <v>170</v>
      </c>
    </row>
    <row r="16" spans="1:10" x14ac:dyDescent="0.25">
      <c r="A16" t="s">
        <v>70</v>
      </c>
      <c r="D16">
        <v>50</v>
      </c>
      <c r="E16">
        <v>70</v>
      </c>
      <c r="F16">
        <v>120</v>
      </c>
      <c r="G16">
        <v>170</v>
      </c>
    </row>
    <row r="17" spans="1:10" x14ac:dyDescent="0.25">
      <c r="A17" t="s">
        <v>90</v>
      </c>
      <c r="D17">
        <v>50</v>
      </c>
      <c r="E17">
        <v>70</v>
      </c>
      <c r="F17">
        <v>120</v>
      </c>
      <c r="G17">
        <v>170</v>
      </c>
    </row>
    <row r="18" spans="1:10" x14ac:dyDescent="0.25">
      <c r="A18" t="s">
        <v>5</v>
      </c>
      <c r="C18">
        <f>'All Distances'!I8</f>
        <v>175</v>
      </c>
      <c r="D18">
        <f>'All Distances'!I5</f>
        <v>455</v>
      </c>
      <c r="E18">
        <f>'All Distances'!I7</f>
        <v>255</v>
      </c>
      <c r="F18">
        <f>'All Distances'!I2</f>
        <v>360</v>
      </c>
      <c r="G18">
        <f>'All Distances'!I9</f>
        <v>410</v>
      </c>
      <c r="H18">
        <f>'All Distances'!I4</f>
        <v>785</v>
      </c>
      <c r="I18">
        <f>'All Distances'!I3</f>
        <v>960</v>
      </c>
      <c r="J18">
        <f>'All Distances'!I6</f>
        <v>1230</v>
      </c>
    </row>
    <row r="19" spans="1:10" x14ac:dyDescent="0.25">
      <c r="A19" t="s">
        <v>4</v>
      </c>
      <c r="E19">
        <f>'All Distances'!G7</f>
        <v>80</v>
      </c>
      <c r="F19">
        <f>'All Distances'!G2</f>
        <v>185</v>
      </c>
      <c r="G19">
        <f>'All Distances'!H8</f>
        <v>235</v>
      </c>
      <c r="H19">
        <f>'All Distances'!G4</f>
        <v>610</v>
      </c>
      <c r="I19">
        <f>'All Distances'!G3</f>
        <v>785</v>
      </c>
      <c r="J19">
        <f>'All Distances'!G6</f>
        <v>1055</v>
      </c>
    </row>
    <row r="20" spans="1:10" x14ac:dyDescent="0.25">
      <c r="A20" t="s">
        <v>3</v>
      </c>
      <c r="F20">
        <f>'All Distances'!F2</f>
        <v>105</v>
      </c>
      <c r="G20">
        <f>'All Distances'!H7</f>
        <v>155</v>
      </c>
      <c r="H20">
        <f>'All Distances'!F4</f>
        <v>530</v>
      </c>
      <c r="I20">
        <f>'All Distances'!F3</f>
        <v>705</v>
      </c>
      <c r="J20">
        <f>'All Distances'!F6</f>
        <v>975</v>
      </c>
    </row>
    <row r="21" spans="1:10" x14ac:dyDescent="0.25">
      <c r="A21" t="s">
        <v>2</v>
      </c>
      <c r="G21">
        <f>G22</f>
        <v>50</v>
      </c>
      <c r="H21">
        <f>H22</f>
        <v>425</v>
      </c>
      <c r="I21">
        <f>I22</f>
        <v>600</v>
      </c>
      <c r="J21">
        <f>J22</f>
        <v>870</v>
      </c>
    </row>
    <row r="22" spans="1:10" x14ac:dyDescent="0.25">
      <c r="A22" t="s">
        <v>0</v>
      </c>
      <c r="G22">
        <f>'All Distances'!H2</f>
        <v>50</v>
      </c>
      <c r="H22">
        <f>'All Distances'!C2</f>
        <v>425</v>
      </c>
      <c r="I22">
        <f>'All Distances'!B2</f>
        <v>600</v>
      </c>
      <c r="J22">
        <f>'All Distances'!E2</f>
        <v>870</v>
      </c>
    </row>
    <row r="23" spans="1:10" x14ac:dyDescent="0.25">
      <c r="A23" t="s">
        <v>1</v>
      </c>
      <c r="H23">
        <f>'All Distances'!H4</f>
        <v>375</v>
      </c>
      <c r="I23">
        <f>'All Distances'!H3</f>
        <v>550</v>
      </c>
      <c r="J23">
        <f>'All Distances'!H6</f>
        <v>820</v>
      </c>
    </row>
    <row r="24" spans="1:10" x14ac:dyDescent="0.25">
      <c r="A24" t="s">
        <v>6</v>
      </c>
      <c r="I24">
        <f>'All Distances'!C3</f>
        <v>175</v>
      </c>
      <c r="J24">
        <f>'All Distances'!E4</f>
        <v>445</v>
      </c>
    </row>
    <row r="25" spans="1:10" x14ac:dyDescent="0.25">
      <c r="A25" t="s">
        <v>7</v>
      </c>
      <c r="J25">
        <f>'All Distances'!E3</f>
        <v>270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E9DE-7129-4811-8D9C-FF25086387ED}">
  <dimension ref="A1:P54"/>
  <sheetViews>
    <sheetView topLeftCell="A30" workbookViewId="0">
      <selection activeCell="I45" sqref="I45"/>
    </sheetView>
  </sheetViews>
  <sheetFormatPr defaultRowHeight="15" x14ac:dyDescent="0.25"/>
  <sheetData>
    <row r="1" spans="1:16" x14ac:dyDescent="0.25">
      <c r="A1">
        <v>2021</v>
      </c>
    </row>
    <row r="2" spans="1:16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6" x14ac:dyDescent="0.25">
      <c r="A3" t="s">
        <v>11</v>
      </c>
      <c r="B3" s="2"/>
      <c r="C3" s="2"/>
      <c r="D3" s="2"/>
      <c r="E3" s="2"/>
      <c r="F3" s="2"/>
      <c r="G3" s="2"/>
      <c r="H3" s="2"/>
      <c r="I3" s="2"/>
      <c r="J3" s="2"/>
      <c r="L3" s="2"/>
      <c r="P3" s="2"/>
    </row>
    <row r="4" spans="1:16" x14ac:dyDescent="0.25">
      <c r="A4" t="s">
        <v>10</v>
      </c>
      <c r="B4" s="2"/>
      <c r="C4" s="2">
        <f>'All Ridership 2021'!K8</f>
        <v>0.21515745727175073</v>
      </c>
      <c r="D4" s="2">
        <f>'All Ridership 2021'!K5</f>
        <v>0.37461089125056873</v>
      </c>
      <c r="E4" s="2">
        <f>'All Ridership 2021'!K7</f>
        <v>0.21515745727175073</v>
      </c>
      <c r="F4" s="2">
        <f>'All Ridership 2021'!K2</f>
        <v>1.4651110750525871</v>
      </c>
      <c r="G4" s="2">
        <f>'All Ridership 2021'!K9</f>
        <v>0.15555479251592577</v>
      </c>
      <c r="H4" s="2">
        <f>'All Ridership 2021'!K4</f>
        <v>0.17938835037256404</v>
      </c>
      <c r="I4" s="2">
        <f>'All Ridership 2021'!K3</f>
        <v>0.1486404158011907</v>
      </c>
      <c r="J4" s="2">
        <f>'All Ridership 2021'!K6</f>
        <v>2.3204246557538336E-2</v>
      </c>
      <c r="L4" s="2"/>
      <c r="P4" s="2"/>
    </row>
    <row r="5" spans="1:16" x14ac:dyDescent="0.25">
      <c r="A5" t="s">
        <v>40</v>
      </c>
      <c r="B5" s="2"/>
      <c r="C5" s="2"/>
      <c r="D5" s="2">
        <f>'All Ridership 2021'!L5</f>
        <v>0.25345990620708375</v>
      </c>
      <c r="E5" s="2"/>
      <c r="F5" s="2">
        <f>'All Ridership 2021'!L2</f>
        <v>0.99128702432039761</v>
      </c>
      <c r="G5" s="2">
        <f>'All Ridership 2021'!L9</f>
        <v>9.7307337005119371E-2</v>
      </c>
      <c r="H5" s="2">
        <f>'All Ridership 2021'!L4</f>
        <v>9.4565172317379653E-2</v>
      </c>
      <c r="I5" s="2"/>
      <c r="L5" s="2"/>
      <c r="P5" s="2"/>
    </row>
    <row r="6" spans="1:16" x14ac:dyDescent="0.25">
      <c r="A6" t="s">
        <v>41</v>
      </c>
      <c r="B6" s="2"/>
      <c r="C6" s="2"/>
      <c r="D6" s="2"/>
      <c r="E6" s="2"/>
      <c r="F6" s="2"/>
      <c r="G6" s="2"/>
      <c r="H6" s="2"/>
      <c r="I6" s="2"/>
      <c r="J6" s="2"/>
      <c r="L6" s="2"/>
      <c r="P6" s="2"/>
    </row>
    <row r="7" spans="1:16" x14ac:dyDescent="0.25">
      <c r="A7" t="s">
        <v>68</v>
      </c>
      <c r="B7" s="2"/>
      <c r="C7" s="2"/>
      <c r="D7" s="2">
        <f>'All Ridership 2021'!N5</f>
        <v>0.14078238950970423</v>
      </c>
      <c r="E7" s="2"/>
      <c r="F7" s="2">
        <f>'All Ridership 2021'!N2</f>
        <v>0.42155533498909936</v>
      </c>
      <c r="G7" s="2">
        <f>'All Ridership 2021'!N9</f>
        <v>3.8836451345314729E-2</v>
      </c>
      <c r="H7" s="2">
        <f>'All Ridership 2021'!N4</f>
        <v>4.8796168021945245E-2</v>
      </c>
      <c r="I7" s="2"/>
      <c r="J7" s="2"/>
      <c r="L7" s="2"/>
      <c r="P7" s="2"/>
    </row>
    <row r="8" spans="1:16" x14ac:dyDescent="0.25">
      <c r="A8" t="s">
        <v>69</v>
      </c>
      <c r="B8" s="2"/>
      <c r="C8" s="2"/>
      <c r="D8" s="2">
        <f>'All Ridership 2021'!O5</f>
        <v>0.16857953307178866</v>
      </c>
      <c r="E8" s="2"/>
      <c r="F8" s="2">
        <f>'All Ridership 2021'!O2</f>
        <v>0.50042940013674153</v>
      </c>
      <c r="G8" s="2">
        <f>'All Ridership 2021'!O9</f>
        <v>4.5912065864330283E-2</v>
      </c>
      <c r="H8" s="2">
        <f>'All Ridership 2021'!O4</f>
        <v>5.659904065403662E-2</v>
      </c>
      <c r="I8" s="2"/>
      <c r="J8" s="2"/>
      <c r="L8" s="2"/>
      <c r="P8" s="2"/>
    </row>
    <row r="9" spans="1:16" x14ac:dyDescent="0.25">
      <c r="A9" t="s">
        <v>71</v>
      </c>
      <c r="B9" s="2"/>
      <c r="C9" s="2">
        <f>'All Ridership 2021'!P8</f>
        <v>7.0975491732963997E-2</v>
      </c>
      <c r="D9" s="2">
        <f>'All Ridership 2021'!P5</f>
        <v>0.12357550861670243</v>
      </c>
      <c r="E9" s="2">
        <f>'All Ridership 2021'!P7</f>
        <v>7.0975491732963997E-2</v>
      </c>
      <c r="F9" s="2">
        <f>'All Ridership 2021'!P2</f>
        <v>0.48330641342321701</v>
      </c>
      <c r="G9" s="2">
        <f>'All Ridership 2021'!P9</f>
        <v>5.1313944820850069E-2</v>
      </c>
      <c r="H9" s="2">
        <f>'All Ridership 2021'!P4</f>
        <v>0.10258832168264639</v>
      </c>
      <c r="I9" s="2"/>
      <c r="J9" s="2"/>
      <c r="L9" s="2"/>
      <c r="P9" s="2"/>
    </row>
    <row r="10" spans="1:16" x14ac:dyDescent="0.25">
      <c r="A10" t="s">
        <v>72</v>
      </c>
      <c r="B10" s="2"/>
      <c r="C10" s="2">
        <f>'All Ridership 2021'!Q8</f>
        <v>6.5764914822986645E-2</v>
      </c>
      <c r="D10" s="2">
        <f>'All Ridership 2021'!Q5</f>
        <v>0.11450336728854525</v>
      </c>
      <c r="E10" s="2">
        <f>'All Ridership 2021'!Q7</f>
        <v>6.5764914822986645E-2</v>
      </c>
      <c r="F10" s="2">
        <f>'All Ridership 2021'!Q2</f>
        <v>0.44782507787006876</v>
      </c>
      <c r="G10" s="2">
        <f>'All Ridership 2021'!Q9</f>
        <v>4.754679577383341E-2</v>
      </c>
      <c r="H10" s="2">
        <f>'All Ridership 2021'!Q4</f>
        <v>6.9837743329577179E-2</v>
      </c>
      <c r="I10" s="2"/>
      <c r="J10" s="2"/>
      <c r="L10" s="2"/>
      <c r="P10" s="2"/>
    </row>
    <row r="11" spans="1:16" x14ac:dyDescent="0.25">
      <c r="A11" t="s">
        <v>73</v>
      </c>
      <c r="B11" s="2"/>
      <c r="C11" s="2">
        <f>'All Ridership 2021'!R8</f>
        <v>4.5670079738185168E-2</v>
      </c>
      <c r="D11" s="2">
        <f>'All Ridership 2021'!R5</f>
        <v>0.11450336728854525</v>
      </c>
      <c r="E11" s="2">
        <f>'All Ridership 2021'!R7</f>
        <v>6.3211183028629991E-2</v>
      </c>
      <c r="F11" s="2">
        <f>'All Ridership 2021'!R2</f>
        <v>0.44782507787006876</v>
      </c>
      <c r="G11" s="2">
        <f>'All Ridership 2021'!R9</f>
        <v>4.754679577383341E-2</v>
      </c>
      <c r="H11" s="2"/>
      <c r="I11" s="2"/>
      <c r="J11" s="2"/>
      <c r="L11" s="2"/>
      <c r="P11" s="2"/>
    </row>
    <row r="12" spans="1:16" x14ac:dyDescent="0.25">
      <c r="A12" t="s">
        <v>75</v>
      </c>
      <c r="B12" s="2"/>
      <c r="C12" s="2">
        <f>'All Ridership 2021'!S8</f>
        <v>2.2475045179095706E-2</v>
      </c>
      <c r="D12" s="2">
        <f>'All Ridership 2021'!S5</f>
        <v>9.0232866687874752E-2</v>
      </c>
      <c r="E12" s="2">
        <f>'All Ridership 2021'!S7</f>
        <v>2.8358454453788613E-2</v>
      </c>
      <c r="F12" s="2">
        <f>'All Ridership 2021'!S2</f>
        <v>0.26344040879686809</v>
      </c>
      <c r="G12" s="2">
        <f>'All Ridership 2021'!S9</f>
        <v>2.3979919744701421E-2</v>
      </c>
      <c r="H12" s="2"/>
      <c r="I12" s="2"/>
      <c r="J12" s="2"/>
      <c r="L12" s="2"/>
      <c r="P12" s="2"/>
    </row>
    <row r="13" spans="1:16" x14ac:dyDescent="0.25">
      <c r="A13" t="s">
        <v>76</v>
      </c>
      <c r="B13" s="2"/>
      <c r="C13" s="2">
        <f>'All Ridership 2021'!T8</f>
        <v>7.439756975328915E-2</v>
      </c>
      <c r="D13" s="2">
        <f>'All Ridership 2021'!T5</f>
        <v>0.23607515460526524</v>
      </c>
      <c r="E13" s="2">
        <f>'All Ridership 2021'!T7</f>
        <v>8.8539256565897825E-2</v>
      </c>
      <c r="F13" s="2">
        <f>'All Ridership 2021'!T2</f>
        <v>0.75445591355235475</v>
      </c>
      <c r="G13" s="2">
        <f>'All Ridership 2021'!T9</f>
        <v>7.1764560788671564E-2</v>
      </c>
      <c r="H13" s="2"/>
      <c r="I13" s="2"/>
      <c r="J13" s="2"/>
      <c r="L13" s="2"/>
      <c r="P13" s="2"/>
    </row>
    <row r="14" spans="1:16" x14ac:dyDescent="0.25">
      <c r="A14" t="s">
        <v>78</v>
      </c>
      <c r="B14" s="2"/>
      <c r="C14" s="2">
        <f>'All Ridership 2021'!U8</f>
        <v>0.17956549369804789</v>
      </c>
      <c r="D14" s="2">
        <f>'All Ridership 2021'!U5</f>
        <v>0.58544536831396365</v>
      </c>
      <c r="E14" s="2">
        <f>'All Ridership 2021'!U7</f>
        <v>0.21520004208732255</v>
      </c>
      <c r="F14" s="2">
        <f>'All Ridership 2021'!U2</f>
        <v>1.8522102905517739</v>
      </c>
      <c r="G14" s="2">
        <f>'All Ridership 2021'!U9</f>
        <v>0.17529538582927531</v>
      </c>
      <c r="H14" s="2"/>
      <c r="I14" s="2"/>
      <c r="J14" s="2"/>
      <c r="L14" s="2"/>
      <c r="P14" s="2"/>
    </row>
    <row r="15" spans="1:16" x14ac:dyDescent="0.25">
      <c r="A15" t="s">
        <v>80</v>
      </c>
      <c r="B15" s="2"/>
      <c r="C15" s="2"/>
      <c r="D15" s="2">
        <f>'All Ridership 2021'!V5</f>
        <v>0.15183645815646973</v>
      </c>
      <c r="E15" s="2">
        <f>'All Ridership 2021'!V7</f>
        <v>5.9338786730355739E-2</v>
      </c>
      <c r="F15" s="2">
        <f>'All Ridership 2021'!V2</f>
        <v>0.49529065667491018</v>
      </c>
      <c r="G15" s="2">
        <f>'All Ridership 2021'!V9</f>
        <v>4.7604793102633082E-2</v>
      </c>
      <c r="H15" s="2"/>
      <c r="I15" s="2"/>
      <c r="J15" s="2"/>
      <c r="L15" s="2"/>
      <c r="P15" s="2"/>
    </row>
    <row r="16" spans="1:16" x14ac:dyDescent="0.25">
      <c r="A16" t="s">
        <v>81</v>
      </c>
      <c r="B16" s="2"/>
      <c r="C16" s="2"/>
      <c r="D16" s="2">
        <f>'All Ridership 2021'!W5</f>
        <v>6.8623910240864727E-2</v>
      </c>
      <c r="E16" s="2">
        <f>'All Ridership 2021'!W7</f>
        <v>2.9869272869416721E-2</v>
      </c>
      <c r="F16" s="2">
        <f>'All Ridership 2021'!W2</f>
        <v>0.22707175329918378</v>
      </c>
      <c r="G16" s="2">
        <f>'All Ridership 2021'!W9</f>
        <v>2.1985772557783848E-2</v>
      </c>
      <c r="H16" s="2"/>
      <c r="I16" s="2"/>
      <c r="J16" s="2"/>
      <c r="L16" s="2"/>
      <c r="P16" s="2"/>
    </row>
    <row r="17" spans="1:16" x14ac:dyDescent="0.25">
      <c r="A17" t="s">
        <v>70</v>
      </c>
      <c r="B17" s="2"/>
      <c r="C17" s="2"/>
      <c r="D17" s="2">
        <f>'All Ridership 2021'!X5</f>
        <v>0.10736006604358128</v>
      </c>
      <c r="E17" s="2">
        <f>'All Ridership 2021'!X7</f>
        <v>5.7868497235169E-2</v>
      </c>
      <c r="F17" s="2">
        <f>'All Ridership 2021'!X2</f>
        <v>0.39405455553795432</v>
      </c>
      <c r="G17" s="2">
        <f>'All Ridership 2021'!X9</f>
        <v>4.2595064969789265E-2</v>
      </c>
      <c r="H17" s="2"/>
      <c r="I17" s="2"/>
      <c r="J17" s="2"/>
      <c r="L17" s="2"/>
      <c r="P17" s="2"/>
    </row>
    <row r="18" spans="1:16" x14ac:dyDescent="0.25">
      <c r="A18" t="s">
        <v>90</v>
      </c>
      <c r="B18" s="2"/>
      <c r="C18" s="2"/>
      <c r="D18" s="2">
        <f>'All Ridership 2021'!Y5</f>
        <v>2.5424185732377955E-2</v>
      </c>
      <c r="E18" s="2">
        <f>'All Ridership 2021'!Y7</f>
        <v>1.0710568506695013E-2</v>
      </c>
      <c r="F18" s="2">
        <f>'All Ridership 2021'!Y2</f>
        <v>8.2437005636249214E-2</v>
      </c>
      <c r="G18" s="2">
        <f>'All Ridership 2021'!Y9</f>
        <v>7.8991846092596862E-3</v>
      </c>
      <c r="H18" s="2"/>
      <c r="I18" s="2"/>
      <c r="J18" s="2"/>
      <c r="L18" s="2"/>
      <c r="P18" s="2"/>
    </row>
    <row r="19" spans="1:16" x14ac:dyDescent="0.25">
      <c r="A19" t="s">
        <v>5</v>
      </c>
      <c r="C19" s="2">
        <f>'All Ridership 2021'!I8</f>
        <v>9.5783399793430979E-2</v>
      </c>
      <c r="D19" s="2">
        <f>'All Ridership 2021'!I5</f>
        <v>0.1667685852891784</v>
      </c>
      <c r="E19" s="2">
        <f>'All Ridership 2021'!I7</f>
        <v>9.5783399793430979E-2</v>
      </c>
      <c r="F19" s="2">
        <f>'All Ridership 2021'!I2</f>
        <v>0.65223544479009132</v>
      </c>
      <c r="G19" s="2">
        <f>'All Ridership 2021'!I9</f>
        <v>6.9249595483546242E-2</v>
      </c>
      <c r="H19" s="2">
        <f>'All Ridership 2021'!I4</f>
        <v>8.0880336640306791E-2</v>
      </c>
      <c r="I19" s="2">
        <f>'All Ridership 2021'!I3</f>
        <v>0.1279171961894946</v>
      </c>
      <c r="J19" s="2">
        <f>'All Ridership 2021'!I6</f>
        <v>1.9923747225933614E-2</v>
      </c>
      <c r="L19" s="2"/>
      <c r="P19" s="2"/>
    </row>
    <row r="20" spans="1:16" x14ac:dyDescent="0.25">
      <c r="A20" t="s">
        <v>4</v>
      </c>
      <c r="E20" s="2">
        <f>'All Ridership 2021'!G7</f>
        <v>0.13248394610720998</v>
      </c>
      <c r="F20" s="2">
        <f>'All Ridership 2021'!G2</f>
        <v>0.90214719568462021</v>
      </c>
      <c r="G20" s="2">
        <f>'All Ridership 2021'!H8</f>
        <v>9.5783399793430979E-2</v>
      </c>
      <c r="H20" s="2">
        <f>'All Ridership 2021'!G4</f>
        <v>0.18526594709220398</v>
      </c>
      <c r="I20" s="2">
        <f>'All Ridership 2021'!G3</f>
        <v>0.26460929238106673</v>
      </c>
      <c r="J20" s="2">
        <f>'All Ridership 2021'!G6</f>
        <v>3.7458409579564339E-2</v>
      </c>
      <c r="L20" s="2"/>
      <c r="P20" s="2"/>
    </row>
    <row r="21" spans="1:16" x14ac:dyDescent="0.25">
      <c r="A21" t="s">
        <v>3</v>
      </c>
      <c r="F21" s="2">
        <f>'All Ridership 2021'!F2</f>
        <v>0.90214719568462021</v>
      </c>
      <c r="G21" s="2">
        <f>'All Ridership 2021'!H7</f>
        <v>9.5783399793430979E-2</v>
      </c>
      <c r="H21" s="2">
        <f>'All Ridership 2021'!F4</f>
        <v>0.24541637206482414</v>
      </c>
      <c r="I21" s="2">
        <f>'All Ridership 2021'!F3</f>
        <v>0.3280697373321721</v>
      </c>
      <c r="J21" s="2">
        <f>'All Ridership 2021'!F6</f>
        <v>4.3857616118127121E-2</v>
      </c>
      <c r="L21" s="2"/>
      <c r="P21" s="2"/>
    </row>
    <row r="22" spans="1:16" x14ac:dyDescent="0.25">
      <c r="A22" t="s">
        <v>38</v>
      </c>
      <c r="F22" s="2"/>
      <c r="G22" s="2">
        <f>'All Ridership 2021'!H5</f>
        <v>0.1667685852891784</v>
      </c>
      <c r="H22" s="2">
        <f>'All Ridership 2021'!D4</f>
        <v>0.46146515716204151</v>
      </c>
      <c r="I22" s="2">
        <f>'All Ridership 2021'!D3</f>
        <v>0.6050444177779446</v>
      </c>
      <c r="J22" s="2">
        <f>'All Ridership 2021'!E5</f>
        <v>7.9592382809458059E-2</v>
      </c>
      <c r="L22" s="2"/>
      <c r="P22" s="2"/>
    </row>
    <row r="23" spans="1:16" x14ac:dyDescent="0.25">
      <c r="A23" t="s">
        <v>0</v>
      </c>
      <c r="G23" s="2">
        <f>'Ridership Phase 1'!B5</f>
        <v>0.65223544479009132</v>
      </c>
      <c r="H23" s="2">
        <f>'Ridership Phase 1'!C5</f>
        <v>1.8777138532895898</v>
      </c>
      <c r="I23" s="2">
        <f>'Ridership Phase 1'!D5</f>
        <v>3.084296011437591</v>
      </c>
      <c r="J23" s="2">
        <f>'All Ridership 2021'!E2</f>
        <v>0.37508517232376282</v>
      </c>
      <c r="L23" s="2"/>
      <c r="O23" s="2"/>
      <c r="P23" s="2"/>
    </row>
    <row r="24" spans="1:16" x14ac:dyDescent="0.25">
      <c r="A24" t="s">
        <v>1</v>
      </c>
      <c r="H24" s="2">
        <f>'Ridership Phase 1'!C6</f>
        <v>0.19936194178469219</v>
      </c>
      <c r="I24" s="2">
        <f>'Ridership Phase 1'!D6</f>
        <v>0.38971400994458916</v>
      </c>
      <c r="J24" s="2">
        <f>'All Ridership 2021'!H6</f>
        <v>4.4828431258350634E-2</v>
      </c>
      <c r="L24" s="2"/>
      <c r="O24" s="2"/>
      <c r="P24" s="2"/>
    </row>
    <row r="25" spans="1:16" x14ac:dyDescent="0.25">
      <c r="A25" t="s">
        <v>6</v>
      </c>
      <c r="I25" s="2">
        <f>'Ridership Phase 1'!D7</f>
        <v>1.3575517788529452</v>
      </c>
      <c r="J25" s="2">
        <f>'All Ridership 2021'!E4</f>
        <v>0.34710930144094587</v>
      </c>
      <c r="L25" s="2"/>
      <c r="O25" s="2"/>
      <c r="P25" s="2"/>
    </row>
    <row r="26" spans="1:16" x14ac:dyDescent="0.25">
      <c r="A26" t="s">
        <v>7</v>
      </c>
      <c r="J26" s="2">
        <f>'All Ridership 2021'!E3</f>
        <v>0.82102311713360121</v>
      </c>
      <c r="L26" s="2"/>
      <c r="O26" s="2"/>
      <c r="P26" s="2"/>
    </row>
    <row r="29" spans="1:16" x14ac:dyDescent="0.25">
      <c r="A29">
        <v>2041</v>
      </c>
    </row>
    <row r="30" spans="1:16" x14ac:dyDescent="0.25">
      <c r="A30" t="s">
        <v>46</v>
      </c>
      <c r="B30" t="s">
        <v>5</v>
      </c>
      <c r="C30" t="s">
        <v>4</v>
      </c>
      <c r="D30" t="s">
        <v>38</v>
      </c>
      <c r="E30" t="s">
        <v>3</v>
      </c>
      <c r="F30" t="s">
        <v>0</v>
      </c>
      <c r="G30" t="s">
        <v>1</v>
      </c>
      <c r="H30" t="s">
        <v>6</v>
      </c>
      <c r="I30" t="s">
        <v>7</v>
      </c>
      <c r="J30" t="s">
        <v>8</v>
      </c>
    </row>
    <row r="31" spans="1:16" x14ac:dyDescent="0.25">
      <c r="A31" t="s">
        <v>11</v>
      </c>
      <c r="B31" s="2"/>
      <c r="C31" s="2"/>
      <c r="D31" s="2"/>
      <c r="E31" s="2"/>
      <c r="F31" s="2"/>
      <c r="G31" s="2"/>
      <c r="H31" s="2"/>
      <c r="I31" s="2"/>
      <c r="J31" s="2"/>
      <c r="L31" s="2"/>
    </row>
    <row r="32" spans="1:16" x14ac:dyDescent="0.25">
      <c r="A32" t="s">
        <v>10</v>
      </c>
      <c r="B32" s="2"/>
      <c r="C32" s="2">
        <f>'All Ridership 2041'!K8</f>
        <v>0.20729732326374742</v>
      </c>
      <c r="D32" s="2">
        <f>'All Ridership 2041'!K5</f>
        <v>0.43146512842263968</v>
      </c>
      <c r="E32" s="2">
        <f>'All Ridership 2041'!K7</f>
        <v>0.23450447030542151</v>
      </c>
      <c r="F32" s="2">
        <f>'All Ridership 2041'!K2</f>
        <v>1.9682157100817717</v>
      </c>
      <c r="G32" s="2">
        <f>'All Ridership 2041'!K9</f>
        <v>0.17916315328042157</v>
      </c>
      <c r="H32" s="2">
        <f>'All Ridership 2041'!K4</f>
        <v>0.20881485974804731</v>
      </c>
      <c r="I32" s="2">
        <f>'All Ridership 2041'!K3</f>
        <v>0.17119939006140134</v>
      </c>
      <c r="J32" s="2">
        <f>'All Ridership 2041'!K6</f>
        <v>2.4565566318016253E-2</v>
      </c>
      <c r="L32" s="2"/>
    </row>
    <row r="33" spans="1:12" x14ac:dyDescent="0.25">
      <c r="A33" t="s">
        <v>40</v>
      </c>
      <c r="B33" s="2"/>
      <c r="C33" s="2"/>
      <c r="D33" s="2">
        <f>'All Ridership 2041'!L5</f>
        <v>0.29398484790391155</v>
      </c>
      <c r="E33" s="2"/>
      <c r="F33" s="2">
        <f>'All Ridership 2041'!L2</f>
        <v>1.3410715213204645</v>
      </c>
      <c r="G33" s="2">
        <f>'All Ridership 2041'!L9</f>
        <v>0.11286551430352092</v>
      </c>
      <c r="H33" s="2">
        <f>'All Ridership 2041'!L4</f>
        <v>0.11085333385861781</v>
      </c>
      <c r="I33" s="2"/>
      <c r="L33" s="2"/>
    </row>
    <row r="34" spans="1:12" x14ac:dyDescent="0.25">
      <c r="A34" t="s">
        <v>41</v>
      </c>
      <c r="B34" s="2"/>
      <c r="C34" s="2"/>
      <c r="D34" s="2"/>
      <c r="E34" s="2"/>
      <c r="F34" s="2"/>
      <c r="G34" s="2"/>
      <c r="H34" s="2"/>
      <c r="I34" s="2"/>
      <c r="J34" s="2"/>
      <c r="L34" s="2"/>
    </row>
    <row r="35" spans="1:12" x14ac:dyDescent="0.25">
      <c r="A35" t="s">
        <v>68</v>
      </c>
      <c r="B35" s="2"/>
      <c r="C35" s="2"/>
      <c r="D35" s="2">
        <f>'All Ridership 2041'!N5</f>
        <v>0.18820649850702142</v>
      </c>
      <c r="E35" s="2"/>
      <c r="F35" s="2">
        <f>'All Ridership 2041'!N2</f>
        <v>0.65732131246860337</v>
      </c>
      <c r="G35" s="2">
        <f>'All Ridership 2041'!N9</f>
        <v>5.1918940625994656E-2</v>
      </c>
      <c r="H35" s="2">
        <f>'All Ridership 2041'!N4</f>
        <v>6.5928601564486849E-2</v>
      </c>
      <c r="I35" s="2"/>
      <c r="J35" s="2"/>
      <c r="L35" s="2"/>
    </row>
    <row r="36" spans="1:12" x14ac:dyDescent="0.25">
      <c r="A36" t="s">
        <v>69</v>
      </c>
      <c r="B36" s="2"/>
      <c r="C36" s="2"/>
      <c r="D36" s="2">
        <f>'All Ridership 2041'!O5</f>
        <v>0.20152682233330285</v>
      </c>
      <c r="E36" s="2"/>
      <c r="F36" s="2">
        <f>'All Ridership 2041'!O2</f>
        <v>0.69776256860762664</v>
      </c>
      <c r="G36" s="2">
        <f>'All Ridership 2041'!O9</f>
        <v>5.4885148699846363E-2</v>
      </c>
      <c r="H36" s="2">
        <f>'All Ridership 2041'!O4</f>
        <v>6.8381550447261616E-2</v>
      </c>
      <c r="I36" s="2"/>
      <c r="J36" s="2"/>
      <c r="L36" s="2"/>
    </row>
    <row r="37" spans="1:12" x14ac:dyDescent="0.25">
      <c r="A37" t="s">
        <v>71</v>
      </c>
      <c r="B37" s="2"/>
      <c r="C37" s="2">
        <f>'All Ridership 2041'!P8</f>
        <v>6.5764914822986645E-2</v>
      </c>
      <c r="D37" s="2">
        <f>'All Ridership 2041'!P5</f>
        <v>0.13688197692597129</v>
      </c>
      <c r="E37" s="2">
        <f>'All Ridership 2041'!P7</f>
        <v>7.4396361093499494E-2</v>
      </c>
      <c r="F37" s="2">
        <f>'All Ridership 2041'!P2</f>
        <v>0.62441490555140478</v>
      </c>
      <c r="G37" s="2">
        <f>'All Ridership 2041'!P9</f>
        <v>5.6839371244139923E-2</v>
      </c>
      <c r="H37" s="2">
        <f>'All Ridership 2041'!P4</f>
        <v>0.11484541206099048</v>
      </c>
      <c r="I37" s="2"/>
      <c r="J37" s="2"/>
      <c r="L37" s="2"/>
    </row>
    <row r="38" spans="1:12" x14ac:dyDescent="0.25">
      <c r="A38" t="s">
        <v>72</v>
      </c>
      <c r="B38" s="2"/>
      <c r="C38" s="2">
        <f>'All Ridership 2041'!Q8</f>
        <v>6.5764914822986645E-2</v>
      </c>
      <c r="D38" s="2">
        <f>'All Ridership 2041'!Q5</f>
        <v>0.13688197692597129</v>
      </c>
      <c r="E38" s="2">
        <f>'All Ridership 2041'!Q7</f>
        <v>7.4396361093499494E-2</v>
      </c>
      <c r="F38" s="2">
        <f>'All Ridership 2041'!Q2</f>
        <v>0.62441490555140478</v>
      </c>
      <c r="G38" s="2">
        <f>'All Ridership 2041'!Q9</f>
        <v>5.6839371244139923E-2</v>
      </c>
      <c r="H38" s="2">
        <f>'All Ridership 2041'!Q4</f>
        <v>8.4376221106033822E-2</v>
      </c>
      <c r="I38" s="2"/>
      <c r="J38" s="2"/>
      <c r="L38" s="2"/>
    </row>
    <row r="39" spans="1:12" x14ac:dyDescent="0.25">
      <c r="A39" t="s">
        <v>73</v>
      </c>
      <c r="B39" s="2"/>
      <c r="C39" s="2">
        <f>'All Ridership 2041'!R8</f>
        <v>4.1978389940066529E-2</v>
      </c>
      <c r="D39" s="2">
        <f>'All Ridership 2041'!R5</f>
        <v>0.1258172754702081</v>
      </c>
      <c r="E39" s="2">
        <f>'All Ridership 2041'!R7</f>
        <v>6.5727234219665656E-2</v>
      </c>
      <c r="F39" s="2">
        <f>'All Ridership 2041'!R2</f>
        <v>0.57394102528160584</v>
      </c>
      <c r="G39" s="2">
        <f>'All Ridership 2041'!R9</f>
        <v>5.2244824263788903E-2</v>
      </c>
      <c r="H39" s="2"/>
      <c r="I39" s="2"/>
      <c r="J39" s="2"/>
      <c r="L39" s="2"/>
    </row>
    <row r="40" spans="1:12" x14ac:dyDescent="0.25">
      <c r="A40" t="s">
        <v>75</v>
      </c>
      <c r="B40" s="2"/>
      <c r="C40" s="2">
        <f>'All Ridership 2041'!S8</f>
        <v>2.2475045179095706E-2</v>
      </c>
      <c r="D40" s="2">
        <f>'All Ridership 2041'!S5</f>
        <v>0.10786803452521271</v>
      </c>
      <c r="E40" s="2">
        <f>'All Ridership 2041'!S7</f>
        <v>3.2080415876402778E-2</v>
      </c>
      <c r="F40" s="2">
        <f>'All Ridership 2041'!S2</f>
        <v>0.36732225618022779</v>
      </c>
      <c r="G40" s="2">
        <f>'All Ridership 2041'!S9</f>
        <v>2.8666570240762086E-2</v>
      </c>
      <c r="H40" s="2"/>
      <c r="I40" s="2"/>
      <c r="J40" s="2"/>
      <c r="L40" s="2"/>
    </row>
    <row r="41" spans="1:12" x14ac:dyDescent="0.25">
      <c r="A41" t="s">
        <v>76</v>
      </c>
      <c r="B41" s="2"/>
      <c r="C41" s="2">
        <f>'All Ridership 2041'!T8</f>
        <v>7.8094761017379721E-2</v>
      </c>
      <c r="D41" s="2">
        <f>'All Ridership 2041'!T5</f>
        <v>0.29623846191021469</v>
      </c>
      <c r="E41" s="2">
        <f>'All Ridership 2041'!T7</f>
        <v>0.10513721136693006</v>
      </c>
      <c r="F41" s="2">
        <f>'All Ridership 2041'!T2</f>
        <v>1.10423591792571</v>
      </c>
      <c r="G41" s="2">
        <f>'All Ridership 2041'!T9</f>
        <v>9.0053623572736663E-2</v>
      </c>
      <c r="H41" s="2"/>
      <c r="I41" s="2"/>
      <c r="J41" s="2"/>
      <c r="L41" s="2"/>
    </row>
    <row r="42" spans="1:12" x14ac:dyDescent="0.25">
      <c r="A42" t="s">
        <v>78</v>
      </c>
      <c r="B42" s="2"/>
      <c r="C42" s="2">
        <f>'All Ridership 2041'!U8</f>
        <v>0.1821845240915298</v>
      </c>
      <c r="D42" s="2">
        <f>'All Ridership 2041'!U5</f>
        <v>0.71007297419014936</v>
      </c>
      <c r="E42" s="2">
        <f>'All Ridership 2041'!U7</f>
        <v>0.24699512535722257</v>
      </c>
      <c r="F42" s="2">
        <f>'All Ridership 2041'!U2</f>
        <v>2.620256113071691</v>
      </c>
      <c r="G42" s="2">
        <f>'All Ridership 2041'!U9</f>
        <v>0.21261166748329455</v>
      </c>
      <c r="H42" s="2"/>
      <c r="I42" s="2"/>
      <c r="J42" s="2"/>
      <c r="L42" s="2"/>
    </row>
    <row r="43" spans="1:12" x14ac:dyDescent="0.25">
      <c r="A43" t="s">
        <v>80</v>
      </c>
      <c r="B43" s="2"/>
      <c r="C43" s="2"/>
      <c r="D43" s="2">
        <f>'All Ridership 2041'!V5</f>
        <v>0.18625701840469819</v>
      </c>
      <c r="E43" s="2">
        <f>'All Ridership 2041'!V7</f>
        <v>6.888182824432279E-2</v>
      </c>
      <c r="F43" s="2">
        <f>'All Ridership 2041'!V2</f>
        <v>0.70865288334380017</v>
      </c>
      <c r="G43" s="2">
        <f>'All Ridership 2041'!V9</f>
        <v>5.8396559908765029E-2</v>
      </c>
      <c r="H43" s="2"/>
      <c r="I43" s="2"/>
      <c r="J43" s="2"/>
      <c r="L43" s="2"/>
    </row>
    <row r="44" spans="1:12" x14ac:dyDescent="0.25">
      <c r="A44" t="s">
        <v>81</v>
      </c>
      <c r="B44" s="2"/>
      <c r="C44" s="2"/>
      <c r="D44" s="2">
        <f>'All Ridership 2041'!W5</f>
        <v>8.6691007443299467E-2</v>
      </c>
      <c r="E44" s="2">
        <f>'All Ridership 2041'!W7</f>
        <v>3.5706942219471766E-2</v>
      </c>
      <c r="F44" s="2">
        <f>'All Ridership 2041'!W2</f>
        <v>0.33457889582727507</v>
      </c>
      <c r="G44" s="2">
        <f>'All Ridership 2041'!W9</f>
        <v>2.7774120794978346E-2</v>
      </c>
      <c r="H44" s="2"/>
      <c r="I44" s="2"/>
      <c r="J44" s="2"/>
      <c r="L44" s="2"/>
    </row>
    <row r="45" spans="1:12" x14ac:dyDescent="0.25">
      <c r="A45" t="s">
        <v>70</v>
      </c>
      <c r="B45" s="2"/>
      <c r="C45" s="2"/>
      <c r="D45" s="2">
        <f>'All Ridership 2041'!X5</f>
        <v>0.14725758540278042</v>
      </c>
      <c r="E45" s="2">
        <f>'All Ridership 2041'!X7</f>
        <v>7.5111516562170161E-2</v>
      </c>
      <c r="F45" s="2">
        <f>'All Ridership 2041'!X2</f>
        <v>0.63041726544994003</v>
      </c>
      <c r="G45" s="2">
        <f>'All Ridership 2041'!X9</f>
        <v>5.8424390452400742E-2</v>
      </c>
      <c r="H45" s="2"/>
      <c r="I45" s="2"/>
      <c r="J45" s="2"/>
      <c r="L45" s="2"/>
    </row>
    <row r="46" spans="1:12" x14ac:dyDescent="0.25">
      <c r="A46" t="s">
        <v>90</v>
      </c>
      <c r="B46" s="2"/>
      <c r="C46" s="2"/>
      <c r="D46" s="2">
        <f>'All Ridership 2041'!Y5</f>
        <v>3.0393104475357313E-2</v>
      </c>
      <c r="E46" s="2">
        <f>'All Ridership 2041'!Y7</f>
        <v>1.2116298246344463E-2</v>
      </c>
      <c r="F46" s="2">
        <f>'All Ridership 2041'!Y2</f>
        <v>0.11494419949218213</v>
      </c>
      <c r="G46" s="2">
        <f>'All Ridership 2041'!Y9</f>
        <v>9.4430061842106054E-3</v>
      </c>
      <c r="H46" s="2"/>
      <c r="I46" s="2"/>
      <c r="J46" s="2"/>
      <c r="L46" s="2"/>
    </row>
    <row r="47" spans="1:12" x14ac:dyDescent="0.25">
      <c r="A47" t="s">
        <v>5</v>
      </c>
      <c r="C47" s="2">
        <f>'All Ridership 2041'!I8</f>
        <v>0.11450336728854525</v>
      </c>
      <c r="D47" s="2">
        <f>'All Ridership 2041'!I5</f>
        <v>0.23832536423598277</v>
      </c>
      <c r="E47" s="2">
        <f>'All Ridership 2041'!I7</f>
        <v>0.12953158811425566</v>
      </c>
      <c r="F47" s="2">
        <f>'All Ridership 2041'!I2</f>
        <v>1.0871694955165432</v>
      </c>
      <c r="G47" s="2">
        <f>'All Ridership 2041'!I9</f>
        <v>9.8963093307967084E-2</v>
      </c>
      <c r="H47" s="2">
        <f>'All Ridership 2041'!I4</f>
        <v>0.11681559734902502</v>
      </c>
      <c r="I47" s="2">
        <f>'All Ridership 2041'!I3</f>
        <v>0.18280368764323379</v>
      </c>
      <c r="J47" s="2">
        <f>'All Ridership 2041'!I6</f>
        <v>2.6171044236581814E-2</v>
      </c>
      <c r="L47" s="2"/>
    </row>
    <row r="48" spans="1:12" x14ac:dyDescent="0.25">
      <c r="A48" t="s">
        <v>4</v>
      </c>
      <c r="E48" s="2">
        <f>'All Ridership 2041'!G7</f>
        <v>0.14987206354958535</v>
      </c>
      <c r="F48" s="2">
        <f>'All Ridership 2041'!G2</f>
        <v>1.2578888137888429</v>
      </c>
      <c r="G48" s="2">
        <f>'All Ridership 2041'!H8</f>
        <v>0.11450336728854525</v>
      </c>
      <c r="H48" s="2">
        <f>'All Ridership 2041'!G4</f>
        <v>0.22383370037459668</v>
      </c>
      <c r="I48" s="2">
        <f>'All Ridership 2041'!G3</f>
        <v>0.31632469779538241</v>
      </c>
      <c r="J48" s="2">
        <f>'All Ridership 2041'!G6</f>
        <v>4.1159619567095476E-2</v>
      </c>
      <c r="L48" s="2"/>
    </row>
    <row r="49" spans="1:12" x14ac:dyDescent="0.25">
      <c r="A49" t="s">
        <v>3</v>
      </c>
      <c r="F49" s="2">
        <f>'All Ridership 2041'!F2</f>
        <v>1.4229829181410101</v>
      </c>
      <c r="G49" s="2">
        <f>'All Ridership 2041'!H7</f>
        <v>0.12953158811425566</v>
      </c>
      <c r="H49" s="2">
        <f>'All Ridership 2041'!F4</f>
        <v>0.33542145381127181</v>
      </c>
      <c r="I49" s="2">
        <f>'All Ridership 2041'!F3</f>
        <v>0.44366136700628361</v>
      </c>
      <c r="J49" s="2">
        <f>'All Ridership 2041'!F6</f>
        <v>5.4516061344838239E-2</v>
      </c>
      <c r="L49" s="2"/>
    </row>
    <row r="50" spans="1:12" x14ac:dyDescent="0.25">
      <c r="A50" t="s">
        <v>38</v>
      </c>
      <c r="F50" s="2"/>
      <c r="G50" s="2">
        <f>'All Ridership 2041'!H5</f>
        <v>0.23832536423598277</v>
      </c>
      <c r="H50" s="2">
        <f>'All Ridership 2041'!D4</f>
        <v>0.66649485188692115</v>
      </c>
      <c r="I50" s="2">
        <f>'All Ridership 2041'!D3</f>
        <v>0.86465584028213094</v>
      </c>
      <c r="J50" s="2">
        <f>'All Ridership 2041'!E5</f>
        <v>0.10454939764995301</v>
      </c>
      <c r="L50" s="2"/>
    </row>
    <row r="51" spans="1:12" x14ac:dyDescent="0.25">
      <c r="A51" t="s">
        <v>0</v>
      </c>
      <c r="G51" s="2">
        <f>'Ridership Phase 1'!B15</f>
        <v>1.0871694955165432</v>
      </c>
      <c r="H51" s="2">
        <f>'Ridership Phase 1'!C15</f>
        <v>3.163181671121619</v>
      </c>
      <c r="I51" s="2">
        <f>'Ridership Phase 1'!D15</f>
        <v>5.1410155114422471</v>
      </c>
      <c r="J51" s="2">
        <f>'All Ridership 2041'!E2</f>
        <v>0.57466767090718285</v>
      </c>
      <c r="L51" s="2"/>
    </row>
    <row r="52" spans="1:12" x14ac:dyDescent="0.25">
      <c r="A52" t="s">
        <v>1</v>
      </c>
      <c r="H52" s="2">
        <f>'Ridership Phase 1'!C16</f>
        <v>0.28793876590561179</v>
      </c>
      <c r="I52" s="2">
        <f>'Ridership Phase 1'!D16</f>
        <v>0.55693182985786527</v>
      </c>
      <c r="J52" s="2">
        <f>'All Ridership 2041'!H6</f>
        <v>5.8884849532309082E-2</v>
      </c>
      <c r="L52" s="2"/>
    </row>
    <row r="53" spans="1:12" x14ac:dyDescent="0.25">
      <c r="A53" t="s">
        <v>6</v>
      </c>
      <c r="I53" s="2">
        <f>'Ridership Phase 1'!D17</f>
        <v>1.9607141681938574</v>
      </c>
      <c r="J53" s="2">
        <f>'All Ridership 2041'!E4</f>
        <v>0.46080601886429728</v>
      </c>
      <c r="L53" s="2"/>
    </row>
    <row r="54" spans="1:12" x14ac:dyDescent="0.25">
      <c r="A54" t="s">
        <v>7</v>
      </c>
      <c r="J54" s="2">
        <f>'All Ridership 2041'!E3</f>
        <v>1.0784634072144481</v>
      </c>
      <c r="L54" s="2"/>
    </row>
  </sheetData>
  <conditionalFormatting sqref="B3:I3 B31:I31 B5:I25 B4 B33:I53 B32">
    <cfRule type="colorScale" priority="9">
      <colorScale>
        <cfvo type="min"/>
        <cfvo type="max"/>
        <color rgb="FFFCFCFF"/>
        <color rgb="FFF8696B"/>
      </colorScale>
    </cfRule>
  </conditionalFormatting>
  <conditionalFormatting sqref="B3:J3 B31:J31 B5:J26 B4 B33:J54 B32">
    <cfRule type="colorScale" priority="7">
      <colorScale>
        <cfvo type="min"/>
        <cfvo type="max"/>
        <color rgb="FFFCFCFF"/>
        <color rgb="FFF8696B"/>
      </colorScale>
    </cfRule>
  </conditionalFormatting>
  <conditionalFormatting sqref="B3:J26">
    <cfRule type="colorScale" priority="4">
      <colorScale>
        <cfvo type="min"/>
        <cfvo type="max"/>
        <color rgb="FFFCFCFF"/>
        <color rgb="FFF8696B"/>
      </colorScale>
    </cfRule>
  </conditionalFormatting>
  <conditionalFormatting sqref="B31:J54">
    <cfRule type="colorScale" priority="1">
      <colorScale>
        <cfvo type="min"/>
        <cfvo type="max"/>
        <color rgb="FFFCFCFF"/>
        <color rgb="FFF8696B"/>
      </colorScale>
    </cfRule>
  </conditionalFormatting>
  <conditionalFormatting sqref="C4:I4">
    <cfRule type="colorScale" priority="6">
      <colorScale>
        <cfvo type="min"/>
        <cfvo type="max"/>
        <color rgb="FFFCFCFF"/>
        <color rgb="FFF8696B"/>
      </colorScale>
    </cfRule>
  </conditionalFormatting>
  <conditionalFormatting sqref="C32:I32">
    <cfRule type="colorScale" priority="3">
      <colorScale>
        <cfvo type="min"/>
        <cfvo type="max"/>
        <color rgb="FFFCFCFF"/>
        <color rgb="FFF8696B"/>
      </colorScale>
    </cfRule>
  </conditionalFormatting>
  <conditionalFormatting sqref="C4:J4">
    <cfRule type="colorScale" priority="5">
      <colorScale>
        <cfvo type="min"/>
        <cfvo type="max"/>
        <color rgb="FFFCFCFF"/>
        <color rgb="FFF8696B"/>
      </colorScale>
    </cfRule>
  </conditionalFormatting>
  <conditionalFormatting sqref="C32:J3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26 L31:L54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086E-DD9D-4217-8549-0E891F357A21}">
  <dimension ref="A1:J62"/>
  <sheetViews>
    <sheetView workbookViewId="0">
      <selection activeCell="O57" sqref="O57"/>
    </sheetView>
  </sheetViews>
  <sheetFormatPr defaultRowHeight="15" x14ac:dyDescent="0.25"/>
  <cols>
    <col min="2" max="2" width="12.7109375" customWidth="1"/>
  </cols>
  <sheetData>
    <row r="1" spans="1:10" x14ac:dyDescent="0.25">
      <c r="A1">
        <v>2021</v>
      </c>
    </row>
    <row r="2" spans="1:10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0" x14ac:dyDescent="0.25">
      <c r="A3" t="s">
        <v>11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t="s">
        <v>10</v>
      </c>
      <c r="B4" s="4"/>
      <c r="C4" s="4">
        <f>'Ridership Phase 3N'!C4*'Distances Phase 3N'!C3*Coefficient!$B$4</f>
        <v>3.3564563334393114</v>
      </c>
      <c r="D4" s="4">
        <f>'Ridership Phase 3N'!D4*'Distances Phase 3N'!D3*Coefficient!$B$4</f>
        <v>14.934487531189342</v>
      </c>
      <c r="E4" s="4">
        <f>'Ridership Phase 3N'!E4*'Distances Phase 3N'!E3*Coefficient!$B$4</f>
        <v>4.8482147038567831</v>
      </c>
      <c r="F4" s="4">
        <f>'Ridership Phase 3N'!F4*'Distances Phase 3N'!F3*Coefficient!$B$4</f>
        <v>46.346347007496846</v>
      </c>
      <c r="G4" s="4">
        <f>'Ridership Phase 3N'!G4*'Distances Phase 3N'!G3*Coefficient!$B$4</f>
        <v>5.5947873708227966</v>
      </c>
      <c r="H4" s="4">
        <f>'Ridership Phase 3N'!H4*'Distances Phase 3N'!H3*Coefficient!$B$4</f>
        <v>12.282122388841552</v>
      </c>
      <c r="I4" s="4">
        <f>'Ridership Phase 3N'!I4*'Distances Phase 3N'!I3*Coefficient!$B$4</f>
        <v>12.431293441506249</v>
      </c>
      <c r="J4" s="4">
        <f>'Ridership Phase 3N'!J4*'Distances Phase 3N'!J3*Coefficient!$B$4</f>
        <v>2.4735726830335869</v>
      </c>
    </row>
    <row r="5" spans="1:10" x14ac:dyDescent="0.25">
      <c r="A5" t="s">
        <v>40</v>
      </c>
      <c r="B5" s="4"/>
      <c r="C5" s="4"/>
      <c r="D5" s="4">
        <f>'Ridership Phase 3N'!D5*'Distances Phase 3N'!D4*Coefficient!$B$4</f>
        <v>1.0983262602306962</v>
      </c>
      <c r="E5" s="4"/>
      <c r="F5" s="4">
        <f>'Ridership Phase 3N'!F5*'Distances Phase 3N'!F4*Coefficient!$B$4</f>
        <v>10.309385052932136</v>
      </c>
      <c r="G5" s="4">
        <f>'Ridership Phase 3N'!G5*'Distances Phase 3N'!G4*Coefficient!$B$4</f>
        <v>1.4336614318754255</v>
      </c>
      <c r="H5" s="4">
        <f>'Ridership Phase 3N'!H5*'Distances Phase 3N'!H4*Coefficient!$B$4</f>
        <v>3.8519546857279314</v>
      </c>
      <c r="I5" s="4"/>
      <c r="J5" s="4"/>
    </row>
    <row r="6" spans="1:10" x14ac:dyDescent="0.25">
      <c r="A6" t="s">
        <v>41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t="s">
        <v>68</v>
      </c>
      <c r="B7" s="4"/>
      <c r="C7" s="4"/>
      <c r="D7" s="4">
        <f>'Ridership Phase 3N'!D7*'Distances Phase 3N'!D6*Coefficient!$B$4</f>
        <v>0.61005702120871841</v>
      </c>
      <c r="E7" s="4"/>
      <c r="F7" s="4">
        <f>'Ridership Phase 3N'!F7*'Distances Phase 3N'!F6*Coefficient!$B$4</f>
        <v>4.3841754838866338</v>
      </c>
      <c r="G7" s="4">
        <f>'Ridership Phase 3N'!G7*'Distances Phase 3N'!G6*Coefficient!$B$4</f>
        <v>0.57219038315430371</v>
      </c>
      <c r="H7" s="4">
        <f>'Ridership Phase 3N'!H7*'Distances Phase 3N'!H6*Coefficient!$B$4</f>
        <v>1.9876305774272365</v>
      </c>
      <c r="I7" s="4"/>
      <c r="J7" s="4"/>
    </row>
    <row r="8" spans="1:10" x14ac:dyDescent="0.25">
      <c r="A8" t="s">
        <v>69</v>
      </c>
      <c r="B8" s="4"/>
      <c r="C8" s="4"/>
      <c r="D8" s="4">
        <f>'Ridership Phase 3N'!D8*'Distances Phase 3N'!D7*Coefficient!$B$4</f>
        <v>0.73051130997775093</v>
      </c>
      <c r="E8" s="4"/>
      <c r="F8" s="4">
        <f>'Ridership Phase 3N'!F8*'Distances Phase 3N'!F7*Coefficient!$B$4</f>
        <v>5.2044657614221119</v>
      </c>
      <c r="G8" s="4">
        <f>'Ridership Phase 3N'!G8*'Distances Phase 3N'!G7*Coefficient!$B$4</f>
        <v>0.67643777040113284</v>
      </c>
      <c r="H8" s="4">
        <f>'Ridership Phase 3N'!H8*'Distances Phase 3N'!H7*Coefficient!$B$4</f>
        <v>2.3054675893077583</v>
      </c>
      <c r="I8" s="4"/>
      <c r="J8" s="4"/>
    </row>
    <row r="9" spans="1:10" x14ac:dyDescent="0.25">
      <c r="A9" t="s">
        <v>71</v>
      </c>
      <c r="B9" s="4"/>
      <c r="C9" s="4">
        <f>'Ridership Phase 3N'!C9*'Distances Phase 3N'!C8*Coefficient!$B$4</f>
        <v>0.43058464984664829</v>
      </c>
      <c r="D9" s="4">
        <f>'Ridership Phase 3N'!D9*'Distances Phase 3N'!D8*Coefficient!$B$4</f>
        <v>0.53549387067237719</v>
      </c>
      <c r="E9" s="4">
        <f>'Ridership Phase 3N'!E9*'Distances Phase 3N'!E8*Coefficient!$B$4</f>
        <v>0.43058464984664829</v>
      </c>
      <c r="F9" s="4">
        <f>'Ridership Phase 3N'!F9*'Distances Phase 3N'!F8*Coefficient!$B$4</f>
        <v>5.0263866996014572</v>
      </c>
      <c r="G9" s="4">
        <f>'Ridership Phase 3N'!G9*'Distances Phase 3N'!G8*Coefficient!$B$4</f>
        <v>0.75602545369385765</v>
      </c>
      <c r="H9" s="4">
        <f>'Ridership Phase 3N'!H9*'Distances Phase 3N'!H8*Coefficient!$B$4</f>
        <v>4.1787643032064627</v>
      </c>
      <c r="I9" s="4"/>
      <c r="J9" s="4"/>
    </row>
    <row r="10" spans="1:10" x14ac:dyDescent="0.25">
      <c r="A10" t="s">
        <v>72</v>
      </c>
      <c r="B10" s="4"/>
      <c r="C10" s="4">
        <f>'Ridership Phase 3N'!C10*'Distances Phase 3N'!C9*Coefficient!$B$4</f>
        <v>0.39897381659278569</v>
      </c>
      <c r="D10" s="4">
        <f>'Ridership Phase 3N'!D10*'Distances Phase 3N'!D9*Coefficient!$B$4</f>
        <v>0.4961812582503628</v>
      </c>
      <c r="E10" s="4">
        <f>'Ridership Phase 3N'!E10*'Distances Phase 3N'!E9*Coefficient!$B$4</f>
        <v>0.39897381659278569</v>
      </c>
      <c r="F10" s="4">
        <f>'Ridership Phase 3N'!F10*'Distances Phase 3N'!F9*Coefficient!$B$4</f>
        <v>4.6573808098487151</v>
      </c>
      <c r="G10" s="4">
        <f>'Ridership Phase 3N'!G10*'Distances Phase 3N'!G9*Coefficient!$B$4</f>
        <v>0.70052279106781223</v>
      </c>
      <c r="H10" s="4">
        <f>'Ridership Phase 3N'!H10*'Distances Phase 3N'!H9*Coefficient!$B$4</f>
        <v>2.8447240782914438</v>
      </c>
      <c r="I10" s="4"/>
      <c r="J10" s="4"/>
    </row>
    <row r="11" spans="1:10" x14ac:dyDescent="0.25">
      <c r="A11" t="s">
        <v>73</v>
      </c>
      <c r="B11" s="4"/>
      <c r="C11" s="4">
        <f>'Ridership Phase 3N'!C11*'Distances Phase 3N'!C10*Coefficient!$B$4</f>
        <v>0.27706515041165669</v>
      </c>
      <c r="D11" s="4">
        <f>'Ridership Phase 3N'!D11*'Distances Phase 3N'!D10*Coefficient!$B$4</f>
        <v>0.4961812582503628</v>
      </c>
      <c r="E11" s="4">
        <f>'Ridership Phase 3N'!E11*'Distances Phase 3N'!E10*Coefficient!$B$4</f>
        <v>0.38348117704035528</v>
      </c>
      <c r="F11" s="4">
        <f>'Ridership Phase 3N'!F11*'Distances Phase 3N'!F10*Coefficient!$B$4</f>
        <v>4.6573808098487151</v>
      </c>
      <c r="G11" s="4">
        <f>'Ridership Phase 3N'!G11*'Distances Phase 3N'!G10*Coefficient!$B$4</f>
        <v>0.70052279106781223</v>
      </c>
      <c r="H11" s="4"/>
      <c r="I11" s="4"/>
      <c r="J11" s="4"/>
    </row>
    <row r="12" spans="1:10" x14ac:dyDescent="0.25">
      <c r="A12" t="s">
        <v>75</v>
      </c>
      <c r="B12" s="4"/>
      <c r="C12" s="4">
        <f>'Ridership Phase 3N'!C12*'Distances Phase 3N'!C11*Coefficient!$B$4</f>
        <v>0.13634860741984728</v>
      </c>
      <c r="D12" s="4">
        <f>'Ridership Phase 3N'!D12*'Distances Phase 3N'!D11*Coefficient!$B$4</f>
        <v>0.39100908898079062</v>
      </c>
      <c r="E12" s="4">
        <f>'Ridership Phase 3N'!E12*'Distances Phase 3N'!E11*Coefficient!$B$4</f>
        <v>0.17204129035298424</v>
      </c>
      <c r="F12" s="4">
        <f>'Ridership Phase 3N'!F12*'Distances Phase 3N'!F11*Coefficient!$B$4</f>
        <v>2.7397802514874283</v>
      </c>
      <c r="G12" s="4">
        <f>'Ridership Phase 3N'!G12*'Distances Phase 3N'!G11*Coefficient!$B$4</f>
        <v>0.35330415090526762</v>
      </c>
      <c r="H12" s="4"/>
      <c r="I12" s="4"/>
      <c r="J12" s="4"/>
    </row>
    <row r="13" spans="1:10" x14ac:dyDescent="0.25">
      <c r="A13" t="s">
        <v>76</v>
      </c>
      <c r="B13" s="4"/>
      <c r="C13" s="4">
        <f>'Ridership Phase 3N'!C13*'Distances Phase 3N'!C12*Coefficient!$B$4</f>
        <v>0.4513452565032875</v>
      </c>
      <c r="D13" s="4">
        <f>'Ridership Phase 3N'!D13*'Distances Phase 3N'!D12*Coefficient!$B$4</f>
        <v>1.0229923366228162</v>
      </c>
      <c r="E13" s="4">
        <f>'Ridership Phase 3N'!E13*'Distances Phase 3N'!E12*Coefficient!$B$4</f>
        <v>0.53713815649978014</v>
      </c>
      <c r="F13" s="4">
        <f>'Ridership Phase 3N'!F13*'Distances Phase 3N'!F12*Coefficient!$B$4</f>
        <v>7.8463415009444892</v>
      </c>
      <c r="G13" s="4">
        <f>'Ridership Phase 3N'!G13*'Distances Phase 3N'!G12*Coefficient!$B$4</f>
        <v>1.0573311956197611</v>
      </c>
      <c r="H13" s="4"/>
      <c r="I13" s="4"/>
      <c r="J13" s="4"/>
    </row>
    <row r="14" spans="1:10" x14ac:dyDescent="0.25">
      <c r="A14" t="s">
        <v>78</v>
      </c>
      <c r="B14" s="4"/>
      <c r="C14" s="4">
        <f>'Ridership Phase 3N'!C14*'Distances Phase 3N'!C13*Coefficient!$B$4</f>
        <v>1.0893639951014906</v>
      </c>
      <c r="D14" s="4">
        <f>'Ridership Phase 3N'!D14*'Distances Phase 3N'!D13*Coefficient!$B$4</f>
        <v>2.5369299293605092</v>
      </c>
      <c r="E14" s="4">
        <f>'Ridership Phase 3N'!E14*'Distances Phase 3N'!E13*Coefficient!$B$4</f>
        <v>1.3055469219964235</v>
      </c>
      <c r="F14" s="4">
        <f>'Ridership Phase 3N'!F14*'Distances Phase 3N'!F13*Coefficient!$B$4</f>
        <v>19.26298702173845</v>
      </c>
      <c r="G14" s="4">
        <f>'Ridership Phase 3N'!G14*'Distances Phase 3N'!G13*Coefficient!$B$4</f>
        <v>2.5826853512179899</v>
      </c>
      <c r="H14" s="4"/>
      <c r="I14" s="4"/>
      <c r="J14" s="4"/>
    </row>
    <row r="15" spans="1:10" x14ac:dyDescent="0.25">
      <c r="A15" t="s">
        <v>80</v>
      </c>
      <c r="B15" s="4"/>
      <c r="C15" s="4"/>
      <c r="D15" s="4">
        <f>'Ridership Phase 3N'!D15*'Distances Phase 3N'!D14*Coefficient!$B$4</f>
        <v>0.65795798534470218</v>
      </c>
      <c r="E15" s="4">
        <f>'Ridership Phase 3N'!E15*'Distances Phase 3N'!E14*Coefficient!$B$4</f>
        <v>0.35998863949749149</v>
      </c>
      <c r="F15" s="4">
        <f>'Ridership Phase 3N'!F15*'Distances Phase 3N'!F14*Coefficient!$B$4</f>
        <v>5.1510228294190661</v>
      </c>
      <c r="G15" s="4">
        <f>'Ridership Phase 3N'!G15*'Distances Phase 3N'!G14*Coefficient!$B$4</f>
        <v>0.70137728504546082</v>
      </c>
      <c r="H15" s="4"/>
      <c r="I15" s="4"/>
      <c r="J15" s="4"/>
    </row>
    <row r="16" spans="1:10" x14ac:dyDescent="0.25">
      <c r="A16" t="s">
        <v>81</v>
      </c>
      <c r="B16" s="4"/>
      <c r="C16" s="4"/>
      <c r="D16" s="4">
        <f>'Ridership Phase 3N'!D16*'Distances Phase 3N'!D15*Coefficient!$B$4</f>
        <v>0.29737027771041386</v>
      </c>
      <c r="E16" s="4">
        <f>'Ridership Phase 3N'!E16*'Distances Phase 3N'!E15*Coefficient!$B$4</f>
        <v>0.18120692207446143</v>
      </c>
      <c r="F16" s="4">
        <f>'Ridership Phase 3N'!F16*'Distances Phase 3N'!F15*Coefficient!$B$4</f>
        <v>2.3615462343115112</v>
      </c>
      <c r="G16" s="4">
        <f>'Ridership Phase 3N'!G16*'Distances Phase 3N'!G15*Coefficient!$B$4</f>
        <v>0.32392371568468203</v>
      </c>
      <c r="H16" s="4"/>
      <c r="I16" s="4"/>
      <c r="J16" s="4"/>
    </row>
    <row r="17" spans="1:10" x14ac:dyDescent="0.25">
      <c r="A17" t="s">
        <v>70</v>
      </c>
      <c r="B17" s="4"/>
      <c r="C17" s="4"/>
      <c r="D17" s="4">
        <f>'Ridership Phase 3N'!D17*'Distances Phase 3N'!D16*Coefficient!$B$4</f>
        <v>0.4652269528555189</v>
      </c>
      <c r="E17" s="4">
        <f>'Ridership Phase 3N'!E17*'Distances Phase 3N'!E16*Coefficient!$B$4</f>
        <v>0.351068883226692</v>
      </c>
      <c r="F17" s="4">
        <f>'Ridership Phase 3N'!F17*'Distances Phase 3N'!F16*Coefficient!$B$4</f>
        <v>4.0981673775947254</v>
      </c>
      <c r="G17" s="4">
        <f>'Ridership Phase 3N'!G17*'Distances Phase 3N'!G16*Coefficient!$B$4</f>
        <v>0.62756729055489513</v>
      </c>
      <c r="H17" s="4"/>
      <c r="I17" s="4"/>
      <c r="J17" s="4"/>
    </row>
    <row r="18" spans="1:10" x14ac:dyDescent="0.25">
      <c r="A18" t="s">
        <v>90</v>
      </c>
      <c r="B18" s="4"/>
      <c r="C18" s="4"/>
      <c r="D18" s="4">
        <f>'Ridership Phase 3N'!D18*'Distances Phase 3N'!D17*Coefficient!$B$4</f>
        <v>0.11017147150697114</v>
      </c>
      <c r="E18" s="4">
        <f>'Ridership Phase 3N'!E18*'Distances Phase 3N'!E17*Coefficient!$B$4</f>
        <v>6.4977448940616411E-2</v>
      </c>
      <c r="F18" s="4">
        <f>'Ridership Phase 3N'!F18*'Distances Phase 3N'!F17*Coefficient!$B$4</f>
        <v>0.85734485861699194</v>
      </c>
      <c r="G18" s="4">
        <f>'Ridership Phase 3N'!G18*'Distances Phase 3N'!G17*Coefficient!$B$4</f>
        <v>0.11638131990975939</v>
      </c>
      <c r="H18" s="4"/>
      <c r="I18" s="4"/>
      <c r="J18" s="4"/>
    </row>
    <row r="19" spans="1:10" x14ac:dyDescent="0.25">
      <c r="A19" t="s">
        <v>5</v>
      </c>
      <c r="B19" s="4"/>
      <c r="C19" s="4">
        <f>'Ridership Phase 3W'!C19*'Distances Phase 3W'!C18*Coefficient!$B$4</f>
        <v>1.4527148968670367</v>
      </c>
      <c r="D19" s="4">
        <f>'Ridership Phase 3W'!D19*'Distances Phase 3W'!C18*Coefficient!$B$4</f>
        <v>2.5293235435525392</v>
      </c>
      <c r="E19" s="4">
        <f>'Ridership Phase 3W'!E19*'Distances Phase 3W'!E18*Coefficient!$B$4</f>
        <v>2.1168131354348247</v>
      </c>
      <c r="F19" s="4">
        <f>'Ridership Phase 3W'!F19*'Distances Phase 3W'!F18*Coefficient!$B$4</f>
        <v>20.34974587745085</v>
      </c>
      <c r="G19" s="4">
        <f>'Ridership Phase 3W'!G19*'Distances Phase 3W'!G18*Coefficient!$B$4</f>
        <v>2.4606689595153433</v>
      </c>
      <c r="H19" s="4">
        <f>'Ridership Phase 3W'!H19*'Distances Phase 3W'!H18*Coefficient!$B$4</f>
        <v>5.5025589027622059</v>
      </c>
      <c r="I19" s="4">
        <f>'Ridership Phase 3W'!I19*'Distances Phase 3W'!I18*Coefficient!$B$4</f>
        <v>10.642710722965951</v>
      </c>
      <c r="J19" s="4">
        <f>'Ridership Phase 3W'!J19*'Distances Phase 3W'!J18*Coefficient!$B$4</f>
        <v>2.1238714542845232</v>
      </c>
    </row>
    <row r="20" spans="1:10" x14ac:dyDescent="0.25">
      <c r="A20" t="s">
        <v>4</v>
      </c>
      <c r="B20" s="4"/>
      <c r="C20" s="4"/>
      <c r="D20" s="4"/>
      <c r="E20" s="4">
        <f>'Ridership Phase 3W'!E20*'Distances Phase 3W'!E19*Coefficient!$B$4</f>
        <v>0.91855535967665602</v>
      </c>
      <c r="F20" s="4">
        <f>'Ridership Phase 3W'!F20*'Distances Phase 3W'!F19*Coefficient!$B$4</f>
        <v>14.464426704143412</v>
      </c>
      <c r="G20" s="4">
        <f>'Ridership Phase 3W'!G20*'Distances Phase 3W'!G19*Coefficient!$B$4</f>
        <v>1.9507885757928778</v>
      </c>
      <c r="H20" s="4">
        <f>'Ridership Phase 3W'!H20*'Distances Phase 3W'!H19*Coefficient!$B$4</f>
        <v>9.7943930696078514</v>
      </c>
      <c r="I20" s="4">
        <f>'Ridership Phase 3W'!I20*'Distances Phase 3W'!I19*Coefficient!$B$4</f>
        <v>18.002252191658574</v>
      </c>
      <c r="J20" s="4">
        <f>'Ridership Phase 3W'!J20*'Distances Phase 3W'!J19*Coefficient!$B$4</f>
        <v>3.4249472492248327</v>
      </c>
    </row>
    <row r="21" spans="1:10" x14ac:dyDescent="0.25">
      <c r="A21" t="s">
        <v>3</v>
      </c>
      <c r="B21" s="4"/>
      <c r="C21" s="4"/>
      <c r="D21" s="4"/>
      <c r="E21" s="4"/>
      <c r="F21" s="4">
        <f>'Ridership Phase 3W'!F21*'Distances Phase 3W'!F20*Coefficient!$B$4</f>
        <v>8.2095394807300437</v>
      </c>
      <c r="G21" s="4">
        <f>'Ridership Phase 3W'!G21*'Distances Phase 3W'!G20*Coefficient!$B$4</f>
        <v>1.2866903372250895</v>
      </c>
      <c r="H21" s="4">
        <f>'Ridership Phase 3W'!H21*'Distances Phase 3W'!H20*Coefficient!$B$4</f>
        <v>11.272792023510922</v>
      </c>
      <c r="I21" s="4">
        <f>'Ridership Phase 3W'!I21*'Distances Phase 3W'!I20*Coefficient!$B$4</f>
        <v>20.045060950995715</v>
      </c>
      <c r="J21" s="4">
        <f>'Ridership Phase 3W'!J21*'Distances Phase 3W'!J20*Coefficient!$B$4</f>
        <v>3.7059685619817415</v>
      </c>
    </row>
    <row r="22" spans="1:10" x14ac:dyDescent="0.25">
      <c r="A22" t="s">
        <v>38</v>
      </c>
      <c r="B22" s="4"/>
      <c r="C22" s="4"/>
      <c r="D22" s="4"/>
      <c r="E22" s="4"/>
      <c r="F22" s="4"/>
      <c r="G22" s="4">
        <f>'Ridership Phase 3W'!G22*'Distances Phase 3W'!G22*Coefficient!$B$4</f>
        <v>0.7226638695864398</v>
      </c>
      <c r="H22" s="4">
        <f>'Ridership Phase 3W'!H22*'Distances Phase 3W'!H22*Coefficient!$B$4</f>
        <v>16.997299955468527</v>
      </c>
      <c r="I22" s="4">
        <f>'Ridership Phase 3W'!I22*'Distances Phase 3W'!I22*Coefficient!$B$4</f>
        <v>31.462309724453121</v>
      </c>
      <c r="J22" s="4">
        <f>'Ridership Phase 3W'!J22*'Distances Phase 3W'!J22*Coefficient!$B$4</f>
        <v>6.0012656638331379</v>
      </c>
    </row>
    <row r="23" spans="1:10" x14ac:dyDescent="0.25">
      <c r="A23" t="s">
        <v>0</v>
      </c>
      <c r="B23" s="4"/>
      <c r="C23" s="4"/>
      <c r="D23" s="4"/>
      <c r="E23" s="4"/>
      <c r="F23" s="4"/>
      <c r="G23" s="4">
        <f>'Ridership Phase 3W'!G23*'Distances Phase 3W'!G22*Coefficient!$B$4</f>
        <v>2.8263535940903961</v>
      </c>
      <c r="H23" s="4">
        <f>'Ridership Phase 3W'!H23*'Distances Phase 3W'!H22*Coefficient!$B$4</f>
        <v>69.162460262833221</v>
      </c>
      <c r="I23" s="4">
        <f>'Ridership Phase 3W'!I23*'Distances Phase 3W'!I22*Coefficient!$B$4</f>
        <v>160.38339259475472</v>
      </c>
      <c r="J23" s="4">
        <f>'Ridership Phase 3W'!J23*'Distances Phase 3W'!J22*Coefficient!$B$4</f>
        <v>28.281421993211719</v>
      </c>
    </row>
    <row r="24" spans="1:10" x14ac:dyDescent="0.25">
      <c r="A24" t="s">
        <v>1</v>
      </c>
      <c r="B24" s="4"/>
      <c r="C24" s="4"/>
      <c r="D24" s="4"/>
      <c r="E24" s="4"/>
      <c r="F24" s="4"/>
      <c r="G24" s="4"/>
      <c r="H24" s="4">
        <f>'Ridership Phase 3W'!H24*'Distances Phase 3W'!H23*Coefficient!$B$4</f>
        <v>6.4792631080024963</v>
      </c>
      <c r="I24" s="4">
        <f>'Ridership Phase 3W'!I24*'Distances Phase 3W'!I23*Coefficient!$B$4</f>
        <v>18.57636780735875</v>
      </c>
      <c r="J24" s="4">
        <f>'Ridership Phase 3W'!J24*'Distances Phase 3W'!J23*Coefficient!$B$4</f>
        <v>3.1858071814267852</v>
      </c>
    </row>
    <row r="25" spans="1:10" x14ac:dyDescent="0.25">
      <c r="A25" t="s">
        <v>6</v>
      </c>
      <c r="B25" s="4"/>
      <c r="C25" s="4"/>
      <c r="D25" s="4"/>
      <c r="E25" s="4"/>
      <c r="F25" s="4"/>
      <c r="G25" s="4"/>
      <c r="H25" s="4"/>
      <c r="I25" s="4">
        <f>'Ridership Phase 3W'!I25*'Distances Phase 3W'!I24*Coefficient!$B$4</f>
        <v>20.589535312603001</v>
      </c>
      <c r="J25" s="4">
        <f>'Ridership Phase 3W'!J25*'Distances Phase 3W'!J24*Coefficient!$B$4</f>
        <v>13.386848725572479</v>
      </c>
    </row>
    <row r="26" spans="1:10" x14ac:dyDescent="0.25">
      <c r="A26" t="s">
        <v>7</v>
      </c>
      <c r="B26" s="4"/>
      <c r="C26" s="4"/>
      <c r="D26" s="4"/>
      <c r="E26" s="4"/>
      <c r="F26" s="4"/>
      <c r="G26" s="4"/>
      <c r="H26" s="4"/>
      <c r="I26" s="4"/>
      <c r="J26" s="4">
        <f>'Ridership Phase 3W'!J26*'Distances Phase 3W'!J25*Coefficient!$B$4</f>
        <v>19.211940940926269</v>
      </c>
    </row>
    <row r="28" spans="1:10" x14ac:dyDescent="0.25">
      <c r="A28" t="s">
        <v>26</v>
      </c>
      <c r="B28" s="6">
        <f>SUM(B3:J26)</f>
        <v>758.53196945041577</v>
      </c>
      <c r="E28" s="6"/>
    </row>
    <row r="30" spans="1:10" x14ac:dyDescent="0.25">
      <c r="A30">
        <v>2041</v>
      </c>
    </row>
    <row r="31" spans="1:10" x14ac:dyDescent="0.25">
      <c r="A31" t="s">
        <v>46</v>
      </c>
      <c r="B31" t="s">
        <v>5</v>
      </c>
      <c r="C31" t="s">
        <v>4</v>
      </c>
      <c r="D31" t="s">
        <v>38</v>
      </c>
      <c r="E31" t="s">
        <v>3</v>
      </c>
      <c r="F31" t="s">
        <v>0</v>
      </c>
      <c r="G31" t="s">
        <v>1</v>
      </c>
      <c r="H31" t="s">
        <v>6</v>
      </c>
      <c r="I31" t="s">
        <v>7</v>
      </c>
      <c r="J31" t="s">
        <v>8</v>
      </c>
    </row>
    <row r="32" spans="1:10" x14ac:dyDescent="0.25">
      <c r="A32" t="s">
        <v>11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t="s">
        <v>10</v>
      </c>
      <c r="B33" s="4"/>
      <c r="C33" s="4">
        <f>'Ridership Phase 3N'!C32*'Distances Phase 3N'!C3*Coefficient!$B$4</f>
        <v>3.2338382429144596</v>
      </c>
      <c r="D33" s="4">
        <f>'Ridership Phase 3N'!D32*'Distances Phase 3N'!D3*Coefficient!$B$4</f>
        <v>17.201076453115903</v>
      </c>
      <c r="E33" s="4">
        <f>'Ridership Phase 3N'!E32*'Distances Phase 3N'!E3*Coefficient!$B$4</f>
        <v>5.2841673975488312</v>
      </c>
      <c r="F33" s="4">
        <f>'Ridership Phase 3N'!F32*'Distances Phase 3N'!F3*Coefficient!$B$4</f>
        <v>62.261223628920042</v>
      </c>
      <c r="G33" s="4">
        <f>'Ridership Phase 3N'!G32*'Distances Phase 3N'!G3*Coefficient!$B$4</f>
        <v>6.443901412985829</v>
      </c>
      <c r="H33" s="4">
        <f>'Ridership Phase 3N'!H32*'Distances Phase 3N'!H3*Coefficient!$B$4</f>
        <v>14.296857397416307</v>
      </c>
      <c r="I33" s="4">
        <f>'Ridership Phase 3N'!I32*'Distances Phase 3N'!I3*Coefficient!$B$4</f>
        <v>14.317975655468533</v>
      </c>
      <c r="J33" s="4">
        <f>'Ridership Phase 3N'!J32*'Distances Phase 3N'!J3*Coefficient!$B$4</f>
        <v>2.6186893695005327</v>
      </c>
    </row>
    <row r="34" spans="1:10" x14ac:dyDescent="0.25">
      <c r="A34" t="s">
        <v>40</v>
      </c>
      <c r="B34" s="4"/>
      <c r="C34" s="4"/>
      <c r="D34" s="4">
        <f>'Ridership Phase 3N'!D33*'Distances Phase 3N'!D4*Coefficient!$B$4</f>
        <v>1.2739343409169501</v>
      </c>
      <c r="E34" s="4"/>
      <c r="F34" s="4">
        <f>'Ridership Phase 3N'!F33*'Distances Phase 3N'!F4*Coefficient!$B$4</f>
        <v>13.94714382173283</v>
      </c>
      <c r="G34" s="4">
        <f>'Ridership Phase 3N'!G33*'Distances Phase 3N'!G4*Coefficient!$B$4</f>
        <v>1.6628852440718747</v>
      </c>
      <c r="H34" s="4">
        <f>'Ridership Phase 3N'!H33*'Distances Phase 3N'!H4*Coefficient!$B$4</f>
        <v>4.5154257991743663</v>
      </c>
      <c r="I34" s="4"/>
      <c r="J34" s="4"/>
    </row>
    <row r="35" spans="1:10" x14ac:dyDescent="0.25">
      <c r="A35" t="s">
        <v>41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t="s">
        <v>68</v>
      </c>
      <c r="B36" s="4"/>
      <c r="C36" s="4"/>
      <c r="D36" s="4">
        <f>'Ridership Phase 3N'!D35*'Distances Phase 3N'!D6*Coefficient!$B$4</f>
        <v>0.81556149353042617</v>
      </c>
      <c r="E36" s="4"/>
      <c r="F36" s="4">
        <f>'Ridership Phase 3N'!F35*'Distances Phase 3N'!F6*Coefficient!$B$4</f>
        <v>6.8361416496734755</v>
      </c>
      <c r="G36" s="4">
        <f>'Ridership Phase 3N'!G35*'Distances Phase 3N'!G6*Coefficient!$B$4</f>
        <v>0.76493905855632127</v>
      </c>
      <c r="H36" s="4">
        <f>'Ridership Phase 3N'!H35*'Distances Phase 3N'!H6*Coefficient!$B$4</f>
        <v>2.6854917037267647</v>
      </c>
      <c r="I36" s="4"/>
      <c r="J36" s="4"/>
    </row>
    <row r="37" spans="1:10" x14ac:dyDescent="0.25">
      <c r="A37" t="s">
        <v>69</v>
      </c>
      <c r="B37" s="4"/>
      <c r="C37" s="4"/>
      <c r="D37" s="4">
        <f>'Ridership Phase 3N'!D36*'Distances Phase 3N'!D7*Coefficient!$B$4</f>
        <v>0.8732828967776457</v>
      </c>
      <c r="E37" s="4"/>
      <c r="F37" s="4">
        <f>'Ridership Phase 3N'!F36*'Distances Phase 3N'!F7*Coefficient!$B$4</f>
        <v>7.2567307135193175</v>
      </c>
      <c r="G37" s="4">
        <f>'Ridership Phase 3N'!G36*'Distances Phase 3N'!G7*Coefficient!$B$4</f>
        <v>0.80864119084440311</v>
      </c>
      <c r="H37" s="4">
        <f>'Ridership Phase 3N'!H36*'Distances Phase 3N'!H7*Coefficient!$B$4</f>
        <v>2.7854084882184562</v>
      </c>
      <c r="I37" s="4"/>
      <c r="J37" s="4"/>
    </row>
    <row r="38" spans="1:10" x14ac:dyDescent="0.25">
      <c r="A38" t="s">
        <v>71</v>
      </c>
      <c r="B38" s="4"/>
      <c r="C38" s="4">
        <f>'Ridership Phase 3N'!C37*'Distances Phase 3N'!C8*Coefficient!$B$4</f>
        <v>0.39897381659278569</v>
      </c>
      <c r="D38" s="4">
        <f>'Ridership Phase 3N'!D37*'Distances Phase 3N'!D8*Coefficient!$B$4</f>
        <v>0.59315523334587561</v>
      </c>
      <c r="E38" s="4">
        <f>'Ridership Phase 3N'!E37*'Distances Phase 3N'!E8*Coefficient!$B$4</f>
        <v>0.45133792396723027</v>
      </c>
      <c r="F38" s="4">
        <f>'Ridership Phase 3N'!F37*'Distances Phase 3N'!F8*Coefficient!$B$4</f>
        <v>6.4939150177346106</v>
      </c>
      <c r="G38" s="4">
        <f>'Ridership Phase 3N'!G37*'Distances Phase 3N'!G8*Coefficient!$B$4</f>
        <v>0.83743340299699487</v>
      </c>
      <c r="H38" s="4">
        <f>'Ridership Phase 3N'!H37*'Distances Phase 3N'!H8*Coefficient!$B$4</f>
        <v>4.6780364512843455</v>
      </c>
      <c r="I38" s="4"/>
      <c r="J38" s="4"/>
    </row>
    <row r="39" spans="1:10" x14ac:dyDescent="0.25">
      <c r="A39" t="s">
        <v>72</v>
      </c>
      <c r="B39" s="4"/>
      <c r="C39" s="4">
        <f>'Ridership Phase 3N'!C38*'Distances Phase 3N'!C9*Coefficient!$B$4</f>
        <v>0.39897381659278569</v>
      </c>
      <c r="D39" s="4">
        <f>'Ridership Phase 3N'!D38*'Distances Phase 3N'!D9*Coefficient!$B$4</f>
        <v>0.59315523334587561</v>
      </c>
      <c r="E39" s="4">
        <f>'Ridership Phase 3N'!E38*'Distances Phase 3N'!E9*Coefficient!$B$4</f>
        <v>0.45133792396723027</v>
      </c>
      <c r="F39" s="4">
        <f>'Ridership Phase 3N'!F38*'Distances Phase 3N'!F9*Coefficient!$B$4</f>
        <v>6.4939150177346106</v>
      </c>
      <c r="G39" s="4">
        <f>'Ridership Phase 3N'!G38*'Distances Phase 3N'!G9*Coefficient!$B$4</f>
        <v>0.83743340299699487</v>
      </c>
      <c r="H39" s="4">
        <f>'Ridership Phase 3N'!H38*'Distances Phase 3N'!H9*Coefficient!$B$4</f>
        <v>3.4369247397191107</v>
      </c>
      <c r="I39" s="4"/>
      <c r="J39" s="4"/>
    </row>
    <row r="40" spans="1:10" x14ac:dyDescent="0.25">
      <c r="A40" t="s">
        <v>73</v>
      </c>
      <c r="B40" s="4"/>
      <c r="C40" s="4">
        <f>'Ridership Phase 3N'!C39*'Distances Phase 3N'!C10*Coefficient!$B$4</f>
        <v>0.25466889896973693</v>
      </c>
      <c r="D40" s="4">
        <f>'Ridership Phase 3N'!D39*'Distances Phase 3N'!D10*Coefficient!$B$4</f>
        <v>0.54520819370423512</v>
      </c>
      <c r="E40" s="4">
        <f>'Ridership Phase 3N'!E39*'Distances Phase 3N'!E10*Coefficient!$B$4</f>
        <v>0.39874522093263831</v>
      </c>
      <c r="F40" s="4">
        <f>'Ridership Phase 3N'!F39*'Distances Phase 3N'!F10*Coefficient!$B$4</f>
        <v>5.9689866629287014</v>
      </c>
      <c r="G40" s="4">
        <f>'Ridership Phase 3N'!G39*'Distances Phase 3N'!G10*Coefficient!$B$4</f>
        <v>0.76974041081982325</v>
      </c>
      <c r="H40" s="4"/>
      <c r="I40" s="4"/>
      <c r="J40" s="4"/>
    </row>
    <row r="41" spans="1:10" x14ac:dyDescent="0.25">
      <c r="A41" t="s">
        <v>75</v>
      </c>
      <c r="B41" s="4"/>
      <c r="C41" s="4">
        <f>'Ridership Phase 3N'!C40*'Distances Phase 3N'!C11*Coefficient!$B$4</f>
        <v>0.13634860741984728</v>
      </c>
      <c r="D41" s="4">
        <f>'Ridership Phase 3N'!D40*'Distances Phase 3N'!D11*Coefficient!$B$4</f>
        <v>0.46742814960925511</v>
      </c>
      <c r="E41" s="4">
        <f>'Ridership Phase 3N'!E40*'Distances Phase 3N'!E11*Coefficient!$B$4</f>
        <v>0.19462118965017686</v>
      </c>
      <c r="F41" s="4">
        <f>'Ridership Phase 3N'!F40*'Distances Phase 3N'!F11*Coefficient!$B$4</f>
        <v>3.8201514642743692</v>
      </c>
      <c r="G41" s="4">
        <f>'Ridership Phase 3N'!G40*'Distances Phase 3N'!G11*Coefficient!$B$4</f>
        <v>0.42235413488056139</v>
      </c>
      <c r="H41" s="4"/>
      <c r="I41" s="4"/>
      <c r="J41" s="4"/>
    </row>
    <row r="42" spans="1:10" x14ac:dyDescent="0.25">
      <c r="A42" t="s">
        <v>76</v>
      </c>
      <c r="B42" s="4"/>
      <c r="C42" s="4">
        <f>'Ridership Phase 3N'!C41*'Distances Phase 3N'!C12*Coefficient!$B$4</f>
        <v>0.47377488350543701</v>
      </c>
      <c r="D42" s="4">
        <f>'Ridership Phase 3N'!D41*'Distances Phase 3N'!D12*Coefficient!$B$4</f>
        <v>1.2837000016109303</v>
      </c>
      <c r="E42" s="4">
        <f>'Ridership Phase 3N'!E41*'Distances Phase 3N'!E12*Coefficient!$B$4</f>
        <v>0.63783241562604243</v>
      </c>
      <c r="F42" s="4">
        <f>'Ridership Phase 3N'!F41*'Distances Phase 3N'!F12*Coefficient!$B$4</f>
        <v>11.484053546427385</v>
      </c>
      <c r="G42" s="4">
        <f>'Ridership Phase 3N'!G41*'Distances Phase 3N'!G12*Coefficient!$B$4</f>
        <v>1.3267900539716535</v>
      </c>
      <c r="H42" s="4"/>
      <c r="I42" s="4"/>
      <c r="J42" s="4"/>
    </row>
    <row r="43" spans="1:10" x14ac:dyDescent="0.25">
      <c r="A43" t="s">
        <v>78</v>
      </c>
      <c r="B43" s="4"/>
      <c r="C43" s="4">
        <f>'Ridership Phase 3N'!C42*'Distances Phase 3N'!C13*Coefficient!$B$4</f>
        <v>1.1052527794886142</v>
      </c>
      <c r="D43" s="4">
        <f>'Ridership Phase 3N'!D42*'Distances Phase 3N'!D13*Coefficient!$B$4</f>
        <v>3.076982888157314</v>
      </c>
      <c r="E43" s="4">
        <f>'Ridership Phase 3N'!E42*'Distances Phase 3N'!E13*Coefficient!$B$4</f>
        <v>1.498437093833817</v>
      </c>
      <c r="F43" s="4">
        <f>'Ridership Phase 3N'!F42*'Distances Phase 3N'!F13*Coefficient!$B$4</f>
        <v>27.250663575945588</v>
      </c>
      <c r="G43" s="4">
        <f>'Ridership Phase 3N'!G42*'Distances Phase 3N'!G13*Coefficient!$B$4</f>
        <v>3.1324785675872064</v>
      </c>
      <c r="H43" s="4"/>
      <c r="I43" s="4"/>
      <c r="J43" s="4"/>
    </row>
    <row r="44" spans="1:10" x14ac:dyDescent="0.25">
      <c r="A44" t="s">
        <v>80</v>
      </c>
      <c r="B44" s="4"/>
      <c r="C44" s="4"/>
      <c r="D44" s="4">
        <f>'Ridership Phase 3N'!D43*'Distances Phase 3N'!D14*Coefficient!$B$4</f>
        <v>0.80711374642035882</v>
      </c>
      <c r="E44" s="4">
        <f>'Ridership Phase 3N'!E43*'Distances Phase 3N'!E14*Coefficient!$B$4</f>
        <v>0.41788309134889162</v>
      </c>
      <c r="F44" s="4">
        <f>'Ridership Phase 3N'!F43*'Distances Phase 3N'!F14*Coefficient!$B$4</f>
        <v>7.3699899867755221</v>
      </c>
      <c r="G44" s="4">
        <f>'Ridership Phase 3N'!G43*'Distances Phase 3N'!G14*Coefficient!$B$4</f>
        <v>0.86037598265580484</v>
      </c>
      <c r="H44" s="4"/>
      <c r="I44" s="4"/>
      <c r="J44" s="4"/>
    </row>
    <row r="45" spans="1:10" x14ac:dyDescent="0.25">
      <c r="A45" t="s">
        <v>81</v>
      </c>
      <c r="B45" s="4"/>
      <c r="C45" s="4"/>
      <c r="D45" s="4">
        <f>'Ridership Phase 3N'!D44*'Distances Phase 3N'!D15*Coefficient!$B$4</f>
        <v>0.3756610322542977</v>
      </c>
      <c r="E45" s="4">
        <f>'Ridership Phase 3N'!E44*'Distances Phase 3N'!E15*Coefficient!$B$4</f>
        <v>0.21662211613146207</v>
      </c>
      <c r="F45" s="4">
        <f>'Ridership Phase 3N'!F44*'Distances Phase 3N'!F15*Coefficient!$B$4</f>
        <v>3.4796205166036609</v>
      </c>
      <c r="G45" s="4">
        <f>'Ridership Phase 3N'!G44*'Distances Phase 3N'!G15*Coefficient!$B$4</f>
        <v>0.40920537971268101</v>
      </c>
      <c r="H45" s="4"/>
      <c r="I45" s="4"/>
      <c r="J45" s="4"/>
    </row>
    <row r="46" spans="1:10" x14ac:dyDescent="0.25">
      <c r="A46" t="s">
        <v>70</v>
      </c>
      <c r="B46" s="4"/>
      <c r="C46" s="4"/>
      <c r="D46" s="4">
        <f>'Ridership Phase 3N'!D45*'Distances Phase 3N'!D16*Coefficient!$B$4</f>
        <v>0.63811620341204844</v>
      </c>
      <c r="E46" s="4">
        <f>'Ridership Phase 3N'!E45*'Distances Phase 3N'!E16*Coefficient!$B$4</f>
        <v>0.45567653381049905</v>
      </c>
      <c r="F46" s="4">
        <f>'Ridership Phase 3N'!F45*'Distances Phase 3N'!F16*Coefficient!$B$4</f>
        <v>6.5563395606793762</v>
      </c>
      <c r="G46" s="4">
        <f>'Ridership Phase 3N'!G45*'Distances Phase 3N'!G16*Coefficient!$B$4</f>
        <v>0.86078601933203758</v>
      </c>
      <c r="H46" s="4"/>
      <c r="I46" s="4"/>
      <c r="J46" s="4"/>
    </row>
    <row r="47" spans="1:10" x14ac:dyDescent="0.25">
      <c r="A47" t="s">
        <v>90</v>
      </c>
      <c r="B47" s="4"/>
      <c r="C47" s="4"/>
      <c r="D47" s="4">
        <f>'Ridership Phase 3N'!D46*'Distances Phase 3N'!D17*Coefficient!$B$4</f>
        <v>0.13170345272654838</v>
      </c>
      <c r="E47" s="4">
        <f>'Ridership Phase 3N'!E46*'Distances Phase 3N'!E17*Coefficient!$B$4</f>
        <v>7.3505542694489751E-2</v>
      </c>
      <c r="F47" s="4">
        <f>'Ridership Phase 3N'!F46*'Distances Phase 3N'!F17*Coefficient!$B$4</f>
        <v>1.1954196747186943</v>
      </c>
      <c r="G47" s="4">
        <f>'Ridership Phase 3N'!G46*'Distances Phase 3N'!G17*Coefficient!$B$4</f>
        <v>0.13912695778070291</v>
      </c>
      <c r="H47" s="4"/>
      <c r="I47" s="4"/>
      <c r="J47" s="4"/>
    </row>
    <row r="48" spans="1:10" x14ac:dyDescent="0.25">
      <c r="A48" t="s">
        <v>5</v>
      </c>
      <c r="B48" s="4"/>
      <c r="C48" s="4">
        <f>'Ridership Phase 3W'!C47*'Distances Phase 3W'!C18*Coefficient!$B$4</f>
        <v>1.7366344038762698</v>
      </c>
      <c r="D48" s="4">
        <f>'Ridership Phase 3W'!D47*'Distances Phase 3W'!C18*Coefficient!$B$4</f>
        <v>3.6146013575790725</v>
      </c>
      <c r="E48" s="4">
        <f>'Ridership Phase 3W'!E47*'Distances Phase 3W'!E18*Coefficient!$B$4</f>
        <v>2.8626480973250503</v>
      </c>
      <c r="F48" s="4">
        <f>'Ridership Phase 3W'!F47*'Distances Phase 3W'!F18*Coefficient!$B$4</f>
        <v>33.919688260116146</v>
      </c>
      <c r="G48" s="4">
        <f>'Ridership Phase 3W'!G47*'Distances Phase 3W'!G18*Coefficient!$B$4</f>
        <v>3.5164885822097638</v>
      </c>
      <c r="H48" s="4">
        <f>'Ridership Phase 3W'!H47*'Distances Phase 3W'!H18*Coefficient!$B$4</f>
        <v>7.9473544729786694</v>
      </c>
      <c r="I48" s="4">
        <f>'Ridership Phase 3W'!I47*'Distances Phase 3W'!I18*Coefficient!$B$4</f>
        <v>15.209266811917052</v>
      </c>
      <c r="J48" s="4">
        <f>'Ridership Phase 3W'!J47*'Distances Phase 3W'!J18*Coefficient!$B$4</f>
        <v>2.7898333156196218</v>
      </c>
    </row>
    <row r="49" spans="1:10" x14ac:dyDescent="0.25">
      <c r="A49" t="s">
        <v>4</v>
      </c>
      <c r="B49" s="4"/>
      <c r="C49" s="4"/>
      <c r="D49" s="4"/>
      <c r="E49" s="4">
        <f>'Ridership Phase 3W'!E48*'Distances Phase 3W'!E19*Coefficient!$B$4</f>
        <v>1.0391129739437919</v>
      </c>
      <c r="F49" s="4">
        <f>'Ridership Phase 3W'!F48*'Distances Phase 3W'!F19*Coefficient!$B$4</f>
        <v>20.168150647747783</v>
      </c>
      <c r="G49" s="4">
        <f>'Ridership Phase 3W'!G48*'Distances Phase 3W'!G19*Coefficient!$B$4</f>
        <v>2.3320519137767053</v>
      </c>
      <c r="H49" s="4">
        <f>'Ridership Phase 3W'!H48*'Distances Phase 3W'!H19*Coefficient!$B$4</f>
        <v>11.833341626470345</v>
      </c>
      <c r="I49" s="4">
        <f>'Ridership Phase 3W'!I48*'Distances Phase 3W'!I19*Coefficient!$B$4</f>
        <v>21.520623606679184</v>
      </c>
      <c r="J49" s="4">
        <f>'Ridership Phase 3W'!J48*'Distances Phase 3W'!J19*Coefficient!$B$4</f>
        <v>3.7633612157514298</v>
      </c>
    </row>
    <row r="50" spans="1:10" x14ac:dyDescent="0.25">
      <c r="A50" t="s">
        <v>3</v>
      </c>
      <c r="B50" s="4"/>
      <c r="C50" s="4"/>
      <c r="D50" s="4"/>
      <c r="E50" s="4"/>
      <c r="F50" s="4">
        <f>'Ridership Phase 3W'!F49*'Distances Phase 3W'!F20*Coefficient!$B$4</f>
        <v>12.949144555083192</v>
      </c>
      <c r="G50" s="4">
        <f>'Ridership Phase 3W'!G49*'Distances Phase 3W'!G20*Coefficient!$B$4</f>
        <v>1.7400410003348346</v>
      </c>
      <c r="H50" s="4">
        <f>'Ridership Phase 3W'!H49*'Distances Phase 3W'!H20*Coefficient!$B$4</f>
        <v>15.40702544506442</v>
      </c>
      <c r="I50" s="4">
        <f>'Ridership Phase 3W'!I49*'Distances Phase 3W'!I20*Coefficient!$B$4</f>
        <v>27.10770952408393</v>
      </c>
      <c r="J50" s="4">
        <f>'Ridership Phase 3W'!J49*'Distances Phase 3W'!J20*Coefficient!$B$4</f>
        <v>4.6066071836388316</v>
      </c>
    </row>
    <row r="51" spans="1:10" x14ac:dyDescent="0.25">
      <c r="A51" t="s">
        <v>38</v>
      </c>
      <c r="B51" s="4"/>
      <c r="C51" s="4"/>
      <c r="D51" s="4"/>
      <c r="E51" s="4"/>
      <c r="F51" s="4"/>
      <c r="G51" s="4">
        <f>'Ridership Phase 3W'!G50*'Distances Phase 3W'!G22*Coefficient!$B$4</f>
        <v>1.032743245022592</v>
      </c>
      <c r="H51" s="4">
        <f>'Ridership Phase 3W'!H50*'Distances Phase 3W'!H22*Coefficient!$B$4</f>
        <v>24.549227044501595</v>
      </c>
      <c r="I51" s="4">
        <f>'Ridership Phase 3W'!I50*'Distances Phase 3W'!I22*Coefficient!$B$4</f>
        <v>44.962103694670809</v>
      </c>
      <c r="J51" s="4">
        <f>'Ridership Phase 3W'!J50*'Distances Phase 3W'!J22*Coefficient!$B$4</f>
        <v>7.8830245828064571</v>
      </c>
    </row>
    <row r="52" spans="1:10" x14ac:dyDescent="0.25">
      <c r="A52" t="s">
        <v>0</v>
      </c>
      <c r="B52" s="4"/>
      <c r="C52" s="4"/>
      <c r="D52" s="4"/>
      <c r="E52" s="4"/>
      <c r="F52" s="4"/>
      <c r="G52" s="4">
        <f>'Ridership Phase 3W'!G51*'Distances Phase 3W'!G22*Coefficient!$B$4</f>
        <v>4.7110678139050206</v>
      </c>
      <c r="H52" s="4">
        <f>'Ridership Phase 3W'!H51*'Distances Phase 3W'!H22*Coefficient!$B$4</f>
        <v>116.51052488631298</v>
      </c>
      <c r="I52" s="4">
        <f>'Ridership Phase 3W'!I51*'Distances Phase 3W'!I22*Coefficient!$B$4</f>
        <v>267.33280659499684</v>
      </c>
      <c r="J52" s="4">
        <f>'Ridership Phase 3W'!J51*'Distances Phase 3W'!J22*Coefficient!$B$4</f>
        <v>43.329942386401591</v>
      </c>
    </row>
    <row r="53" spans="1:10" x14ac:dyDescent="0.25">
      <c r="A53" t="s">
        <v>1</v>
      </c>
      <c r="B53" s="4"/>
      <c r="C53" s="4"/>
      <c r="D53" s="4"/>
      <c r="E53" s="4"/>
      <c r="F53" s="4"/>
      <c r="G53" s="4"/>
      <c r="H53" s="4">
        <f>'Ridership Phase 3W'!H52*'Distances Phase 3W'!H23*Coefficient!$B$4</f>
        <v>9.3580098919323831</v>
      </c>
      <c r="I53" s="4">
        <f>'Ridership Phase 3W'!I52*'Distances Phase 3W'!I23*Coefficient!$B$4</f>
        <v>26.547083889891578</v>
      </c>
      <c r="J53" s="4">
        <f>'Ridership Phase 3W'!J52*'Distances Phase 3W'!J23*Coefficient!$B$4</f>
        <v>4.1847499734294322</v>
      </c>
    </row>
    <row r="54" spans="1:10" x14ac:dyDescent="0.25">
      <c r="A54" t="s">
        <v>6</v>
      </c>
      <c r="B54" s="4"/>
      <c r="C54" s="4"/>
      <c r="D54" s="4"/>
      <c r="E54" s="4"/>
      <c r="F54" s="4"/>
      <c r="G54" s="4"/>
      <c r="H54" s="4"/>
      <c r="I54" s="4">
        <f>'Ridership Phase 3W'!I53*'Distances Phase 3W'!I24*Coefficient!$B$4</f>
        <v>29.737498217606838</v>
      </c>
      <c r="J54" s="4">
        <f>'Ridership Phase 3W'!J53*'Distances Phase 3W'!J24*Coefficient!$B$4</f>
        <v>17.771752127533066</v>
      </c>
    </row>
    <row r="55" spans="1:10" x14ac:dyDescent="0.25">
      <c r="A55" t="s">
        <v>7</v>
      </c>
      <c r="B55" s="4"/>
      <c r="C55" s="4"/>
      <c r="D55" s="4"/>
      <c r="E55" s="4"/>
      <c r="F55" s="4"/>
      <c r="G55" s="4"/>
      <c r="H55" s="4"/>
      <c r="I55" s="4"/>
      <c r="J55" s="4">
        <f>'Ridership Phase 3W'!J54*'Distances Phase 3W'!J25*Coefficient!$B$4</f>
        <v>25.236043728818089</v>
      </c>
    </row>
    <row r="57" spans="1:10" x14ac:dyDescent="0.25">
      <c r="A57" t="s">
        <v>26</v>
      </c>
      <c r="B57" s="6">
        <f>SUM(B32:J55)</f>
        <v>1100.9935355473174</v>
      </c>
      <c r="D57" t="s">
        <v>36</v>
      </c>
      <c r="E57" s="6">
        <f>B57-SUM('Phase 2 Summary'!B15:I23)</f>
        <v>169.08121444664459</v>
      </c>
    </row>
    <row r="59" spans="1:10" x14ac:dyDescent="0.25">
      <c r="A59" s="4" t="s">
        <v>30</v>
      </c>
      <c r="B59" s="4">
        <f>'Construction Costs'!C3</f>
        <v>1900</v>
      </c>
    </row>
    <row r="61" spans="1:10" x14ac:dyDescent="0.25">
      <c r="B61" s="4" t="s">
        <v>28</v>
      </c>
      <c r="C61" t="s">
        <v>29</v>
      </c>
    </row>
    <row r="62" spans="1:10" x14ac:dyDescent="0.25">
      <c r="A62">
        <v>2041</v>
      </c>
      <c r="B62" s="7">
        <f>E57/B59</f>
        <v>8.8990112866655049E-2</v>
      </c>
      <c r="C62" s="8">
        <f>1/B62</f>
        <v>11.237203412680511</v>
      </c>
    </row>
  </sheetData>
  <conditionalFormatting sqref="B3:J26 B32:J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B88-E55D-467B-90C3-6B2F4144F7D2}">
  <dimension ref="A1:J25"/>
  <sheetViews>
    <sheetView workbookViewId="0">
      <selection activeCell="D6" sqref="D6"/>
    </sheetView>
  </sheetViews>
  <sheetFormatPr defaultRowHeight="15" x14ac:dyDescent="0.25"/>
  <sheetData>
    <row r="1" spans="1:10" x14ac:dyDescent="0.25">
      <c r="B1" t="s">
        <v>5</v>
      </c>
      <c r="C1" t="s">
        <v>4</v>
      </c>
      <c r="D1" t="s">
        <v>38</v>
      </c>
      <c r="E1" t="s">
        <v>3</v>
      </c>
      <c r="F1" t="s">
        <v>0</v>
      </c>
      <c r="G1" t="s">
        <v>1</v>
      </c>
      <c r="H1" t="s">
        <v>6</v>
      </c>
      <c r="I1" t="s">
        <v>7</v>
      </c>
      <c r="J1" t="s">
        <v>8</v>
      </c>
    </row>
    <row r="2" spans="1:10" x14ac:dyDescent="0.25">
      <c r="A2" t="s">
        <v>11</v>
      </c>
    </row>
    <row r="3" spans="1:10" x14ac:dyDescent="0.25">
      <c r="A3" t="s">
        <v>10</v>
      </c>
      <c r="C3">
        <f>'All Distances'!K8</f>
        <v>180</v>
      </c>
      <c r="D3">
        <f>'All Distances'!K5</f>
        <v>460</v>
      </c>
      <c r="E3">
        <f>'All Distances'!K7</f>
        <v>260</v>
      </c>
      <c r="F3">
        <f>'All Distances'!K2</f>
        <v>365</v>
      </c>
      <c r="G3">
        <f>'All Distances'!K9</f>
        <v>415</v>
      </c>
      <c r="H3">
        <f>'All Distances'!K4</f>
        <v>790</v>
      </c>
      <c r="I3">
        <f>'All Distances'!K3</f>
        <v>965</v>
      </c>
      <c r="J3">
        <f>J18</f>
        <v>1230</v>
      </c>
    </row>
    <row r="4" spans="1:10" x14ac:dyDescent="0.25">
      <c r="A4" t="s">
        <v>40</v>
      </c>
      <c r="I4">
        <v>65</v>
      </c>
      <c r="J4">
        <v>320</v>
      </c>
    </row>
    <row r="5" spans="1:10" x14ac:dyDescent="0.25">
      <c r="A5" t="s">
        <v>41</v>
      </c>
    </row>
    <row r="6" spans="1:10" x14ac:dyDescent="0.25">
      <c r="A6" t="s">
        <v>68</v>
      </c>
      <c r="I6">
        <v>65</v>
      </c>
      <c r="J6">
        <v>320</v>
      </c>
    </row>
    <row r="7" spans="1:10" x14ac:dyDescent="0.25">
      <c r="A7" t="s">
        <v>69</v>
      </c>
      <c r="I7">
        <v>65</v>
      </c>
      <c r="J7">
        <v>320</v>
      </c>
    </row>
    <row r="8" spans="1:10" x14ac:dyDescent="0.25">
      <c r="A8" t="s">
        <v>71</v>
      </c>
      <c r="I8">
        <v>65</v>
      </c>
      <c r="J8">
        <v>320</v>
      </c>
    </row>
    <row r="9" spans="1:10" x14ac:dyDescent="0.25">
      <c r="A9" t="s">
        <v>72</v>
      </c>
      <c r="I9">
        <v>65</v>
      </c>
      <c r="J9">
        <v>320</v>
      </c>
    </row>
    <row r="10" spans="1:10" x14ac:dyDescent="0.25">
      <c r="A10" t="s">
        <v>73</v>
      </c>
      <c r="I10">
        <v>65</v>
      </c>
      <c r="J10">
        <v>320</v>
      </c>
    </row>
    <row r="11" spans="1:10" x14ac:dyDescent="0.25">
      <c r="A11" t="s">
        <v>75</v>
      </c>
      <c r="H11">
        <v>240</v>
      </c>
      <c r="I11">
        <v>65</v>
      </c>
      <c r="J11">
        <v>320</v>
      </c>
    </row>
    <row r="12" spans="1:10" x14ac:dyDescent="0.25">
      <c r="A12" t="s">
        <v>76</v>
      </c>
      <c r="H12">
        <v>240</v>
      </c>
      <c r="I12">
        <v>65</v>
      </c>
      <c r="J12">
        <v>320</v>
      </c>
    </row>
    <row r="13" spans="1:10" x14ac:dyDescent="0.25">
      <c r="A13" t="s">
        <v>78</v>
      </c>
      <c r="H13">
        <v>240</v>
      </c>
      <c r="I13">
        <v>65</v>
      </c>
      <c r="J13">
        <v>320</v>
      </c>
    </row>
    <row r="14" spans="1:10" x14ac:dyDescent="0.25">
      <c r="A14" t="s">
        <v>80</v>
      </c>
      <c r="H14">
        <v>240</v>
      </c>
      <c r="I14">
        <v>65</v>
      </c>
      <c r="J14">
        <v>320</v>
      </c>
    </row>
    <row r="15" spans="1:10" x14ac:dyDescent="0.25">
      <c r="A15" t="s">
        <v>81</v>
      </c>
      <c r="H15">
        <v>240</v>
      </c>
      <c r="I15">
        <v>65</v>
      </c>
      <c r="J15">
        <v>320</v>
      </c>
    </row>
    <row r="16" spans="1:10" x14ac:dyDescent="0.25">
      <c r="A16" t="s">
        <v>70</v>
      </c>
      <c r="H16">
        <v>240</v>
      </c>
      <c r="I16">
        <v>65</v>
      </c>
      <c r="J16">
        <v>320</v>
      </c>
    </row>
    <row r="17" spans="1:10" x14ac:dyDescent="0.25">
      <c r="A17" t="s">
        <v>90</v>
      </c>
      <c r="H17">
        <v>240</v>
      </c>
      <c r="I17">
        <v>65</v>
      </c>
      <c r="J17">
        <v>320</v>
      </c>
    </row>
    <row r="18" spans="1:10" x14ac:dyDescent="0.25">
      <c r="A18" t="s">
        <v>5</v>
      </c>
      <c r="C18">
        <f>'All Distances'!I8</f>
        <v>175</v>
      </c>
      <c r="D18">
        <f>'All Distances'!I5</f>
        <v>455</v>
      </c>
      <c r="E18">
        <f>'All Distances'!I7</f>
        <v>255</v>
      </c>
      <c r="F18">
        <f>'All Distances'!I2</f>
        <v>360</v>
      </c>
      <c r="G18">
        <f>'All Distances'!I9</f>
        <v>410</v>
      </c>
      <c r="H18">
        <f>'All Distances'!I4</f>
        <v>785</v>
      </c>
      <c r="I18">
        <f>'All Distances'!I3</f>
        <v>960</v>
      </c>
      <c r="J18">
        <f>'All Distances'!I6</f>
        <v>1230</v>
      </c>
    </row>
    <row r="19" spans="1:10" x14ac:dyDescent="0.25">
      <c r="A19" t="s">
        <v>4</v>
      </c>
      <c r="E19">
        <f>'All Distances'!G7</f>
        <v>80</v>
      </c>
      <c r="F19">
        <f>'All Distances'!G2</f>
        <v>185</v>
      </c>
      <c r="G19">
        <f>'All Distances'!H8</f>
        <v>235</v>
      </c>
      <c r="H19">
        <f>'All Distances'!G4</f>
        <v>610</v>
      </c>
      <c r="I19">
        <f>'All Distances'!G3</f>
        <v>785</v>
      </c>
      <c r="J19">
        <f>'All Distances'!G6</f>
        <v>1055</v>
      </c>
    </row>
    <row r="20" spans="1:10" x14ac:dyDescent="0.25">
      <c r="A20" t="s">
        <v>3</v>
      </c>
      <c r="F20">
        <f>'All Distances'!F2</f>
        <v>105</v>
      </c>
      <c r="G20">
        <f>'All Distances'!H7</f>
        <v>155</v>
      </c>
      <c r="H20">
        <f>'All Distances'!F4</f>
        <v>530</v>
      </c>
      <c r="I20">
        <f>'All Distances'!F3</f>
        <v>705</v>
      </c>
      <c r="J20">
        <f>'All Distances'!F6</f>
        <v>975</v>
      </c>
    </row>
    <row r="21" spans="1:10" x14ac:dyDescent="0.25">
      <c r="A21" t="s">
        <v>2</v>
      </c>
      <c r="G21">
        <f>G22</f>
        <v>50</v>
      </c>
      <c r="H21">
        <f>H22</f>
        <v>425</v>
      </c>
      <c r="I21">
        <f>I22</f>
        <v>600</v>
      </c>
      <c r="J21">
        <f>J22</f>
        <v>870</v>
      </c>
    </row>
    <row r="22" spans="1:10" x14ac:dyDescent="0.25">
      <c r="A22" t="s">
        <v>0</v>
      </c>
      <c r="G22">
        <f>'All Distances'!H2</f>
        <v>50</v>
      </c>
      <c r="H22">
        <f>'All Distances'!C2</f>
        <v>425</v>
      </c>
      <c r="I22">
        <f>'All Distances'!B2</f>
        <v>600</v>
      </c>
      <c r="J22">
        <f>'All Distances'!E2</f>
        <v>870</v>
      </c>
    </row>
    <row r="23" spans="1:10" x14ac:dyDescent="0.25">
      <c r="A23" t="s">
        <v>1</v>
      </c>
      <c r="H23">
        <f>'All Distances'!H4</f>
        <v>375</v>
      </c>
      <c r="I23">
        <f>'All Distances'!H3</f>
        <v>550</v>
      </c>
      <c r="J23">
        <f>'All Distances'!H6</f>
        <v>820</v>
      </c>
    </row>
    <row r="24" spans="1:10" x14ac:dyDescent="0.25">
      <c r="A24" t="s">
        <v>6</v>
      </c>
      <c r="I24">
        <f>'All Distances'!C3</f>
        <v>175</v>
      </c>
      <c r="J24">
        <f>'All Distances'!E4</f>
        <v>445</v>
      </c>
    </row>
    <row r="25" spans="1:10" x14ac:dyDescent="0.25">
      <c r="A25" t="s">
        <v>7</v>
      </c>
      <c r="J25">
        <f>'All Distances'!E3</f>
        <v>270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CAE1-F1C5-4AF8-B83C-02A2AF3BCF9F}">
  <dimension ref="A1:P54"/>
  <sheetViews>
    <sheetView topLeftCell="A23" workbookViewId="0">
      <selection activeCell="C32" sqref="C32:J32"/>
    </sheetView>
  </sheetViews>
  <sheetFormatPr defaultRowHeight="15" x14ac:dyDescent="0.25"/>
  <sheetData>
    <row r="1" spans="1:16" x14ac:dyDescent="0.25">
      <c r="A1">
        <v>2021</v>
      </c>
    </row>
    <row r="2" spans="1:16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6" x14ac:dyDescent="0.25">
      <c r="A3" t="s">
        <v>11</v>
      </c>
      <c r="B3" s="2"/>
      <c r="C3" s="2"/>
      <c r="D3" s="2"/>
      <c r="E3" s="2"/>
      <c r="F3" s="2"/>
      <c r="G3" s="2"/>
      <c r="H3" s="2"/>
      <c r="I3" s="2"/>
      <c r="J3" s="2"/>
      <c r="L3" s="2"/>
      <c r="P3" s="2"/>
    </row>
    <row r="4" spans="1:16" x14ac:dyDescent="0.25">
      <c r="A4" t="s">
        <v>10</v>
      </c>
      <c r="B4" s="2"/>
      <c r="C4" s="2">
        <f>'All Ridership 2021'!K8</f>
        <v>0.21515745727175073</v>
      </c>
      <c r="D4" s="2">
        <f>'All Ridership 2021'!K5</f>
        <v>0.37461089125056873</v>
      </c>
      <c r="E4" s="2">
        <f>'All Ridership 2021'!K7</f>
        <v>0.21515745727175073</v>
      </c>
      <c r="F4" s="2">
        <f>'All Ridership 2021'!K2</f>
        <v>1.4651110750525871</v>
      </c>
      <c r="G4" s="2">
        <f>'All Ridership 2021'!K9</f>
        <v>0.15555479251592577</v>
      </c>
      <c r="H4" s="2">
        <f>'All Ridership 2021'!K4</f>
        <v>0.17938835037256404</v>
      </c>
      <c r="I4" s="2">
        <f>'All Ridership 2021'!K3</f>
        <v>0.1486404158011907</v>
      </c>
      <c r="J4" s="2">
        <f>'All Ridership 2021'!K6</f>
        <v>2.3204246557538336E-2</v>
      </c>
      <c r="L4" s="2"/>
      <c r="P4" s="2"/>
    </row>
    <row r="5" spans="1:16" x14ac:dyDescent="0.25">
      <c r="A5" t="s">
        <v>40</v>
      </c>
      <c r="B5" s="2"/>
      <c r="C5" s="2"/>
      <c r="D5" s="2"/>
      <c r="E5" s="2"/>
      <c r="F5" s="2"/>
      <c r="G5" s="2"/>
      <c r="H5" s="2"/>
      <c r="I5" s="2">
        <f>'All Ridership 2021'!L3</f>
        <v>7.8107397938026471E-2</v>
      </c>
      <c r="J5" s="2">
        <f>'All Ridership 2021'!L6</f>
        <v>1.2851829461475532E-2</v>
      </c>
      <c r="L5" s="2"/>
      <c r="P5" s="2"/>
    </row>
    <row r="6" spans="1:16" x14ac:dyDescent="0.25">
      <c r="A6" t="s">
        <v>41</v>
      </c>
      <c r="B6" s="2"/>
      <c r="C6" s="2"/>
      <c r="D6" s="2"/>
      <c r="E6" s="2"/>
      <c r="F6" s="2"/>
      <c r="G6" s="2"/>
      <c r="H6" s="2"/>
      <c r="I6" s="2"/>
      <c r="J6" s="2"/>
      <c r="L6" s="2"/>
      <c r="P6" s="2"/>
    </row>
    <row r="7" spans="1:16" x14ac:dyDescent="0.25">
      <c r="A7" t="s">
        <v>68</v>
      </c>
      <c r="B7" s="2"/>
      <c r="C7" s="2"/>
      <c r="D7" s="2"/>
      <c r="E7" s="2"/>
      <c r="F7" s="2"/>
      <c r="G7" s="2"/>
      <c r="H7" s="2"/>
      <c r="I7" s="2">
        <f>'All Ridership 2021'!N3</f>
        <v>4.3254606972711745E-2</v>
      </c>
      <c r="J7" s="2">
        <f>'All Ridership 2021'!N6</f>
        <v>7.5928028903865389E-3</v>
      </c>
      <c r="L7" s="2"/>
      <c r="P7" s="2"/>
    </row>
    <row r="8" spans="1:16" x14ac:dyDescent="0.25">
      <c r="A8" t="s">
        <v>69</v>
      </c>
      <c r="B8" s="2"/>
      <c r="C8" s="2"/>
      <c r="D8" s="2"/>
      <c r="E8" s="2"/>
      <c r="F8" s="2"/>
      <c r="G8" s="2"/>
      <c r="H8" s="2"/>
      <c r="I8" s="2">
        <f>'All Ridership 2021'!O3</f>
        <v>6.2289663556324738E-2</v>
      </c>
      <c r="J8" s="2">
        <f>'All Ridership 2021'!O6</f>
        <v>1.316256301094674E-2</v>
      </c>
      <c r="L8" s="2"/>
      <c r="P8" s="2"/>
    </row>
    <row r="9" spans="1:16" x14ac:dyDescent="0.25">
      <c r="A9" t="s">
        <v>71</v>
      </c>
      <c r="B9" s="2"/>
      <c r="C9" s="2"/>
      <c r="D9" s="2"/>
      <c r="E9" s="2"/>
      <c r="F9" s="2"/>
      <c r="G9" s="2"/>
      <c r="H9" s="2"/>
      <c r="I9" s="2">
        <f>'All Ridership 2021'!P3</f>
        <v>7.1345004744160723E-2</v>
      </c>
      <c r="J9" s="2">
        <f>'All Ridership 2021'!P6</f>
        <v>1.0197315073096201E-2</v>
      </c>
      <c r="L9" s="2"/>
      <c r="P9" s="2"/>
    </row>
    <row r="10" spans="1:16" x14ac:dyDescent="0.25">
      <c r="A10" t="s">
        <v>72</v>
      </c>
      <c r="B10" s="2"/>
      <c r="C10" s="2"/>
      <c r="D10" s="2"/>
      <c r="E10" s="2"/>
      <c r="F10" s="2"/>
      <c r="G10" s="2"/>
      <c r="H10" s="2"/>
      <c r="I10" s="2">
        <f>'All Ridership 2021'!Q3</f>
        <v>8.6344229222999003E-2</v>
      </c>
      <c r="J10" s="2">
        <f>'All Ridership 2021'!Q6</f>
        <v>1.1497297705031381E-2</v>
      </c>
      <c r="L10" s="2"/>
      <c r="P10" s="2"/>
    </row>
    <row r="11" spans="1:16" x14ac:dyDescent="0.25">
      <c r="A11" t="s">
        <v>73</v>
      </c>
      <c r="B11" s="2"/>
      <c r="C11" s="2"/>
      <c r="D11" s="2"/>
      <c r="E11" s="2"/>
      <c r="F11" s="2"/>
      <c r="G11" s="2"/>
      <c r="H11" s="2"/>
      <c r="I11" s="2">
        <f>'All Ridership 2021'!R3</f>
        <v>0.1302205980894722</v>
      </c>
      <c r="J11" s="2">
        <f>'All Ridership 2021'!R6</f>
        <v>1.5331359708990966E-2</v>
      </c>
      <c r="L11" s="2"/>
      <c r="P11" s="2"/>
    </row>
    <row r="12" spans="1:16" x14ac:dyDescent="0.25">
      <c r="A12" t="s">
        <v>75</v>
      </c>
      <c r="B12" s="2"/>
      <c r="C12" s="2"/>
      <c r="D12" s="2"/>
      <c r="E12" s="2"/>
      <c r="F12" s="2"/>
      <c r="G12" s="2"/>
      <c r="H12" s="2">
        <f>'All Ridership 2021'!S4</f>
        <v>0.11411997775075565</v>
      </c>
      <c r="I12" s="2">
        <f>'All Ridership 2021'!S3</f>
        <v>0.15555479251592577</v>
      </c>
      <c r="J12" s="2">
        <f>'All Ridership 2021'!S6</f>
        <v>2.5867226982362015E-2</v>
      </c>
      <c r="L12" s="2"/>
      <c r="P12" s="2"/>
    </row>
    <row r="13" spans="1:16" x14ac:dyDescent="0.25">
      <c r="A13" t="s">
        <v>76</v>
      </c>
      <c r="B13" s="2"/>
      <c r="C13" s="2"/>
      <c r="D13" s="2"/>
      <c r="E13" s="2"/>
      <c r="F13" s="2"/>
      <c r="G13" s="2"/>
      <c r="H13" s="2">
        <f>'All Ridership 2021'!T4</f>
        <v>0.29310211594150176</v>
      </c>
      <c r="I13" s="2">
        <f>'All Ridership 2021'!T3</f>
        <v>0.60012499671673547</v>
      </c>
      <c r="J13" s="2">
        <f>'All Ridership 2021'!T6</f>
        <v>7.373028127886791E-2</v>
      </c>
      <c r="L13" s="2"/>
      <c r="P13" s="2"/>
    </row>
    <row r="14" spans="1:16" x14ac:dyDescent="0.25">
      <c r="A14" t="s">
        <v>78</v>
      </c>
      <c r="B14" s="2"/>
      <c r="C14" s="2"/>
      <c r="D14" s="2"/>
      <c r="E14" s="2"/>
      <c r="F14" s="2"/>
      <c r="G14" s="2"/>
      <c r="H14" s="2">
        <f>'All Ridership 2021'!U4</f>
        <v>0.72833138353551063</v>
      </c>
      <c r="I14" s="2">
        <f>'All Ridership 2021'!U3</f>
        <v>1.5382785264203169</v>
      </c>
      <c r="J14" s="2">
        <f>'All Ridership 2021'!U6</f>
        <v>0.18110730381504145</v>
      </c>
      <c r="L14" s="2"/>
      <c r="P14" s="2"/>
    </row>
    <row r="15" spans="1:16" x14ac:dyDescent="0.25">
      <c r="A15" t="s">
        <v>80</v>
      </c>
      <c r="B15" s="2"/>
      <c r="C15" s="2"/>
      <c r="D15" s="2"/>
      <c r="E15" s="2"/>
      <c r="F15" s="2"/>
      <c r="G15" s="2"/>
      <c r="H15" s="2">
        <f>'All Ridership 2021'!V4</f>
        <v>0.18775209914044627</v>
      </c>
      <c r="I15" s="2">
        <f>'All Ridership 2021'!V3</f>
        <v>0.36167211933310173</v>
      </c>
      <c r="J15" s="2">
        <f>'All Ridership 2021'!V6</f>
        <v>4.8349710946609545E-2</v>
      </c>
      <c r="L15" s="2"/>
      <c r="P15" s="2"/>
    </row>
    <row r="16" spans="1:16" x14ac:dyDescent="0.25">
      <c r="A16" t="s">
        <v>81</v>
      </c>
      <c r="B16" s="2"/>
      <c r="C16" s="2"/>
      <c r="D16" s="2"/>
      <c r="E16" s="2"/>
      <c r="F16" s="2"/>
      <c r="G16" s="2"/>
      <c r="H16" s="2">
        <f>'All Ridership 2021'!W4</f>
        <v>7.2800104557950371E-2</v>
      </c>
      <c r="I16" s="2">
        <f>'All Ridership 2021'!W3</f>
        <v>0.13036437282374161</v>
      </c>
      <c r="J16" s="2">
        <f>'All Ridership 2021'!W6</f>
        <v>1.9306732685984974E-2</v>
      </c>
      <c r="L16" s="2"/>
      <c r="P16" s="2"/>
    </row>
    <row r="17" spans="1:16" x14ac:dyDescent="0.25">
      <c r="A17" t="s">
        <v>70</v>
      </c>
      <c r="B17" s="2"/>
      <c r="C17" s="2"/>
      <c r="D17" s="2"/>
      <c r="E17" s="2"/>
      <c r="F17" s="2"/>
      <c r="G17" s="2"/>
      <c r="H17" s="2">
        <f>'All Ridership 2021'!X4</f>
        <v>0.12600913154218615</v>
      </c>
      <c r="I17" s="2">
        <f>'All Ridership 2021'!X3</f>
        <v>0.22069765646857925</v>
      </c>
      <c r="J17" s="2">
        <f>'All Ridership 2021'!X6</f>
        <v>3.3727900021677797E-2</v>
      </c>
      <c r="L17" s="2"/>
      <c r="P17" s="2"/>
    </row>
    <row r="18" spans="1:16" x14ac:dyDescent="0.25">
      <c r="A18" t="s">
        <v>90</v>
      </c>
      <c r="B18" s="2"/>
      <c r="C18" s="2"/>
      <c r="D18" s="2"/>
      <c r="E18" s="2"/>
      <c r="F18" s="2"/>
      <c r="G18" s="2"/>
      <c r="H18" s="2">
        <f>'All Ridership 2021'!Y4</f>
        <v>2.32026125865465E-2</v>
      </c>
      <c r="I18" s="2">
        <f>'All Ridership 2021'!Y3</f>
        <v>3.8014868703361397E-2</v>
      </c>
      <c r="J18" s="2">
        <f>'All Ridership 2021'!Y6</f>
        <v>7.5622497172660565E-3</v>
      </c>
      <c r="L18" s="2"/>
      <c r="P18" s="2"/>
    </row>
    <row r="19" spans="1:16" x14ac:dyDescent="0.25">
      <c r="A19" t="s">
        <v>5</v>
      </c>
      <c r="C19" s="2">
        <f>'All Ridership 2021'!I8</f>
        <v>9.5783399793430979E-2</v>
      </c>
      <c r="D19" s="2">
        <f>'All Ridership 2021'!I5</f>
        <v>0.1667685852891784</v>
      </c>
      <c r="E19" s="2">
        <f>'All Ridership 2021'!I7</f>
        <v>9.5783399793430979E-2</v>
      </c>
      <c r="F19" s="2">
        <f>'All Ridership 2021'!I2</f>
        <v>0.65223544479009132</v>
      </c>
      <c r="G19" s="2">
        <f>'All Ridership 2021'!I9</f>
        <v>6.9249595483546242E-2</v>
      </c>
      <c r="H19" s="2">
        <f>'All Ridership 2021'!I4</f>
        <v>8.0880336640306791E-2</v>
      </c>
      <c r="I19" s="2">
        <f>'All Ridership 2021'!I3</f>
        <v>0.1279171961894946</v>
      </c>
      <c r="J19" s="2">
        <f>'All Ridership 2021'!I6</f>
        <v>1.9923747225933614E-2</v>
      </c>
      <c r="L19" s="2"/>
      <c r="P19" s="2"/>
    </row>
    <row r="20" spans="1:16" x14ac:dyDescent="0.25">
      <c r="A20" t="s">
        <v>4</v>
      </c>
      <c r="E20" s="2">
        <f>'All Ridership 2021'!G7</f>
        <v>0.13248394610720998</v>
      </c>
      <c r="F20" s="2">
        <f>'All Ridership 2021'!G2</f>
        <v>0.90214719568462021</v>
      </c>
      <c r="G20" s="2">
        <f>'All Ridership 2021'!H8</f>
        <v>9.5783399793430979E-2</v>
      </c>
      <c r="H20" s="2">
        <f>'All Ridership 2021'!G4</f>
        <v>0.18526594709220398</v>
      </c>
      <c r="I20" s="2">
        <f>'All Ridership 2021'!G3</f>
        <v>0.26460929238106673</v>
      </c>
      <c r="J20" s="2">
        <f>'All Ridership 2021'!G6</f>
        <v>3.7458409579564339E-2</v>
      </c>
      <c r="L20" s="2"/>
      <c r="P20" s="2"/>
    </row>
    <row r="21" spans="1:16" x14ac:dyDescent="0.25">
      <c r="A21" t="s">
        <v>3</v>
      </c>
      <c r="F21" s="2">
        <f>'All Ridership 2021'!F2</f>
        <v>0.90214719568462021</v>
      </c>
      <c r="G21" s="2">
        <f>'All Ridership 2021'!H7</f>
        <v>9.5783399793430979E-2</v>
      </c>
      <c r="H21" s="2">
        <f>'All Ridership 2021'!F4</f>
        <v>0.24541637206482414</v>
      </c>
      <c r="I21" s="2">
        <f>'All Ridership 2021'!F3</f>
        <v>0.3280697373321721</v>
      </c>
      <c r="J21" s="2">
        <f>'All Ridership 2021'!F6</f>
        <v>4.3857616118127121E-2</v>
      </c>
      <c r="L21" s="2"/>
      <c r="P21" s="2"/>
    </row>
    <row r="22" spans="1:16" x14ac:dyDescent="0.25">
      <c r="A22" t="s">
        <v>38</v>
      </c>
      <c r="F22" s="2"/>
      <c r="G22" s="2">
        <f>'All Ridership 2021'!H5</f>
        <v>0.1667685852891784</v>
      </c>
      <c r="H22" s="2">
        <f>'All Ridership 2021'!D4</f>
        <v>0.46146515716204151</v>
      </c>
      <c r="I22" s="2">
        <f>'All Ridership 2021'!D3</f>
        <v>0.6050444177779446</v>
      </c>
      <c r="J22" s="2">
        <f>'All Ridership 2021'!E5</f>
        <v>7.9592382809458059E-2</v>
      </c>
      <c r="L22" s="2"/>
      <c r="P22" s="2"/>
    </row>
    <row r="23" spans="1:16" x14ac:dyDescent="0.25">
      <c r="A23" t="s">
        <v>0</v>
      </c>
      <c r="G23" s="2">
        <f>'Ridership Phase 1'!B5</f>
        <v>0.65223544479009132</v>
      </c>
      <c r="H23" s="2">
        <f>'Ridership Phase 1'!C5</f>
        <v>1.8777138532895898</v>
      </c>
      <c r="I23" s="2">
        <f>'Ridership Phase 1'!D5</f>
        <v>3.084296011437591</v>
      </c>
      <c r="J23" s="2">
        <f>'All Ridership 2021'!E2</f>
        <v>0.37508517232376282</v>
      </c>
      <c r="L23" s="2"/>
      <c r="O23" s="2"/>
      <c r="P23" s="2"/>
    </row>
    <row r="24" spans="1:16" x14ac:dyDescent="0.25">
      <c r="A24" t="s">
        <v>1</v>
      </c>
      <c r="H24" s="2">
        <f>'Ridership Phase 1'!C6</f>
        <v>0.19936194178469219</v>
      </c>
      <c r="I24" s="2">
        <f>'Ridership Phase 1'!D6</f>
        <v>0.38971400994458916</v>
      </c>
      <c r="J24" s="2">
        <f>'All Ridership 2021'!H6</f>
        <v>4.4828431258350634E-2</v>
      </c>
      <c r="L24" s="2"/>
      <c r="O24" s="2"/>
      <c r="P24" s="2"/>
    </row>
    <row r="25" spans="1:16" x14ac:dyDescent="0.25">
      <c r="A25" t="s">
        <v>6</v>
      </c>
      <c r="I25" s="2">
        <f>'Ridership Phase 1'!D7</f>
        <v>1.3575517788529452</v>
      </c>
      <c r="J25" s="2">
        <f>'All Ridership 2021'!E4</f>
        <v>0.34710930144094587</v>
      </c>
      <c r="L25" s="2"/>
      <c r="O25" s="2"/>
      <c r="P25" s="2"/>
    </row>
    <row r="26" spans="1:16" x14ac:dyDescent="0.25">
      <c r="A26" t="s">
        <v>7</v>
      </c>
      <c r="J26" s="2">
        <f>'All Ridership 2021'!E3</f>
        <v>0.82102311713360121</v>
      </c>
      <c r="L26" s="2"/>
      <c r="O26" s="2"/>
      <c r="P26" s="2"/>
    </row>
    <row r="29" spans="1:16" x14ac:dyDescent="0.25">
      <c r="A29">
        <v>2041</v>
      </c>
    </row>
    <row r="30" spans="1:16" x14ac:dyDescent="0.25">
      <c r="A30" t="s">
        <v>46</v>
      </c>
      <c r="B30" t="s">
        <v>5</v>
      </c>
      <c r="C30" t="s">
        <v>4</v>
      </c>
      <c r="D30" t="s">
        <v>38</v>
      </c>
      <c r="E30" t="s">
        <v>3</v>
      </c>
      <c r="F30" t="s">
        <v>0</v>
      </c>
      <c r="G30" t="s">
        <v>1</v>
      </c>
      <c r="H30" t="s">
        <v>6</v>
      </c>
      <c r="I30" t="s">
        <v>7</v>
      </c>
      <c r="J30" t="s">
        <v>8</v>
      </c>
    </row>
    <row r="31" spans="1:16" x14ac:dyDescent="0.25">
      <c r="A31" t="s">
        <v>11</v>
      </c>
      <c r="B31" s="2"/>
      <c r="C31" s="2"/>
      <c r="D31" s="2"/>
      <c r="E31" s="2"/>
      <c r="F31" s="2"/>
      <c r="G31" s="2"/>
      <c r="H31" s="2"/>
      <c r="I31" s="2"/>
      <c r="J31" s="2"/>
      <c r="L31" s="2"/>
    </row>
    <row r="32" spans="1:16" x14ac:dyDescent="0.25">
      <c r="A32" t="s">
        <v>10</v>
      </c>
      <c r="B32" s="2"/>
      <c r="C32" s="2">
        <f>'All Ridership 2041'!K8</f>
        <v>0.20729732326374742</v>
      </c>
      <c r="D32" s="2">
        <f>'All Ridership 2041'!K5</f>
        <v>0.43146512842263968</v>
      </c>
      <c r="E32" s="2">
        <f>'All Ridership 2041'!K7</f>
        <v>0.23450447030542151</v>
      </c>
      <c r="F32" s="2">
        <f>'All Ridership 2041'!K2</f>
        <v>1.9682157100817717</v>
      </c>
      <c r="G32" s="2">
        <f>'All Ridership 2041'!K9</f>
        <v>0.17916315328042157</v>
      </c>
      <c r="H32" s="2">
        <f>'All Ridership 2041'!K4</f>
        <v>0.20881485974804731</v>
      </c>
      <c r="I32" s="2">
        <f>'All Ridership 2041'!K3</f>
        <v>0.17119939006140134</v>
      </c>
      <c r="J32" s="2">
        <f>'All Ridership 2041'!K6</f>
        <v>2.4565566318016253E-2</v>
      </c>
      <c r="L32" s="2"/>
    </row>
    <row r="33" spans="1:12" x14ac:dyDescent="0.25">
      <c r="A33" t="s">
        <v>40</v>
      </c>
      <c r="B33" s="2"/>
      <c r="C33" s="2"/>
      <c r="D33" s="2"/>
      <c r="E33" s="2"/>
      <c r="F33" s="2"/>
      <c r="G33" s="2"/>
      <c r="H33" s="2"/>
      <c r="I33" s="2">
        <f>'All Ridership 2041'!L3</f>
        <v>9.0595754755073948E-2</v>
      </c>
      <c r="J33" s="2">
        <f>'All Ridership 2041'!L6</f>
        <v>1.3701705825444581E-2</v>
      </c>
      <c r="L33" s="2"/>
    </row>
    <row r="34" spans="1:12" x14ac:dyDescent="0.25">
      <c r="A34" t="s">
        <v>41</v>
      </c>
      <c r="B34" s="2"/>
      <c r="C34" s="2"/>
      <c r="D34" s="2"/>
      <c r="E34" s="2"/>
      <c r="F34" s="2"/>
      <c r="G34" s="2"/>
      <c r="H34" s="2"/>
      <c r="I34" s="2"/>
      <c r="J34" s="2"/>
      <c r="L34" s="2"/>
    </row>
    <row r="35" spans="1:12" x14ac:dyDescent="0.25">
      <c r="A35" t="s">
        <v>68</v>
      </c>
      <c r="B35" s="2"/>
      <c r="C35" s="2"/>
      <c r="D35" s="2"/>
      <c r="E35" s="2"/>
      <c r="F35" s="2"/>
      <c r="G35" s="2"/>
      <c r="H35" s="2"/>
      <c r="I35" s="2">
        <f>'All Ridership 2041'!N3</f>
        <v>5.7825400967997619E-2</v>
      </c>
      <c r="J35" s="2">
        <f>'All Ridership 2041'!N6</f>
        <v>9.3300165894518103E-3</v>
      </c>
      <c r="L35" s="2"/>
    </row>
    <row r="36" spans="1:12" x14ac:dyDescent="0.25">
      <c r="A36" t="s">
        <v>69</v>
      </c>
      <c r="B36" s="2"/>
      <c r="C36" s="2"/>
      <c r="D36" s="2"/>
      <c r="E36" s="2"/>
      <c r="F36" s="2"/>
      <c r="G36" s="2"/>
      <c r="H36" s="2"/>
      <c r="I36" s="2">
        <f>'All Ridership 2041'!O3</f>
        <v>7.4463594316464377E-2</v>
      </c>
      <c r="J36" s="2">
        <f>'All Ridership 2041'!O6</f>
        <v>1.4463136372828131E-2</v>
      </c>
      <c r="L36" s="2"/>
    </row>
    <row r="37" spans="1:12" x14ac:dyDescent="0.25">
      <c r="A37" t="s">
        <v>71</v>
      </c>
      <c r="B37" s="2"/>
      <c r="C37" s="2"/>
      <c r="D37" s="2"/>
      <c r="E37" s="2"/>
      <c r="F37" s="2"/>
      <c r="G37" s="2"/>
      <c r="H37" s="2"/>
      <c r="I37" s="2">
        <f>'All Ridership 2041'!P3</f>
        <v>7.902735260806823E-2</v>
      </c>
      <c r="J37" s="2">
        <f>'All Ridership 2041'!P6</f>
        <v>1.0382303208540786E-2</v>
      </c>
      <c r="L37" s="2"/>
    </row>
    <row r="38" spans="1:12" x14ac:dyDescent="0.25">
      <c r="A38" t="s">
        <v>72</v>
      </c>
      <c r="B38" s="2"/>
      <c r="C38" s="2"/>
      <c r="D38" s="2"/>
      <c r="E38" s="2"/>
      <c r="F38" s="2"/>
      <c r="G38" s="2"/>
      <c r="H38" s="2"/>
      <c r="I38" s="2">
        <f>'All Ridership 2041'!Q3</f>
        <v>0.10321939932482382</v>
      </c>
      <c r="J38" s="2">
        <f>'All Ridership 2041'!Q6</f>
        <v>1.2633328667720637E-2</v>
      </c>
      <c r="L38" s="2"/>
    </row>
    <row r="39" spans="1:12" x14ac:dyDescent="0.25">
      <c r="A39" t="s">
        <v>73</v>
      </c>
      <c r="B39" s="2"/>
      <c r="C39" s="2"/>
      <c r="D39" s="2"/>
      <c r="E39" s="2"/>
      <c r="F39" s="2"/>
      <c r="G39" s="2"/>
      <c r="H39" s="2"/>
      <c r="I39" s="2">
        <f>'All Ridership 2041'!R3</f>
        <v>0.14308750257475969</v>
      </c>
      <c r="J39" s="2">
        <f>'All Ridership 2041'!R6</f>
        <v>1.5484482615759049E-2</v>
      </c>
      <c r="L39" s="2"/>
    </row>
    <row r="40" spans="1:12" x14ac:dyDescent="0.25">
      <c r="A40" t="s">
        <v>75</v>
      </c>
      <c r="B40" s="2"/>
      <c r="C40" s="2"/>
      <c r="D40" s="2"/>
      <c r="E40" s="2"/>
      <c r="F40" s="2"/>
      <c r="G40" s="2"/>
      <c r="H40" s="2">
        <f>'All Ridership 2041'!S4</f>
        <v>0.13787691320254053</v>
      </c>
      <c r="I40" s="2">
        <f>'All Ridership 2041'!S3</f>
        <v>0.18595651834615767</v>
      </c>
      <c r="J40" s="2">
        <f>'All Ridership 2041'!S6</f>
        <v>2.8423129380019733E-2</v>
      </c>
      <c r="L40" s="2"/>
    </row>
    <row r="41" spans="1:12" x14ac:dyDescent="0.25">
      <c r="A41" t="s">
        <v>76</v>
      </c>
      <c r="B41" s="2"/>
      <c r="C41" s="2"/>
      <c r="D41" s="2"/>
      <c r="E41" s="2"/>
      <c r="F41" s="2"/>
      <c r="G41" s="2"/>
      <c r="H41" s="2">
        <f>'All Ridership 2041'!T4</f>
        <v>0.37171661888209462</v>
      </c>
      <c r="I41" s="2">
        <f>'All Ridership 2041'!T3</f>
        <v>0.75306571874748751</v>
      </c>
      <c r="J41" s="2">
        <f>'All Ridership 2041'!T6</f>
        <v>8.5041528941455558E-2</v>
      </c>
      <c r="L41" s="2"/>
    </row>
    <row r="42" spans="1:12" x14ac:dyDescent="0.25">
      <c r="A42" t="s">
        <v>78</v>
      </c>
      <c r="B42" s="2"/>
      <c r="C42" s="2"/>
      <c r="D42" s="2"/>
      <c r="E42" s="2"/>
      <c r="F42" s="2"/>
      <c r="G42" s="2"/>
      <c r="H42" s="2">
        <f>'All Ridership 2041'!U4</f>
        <v>0.89278625627944808</v>
      </c>
      <c r="I42" s="2">
        <f>'All Ridership 2041'!U3</f>
        <v>1.8657419932005344</v>
      </c>
      <c r="J42" s="2">
        <f>'All Ridership 2041'!U6</f>
        <v>0.20190477113199296</v>
      </c>
      <c r="L42" s="2"/>
    </row>
    <row r="43" spans="1:12" x14ac:dyDescent="0.25">
      <c r="A43" t="s">
        <v>80</v>
      </c>
      <c r="B43" s="2"/>
      <c r="C43" s="2"/>
      <c r="D43" s="2"/>
      <c r="E43" s="2"/>
      <c r="F43" s="2"/>
      <c r="G43" s="2"/>
      <c r="H43" s="2">
        <f>'All Ridership 2041'!V4</f>
        <v>0.23276798462603476</v>
      </c>
      <c r="I43" s="2">
        <f>'All Ridership 2041'!V3</f>
        <v>0.44366136700628361</v>
      </c>
      <c r="J43" s="2">
        <f>'All Ridership 2041'!V6</f>
        <v>5.4516061344838239E-2</v>
      </c>
      <c r="L43" s="2"/>
    </row>
    <row r="44" spans="1:12" x14ac:dyDescent="0.25">
      <c r="A44" t="s">
        <v>81</v>
      </c>
      <c r="B44" s="2"/>
      <c r="C44" s="2"/>
      <c r="D44" s="2"/>
      <c r="E44" s="2"/>
      <c r="F44" s="2"/>
      <c r="G44" s="2"/>
      <c r="H44" s="2">
        <f>'All Ridership 2041'!W4</f>
        <v>9.2946374733546805E-2</v>
      </c>
      <c r="I44" s="2">
        <f>'All Ridership 2041'!W3</f>
        <v>0.16468631378096824</v>
      </c>
      <c r="J44" s="2">
        <f>'All Ridership 2041'!W6</f>
        <v>2.2418233081788953E-2</v>
      </c>
      <c r="L44" s="2"/>
    </row>
    <row r="45" spans="1:12" x14ac:dyDescent="0.25">
      <c r="A45" t="s">
        <v>70</v>
      </c>
      <c r="B45" s="2"/>
      <c r="C45" s="2"/>
      <c r="D45" s="2"/>
      <c r="E45" s="2"/>
      <c r="F45" s="2"/>
      <c r="G45" s="2"/>
      <c r="H45" s="2">
        <f>'All Ridership 2041'!X4</f>
        <v>0.17467823159367332</v>
      </c>
      <c r="I45" s="2">
        <f>'All Ridership 2041'!X3</f>
        <v>0.30271408348819973</v>
      </c>
      <c r="J45" s="2">
        <f>'All Ridership 2041'!X6</f>
        <v>4.2522443662909006E-2</v>
      </c>
      <c r="L45" s="2"/>
    </row>
    <row r="46" spans="1:12" x14ac:dyDescent="0.25">
      <c r="A46" t="s">
        <v>90</v>
      </c>
      <c r="B46" s="2"/>
      <c r="C46" s="2"/>
      <c r="D46" s="2"/>
      <c r="E46" s="2"/>
      <c r="F46" s="2"/>
      <c r="G46" s="2"/>
      <c r="H46" s="2">
        <f>'All Ridership 2041'!Y4</f>
        <v>2.8032818308591577E-2</v>
      </c>
      <c r="I46" s="2">
        <f>'All Ridership 2041'!Y3</f>
        <v>4.5444518392062136E-2</v>
      </c>
      <c r="J46" s="2">
        <f>'All Ridership 2041'!Y6</f>
        <v>8.3094644147373425E-3</v>
      </c>
      <c r="L46" s="2"/>
    </row>
    <row r="47" spans="1:12" x14ac:dyDescent="0.25">
      <c r="A47" t="s">
        <v>5</v>
      </c>
      <c r="C47" s="2">
        <f>'All Ridership 2041'!I8</f>
        <v>0.11450336728854525</v>
      </c>
      <c r="D47" s="2">
        <f>'All Ridership 2041'!I5</f>
        <v>0.23832536423598277</v>
      </c>
      <c r="E47" s="2">
        <f>'All Ridership 2041'!I7</f>
        <v>0.12953158811425566</v>
      </c>
      <c r="F47" s="2">
        <f>'All Ridership 2041'!I2</f>
        <v>1.0871694955165432</v>
      </c>
      <c r="G47" s="2">
        <f>'All Ridership 2041'!I9</f>
        <v>9.8963093307967084E-2</v>
      </c>
      <c r="H47" s="2">
        <f>'All Ridership 2041'!I4</f>
        <v>0.11681559734902502</v>
      </c>
      <c r="I47" s="2">
        <f>'All Ridership 2041'!I3</f>
        <v>0.18280368764323379</v>
      </c>
      <c r="J47" s="2">
        <f>'All Ridership 2041'!I6</f>
        <v>2.6171044236581814E-2</v>
      </c>
      <c r="L47" s="2"/>
    </row>
    <row r="48" spans="1:12" x14ac:dyDescent="0.25">
      <c r="A48" t="s">
        <v>4</v>
      </c>
      <c r="E48" s="2">
        <f>'All Ridership 2041'!G7</f>
        <v>0.14987206354958535</v>
      </c>
      <c r="F48" s="2">
        <f>'All Ridership 2041'!G2</f>
        <v>1.2578888137888429</v>
      </c>
      <c r="G48" s="2">
        <f>'All Ridership 2041'!H8</f>
        <v>0.11450336728854525</v>
      </c>
      <c r="H48" s="2">
        <f>'All Ridership 2041'!G4</f>
        <v>0.22383370037459668</v>
      </c>
      <c r="I48" s="2">
        <f>'All Ridership 2041'!G3</f>
        <v>0.31632469779538241</v>
      </c>
      <c r="J48" s="2">
        <f>'All Ridership 2041'!G6</f>
        <v>4.1159619567095476E-2</v>
      </c>
      <c r="L48" s="2"/>
    </row>
    <row r="49" spans="1:12" x14ac:dyDescent="0.25">
      <c r="A49" t="s">
        <v>3</v>
      </c>
      <c r="F49" s="2">
        <f>'All Ridership 2041'!F2</f>
        <v>1.4229829181410101</v>
      </c>
      <c r="G49" s="2">
        <f>'All Ridership 2041'!H7</f>
        <v>0.12953158811425566</v>
      </c>
      <c r="H49" s="2">
        <f>'All Ridership 2041'!F4</f>
        <v>0.33542145381127181</v>
      </c>
      <c r="I49" s="2">
        <f>'All Ridership 2041'!F3</f>
        <v>0.44366136700628361</v>
      </c>
      <c r="J49" s="2">
        <f>'All Ridership 2041'!F6</f>
        <v>5.4516061344838239E-2</v>
      </c>
      <c r="L49" s="2"/>
    </row>
    <row r="50" spans="1:12" x14ac:dyDescent="0.25">
      <c r="A50" t="s">
        <v>38</v>
      </c>
      <c r="F50" s="2"/>
      <c r="G50" s="2">
        <f>'All Ridership 2041'!H5</f>
        <v>0.23832536423598277</v>
      </c>
      <c r="H50" s="2">
        <f>'All Ridership 2041'!D4</f>
        <v>0.66649485188692115</v>
      </c>
      <c r="I50" s="2">
        <f>'All Ridership 2041'!D3</f>
        <v>0.86465584028213094</v>
      </c>
      <c r="J50" s="2">
        <f>'All Ridership 2041'!E5</f>
        <v>0.10454939764995301</v>
      </c>
      <c r="L50" s="2"/>
    </row>
    <row r="51" spans="1:12" x14ac:dyDescent="0.25">
      <c r="A51" t="s">
        <v>0</v>
      </c>
      <c r="G51" s="2">
        <f>'Ridership Phase 1'!B15</f>
        <v>1.0871694955165432</v>
      </c>
      <c r="H51" s="2">
        <f>'Ridership Phase 1'!C15</f>
        <v>3.163181671121619</v>
      </c>
      <c r="I51" s="2">
        <f>'Ridership Phase 1'!D15</f>
        <v>5.1410155114422471</v>
      </c>
      <c r="J51" s="2">
        <f>'All Ridership 2041'!E2</f>
        <v>0.57466767090718285</v>
      </c>
      <c r="L51" s="2"/>
    </row>
    <row r="52" spans="1:12" x14ac:dyDescent="0.25">
      <c r="A52" t="s">
        <v>1</v>
      </c>
      <c r="H52" s="2">
        <f>'Ridership Phase 1'!C16</f>
        <v>0.28793876590561179</v>
      </c>
      <c r="I52" s="2">
        <f>'Ridership Phase 1'!D16</f>
        <v>0.55693182985786527</v>
      </c>
      <c r="J52" s="2">
        <f>'All Ridership 2041'!H6</f>
        <v>5.8884849532309082E-2</v>
      </c>
      <c r="L52" s="2"/>
    </row>
    <row r="53" spans="1:12" x14ac:dyDescent="0.25">
      <c r="A53" t="s">
        <v>6</v>
      </c>
      <c r="I53" s="2">
        <f>'Ridership Phase 1'!D17</f>
        <v>1.9607141681938574</v>
      </c>
      <c r="J53" s="2">
        <f>'All Ridership 2041'!E4</f>
        <v>0.46080601886429728</v>
      </c>
      <c r="L53" s="2"/>
    </row>
    <row r="54" spans="1:12" x14ac:dyDescent="0.25">
      <c r="A54" t="s">
        <v>7</v>
      </c>
      <c r="J54" s="2">
        <f>'All Ridership 2041'!E3</f>
        <v>1.0784634072144481</v>
      </c>
      <c r="L54" s="2"/>
    </row>
  </sheetData>
  <conditionalFormatting sqref="B3:I3 J35:J46 B31:I31 B5:I25 B4 B33:I53 B32">
    <cfRule type="colorScale" priority="11">
      <colorScale>
        <cfvo type="min"/>
        <cfvo type="max"/>
        <color rgb="FFFCFCFF"/>
        <color rgb="FFF8696B"/>
      </colorScale>
    </cfRule>
  </conditionalFormatting>
  <conditionalFormatting sqref="B3:J3 B31:J31 B5:J26 B4 B33:J54 B32">
    <cfRule type="colorScale" priority="9">
      <colorScale>
        <cfvo type="min"/>
        <cfvo type="max"/>
        <color rgb="FFFCFCFF"/>
        <color rgb="FFF8696B"/>
      </colorScale>
    </cfRule>
  </conditionalFormatting>
  <conditionalFormatting sqref="C4:I4">
    <cfRule type="colorScale" priority="8">
      <colorScale>
        <cfvo type="min"/>
        <cfvo type="max"/>
        <color rgb="FFFCFCFF"/>
        <color rgb="FFF8696B"/>
      </colorScale>
    </cfRule>
  </conditionalFormatting>
  <conditionalFormatting sqref="C32:I32">
    <cfRule type="colorScale" priority="5">
      <colorScale>
        <cfvo type="min"/>
        <cfvo type="max"/>
        <color rgb="FFFCFCFF"/>
        <color rgb="FFF8696B"/>
      </colorScale>
    </cfRule>
  </conditionalFormatting>
  <conditionalFormatting sqref="C4:J4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C4:J26">
    <cfRule type="colorScale" priority="2">
      <colorScale>
        <cfvo type="min"/>
        <cfvo type="max"/>
        <color rgb="FFFCFCFF"/>
        <color rgb="FFF8696B"/>
      </colorScale>
    </cfRule>
  </conditionalFormatting>
  <conditionalFormatting sqref="C32:J32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C32:J54">
    <cfRule type="colorScale" priority="1">
      <colorScale>
        <cfvo type="min"/>
        <cfvo type="max"/>
        <color rgb="FFFCFCFF"/>
        <color rgb="FFF8696B"/>
      </colorScale>
    </cfRule>
  </conditionalFormatting>
  <conditionalFormatting sqref="L31:L54 L3:L26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1404-5FB4-4E42-82D7-9F04A9713EE4}">
  <dimension ref="A1:J62"/>
  <sheetViews>
    <sheetView topLeftCell="A43" workbookViewId="0">
      <selection activeCell="H40" sqref="H40"/>
    </sheetView>
  </sheetViews>
  <sheetFormatPr defaultRowHeight="15" x14ac:dyDescent="0.25"/>
  <cols>
    <col min="2" max="2" width="12.7109375" customWidth="1"/>
  </cols>
  <sheetData>
    <row r="1" spans="1:10" x14ac:dyDescent="0.25">
      <c r="A1">
        <v>2021</v>
      </c>
    </row>
    <row r="2" spans="1:10" x14ac:dyDescent="0.25">
      <c r="A2" t="s">
        <v>46</v>
      </c>
      <c r="B2" t="s">
        <v>5</v>
      </c>
      <c r="C2" t="s">
        <v>4</v>
      </c>
      <c r="D2" t="s">
        <v>38</v>
      </c>
      <c r="E2" t="s">
        <v>3</v>
      </c>
      <c r="F2" t="s">
        <v>0</v>
      </c>
      <c r="G2" t="s">
        <v>1</v>
      </c>
      <c r="H2" t="s">
        <v>6</v>
      </c>
      <c r="I2" t="s">
        <v>7</v>
      </c>
      <c r="J2" t="s">
        <v>8</v>
      </c>
    </row>
    <row r="3" spans="1:10" x14ac:dyDescent="0.25">
      <c r="A3" t="s">
        <v>11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t="s">
        <v>10</v>
      </c>
      <c r="B4" s="4"/>
      <c r="C4" s="4">
        <f>'Ridership Phase 3M'!C4*'Distances Phase 3M'!C3*Coefficient!$B$4</f>
        <v>3.3564563334393114</v>
      </c>
      <c r="D4" s="4">
        <f>'Ridership Phase 3M'!D4*'Distances Phase 3M'!D3*Coefficient!$B$4</f>
        <v>14.934487531189342</v>
      </c>
      <c r="E4" s="4">
        <f>'Ridership Phase 3M'!E4*'Distances Phase 3M'!E3*Coefficient!$B$4</f>
        <v>4.8482147038567831</v>
      </c>
      <c r="F4" s="4">
        <f>'Ridership Phase 3M'!F4*'Distances Phase 3M'!F3*Coefficient!$B$4</f>
        <v>46.346347007496846</v>
      </c>
      <c r="G4" s="4">
        <f>'Ridership Phase 3M'!G4*'Distances Phase 3M'!G3*Coefficient!$B$4</f>
        <v>5.5947873708227966</v>
      </c>
      <c r="H4" s="4">
        <f>'Ridership Phase 3M'!H4*'Distances Phase 3M'!H3*Coefficient!$B$4</f>
        <v>12.282122388841552</v>
      </c>
      <c r="I4" s="4">
        <f>'Ridership Phase 3M'!I4*'Distances Phase 3M'!I3*Coefficient!$B$4</f>
        <v>12.431293441506249</v>
      </c>
      <c r="J4" s="4">
        <f>'Ridership Phase 3M'!J4*'Distances Phase 3M'!J3*Coefficient!$B$4</f>
        <v>2.4735726830335869</v>
      </c>
    </row>
    <row r="5" spans="1:10" x14ac:dyDescent="0.25">
      <c r="A5" t="s">
        <v>40</v>
      </c>
      <c r="B5" s="4"/>
      <c r="C5" s="4"/>
      <c r="D5" s="4"/>
      <c r="E5" s="4"/>
      <c r="F5" s="4"/>
      <c r="G5" s="4"/>
      <c r="H5" s="4"/>
      <c r="I5" s="4">
        <f>'Ridership Phase 3M'!I5*'Distances Phase 3M'!I4*Coefficient!$B$4</f>
        <v>0.4400050083842158</v>
      </c>
      <c r="J5" s="4">
        <f>'Ridership Phase 3M'!J5*'Distances Phase 3M'!J4*Coefficient!$B$4</f>
        <v>0.35642407039825474</v>
      </c>
    </row>
    <row r="6" spans="1:10" x14ac:dyDescent="0.25">
      <c r="A6" t="s">
        <v>41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t="s">
        <v>68</v>
      </c>
      <c r="B7" s="4"/>
      <c r="C7" s="4"/>
      <c r="D7" s="4"/>
      <c r="E7" s="4"/>
      <c r="F7" s="4"/>
      <c r="G7" s="4"/>
      <c r="H7" s="4"/>
      <c r="I7" s="4">
        <f>'Ridership Phase 3M'!I7*'Distances Phase 3M'!I6*Coefficient!$B$4</f>
        <v>0.2436676192796095</v>
      </c>
      <c r="J7" s="4">
        <f>'Ridership Phase 3M'!J7*'Distances Phase 3M'!J6*Coefficient!$B$4</f>
        <v>0.21057373349338671</v>
      </c>
    </row>
    <row r="8" spans="1:10" x14ac:dyDescent="0.25">
      <c r="A8" t="s">
        <v>69</v>
      </c>
      <c r="B8" s="4"/>
      <c r="C8" s="4"/>
      <c r="D8" s="4"/>
      <c r="E8" s="4"/>
      <c r="F8" s="4"/>
      <c r="G8" s="4"/>
      <c r="H8" s="4"/>
      <c r="I8" s="4">
        <f>'Ridership Phase 3M'!I8*'Distances Phase 3M'!I7*Coefficient!$B$4</f>
        <v>0.3508984380339627</v>
      </c>
      <c r="J8" s="4">
        <f>'Ridership Phase 3M'!J8*'Distances Phase 3M'!J7*Coefficient!$B$4</f>
        <v>0.36504174750358959</v>
      </c>
    </row>
    <row r="9" spans="1:10" x14ac:dyDescent="0.25">
      <c r="A9" t="s">
        <v>71</v>
      </c>
      <c r="B9" s="4"/>
      <c r="C9" s="4"/>
      <c r="D9" s="4"/>
      <c r="E9" s="4"/>
      <c r="F9" s="4"/>
      <c r="G9" s="4"/>
      <c r="H9" s="4"/>
      <c r="I9" s="4">
        <f>'Ridership Phase 3M'!I9*'Distances Phase 3M'!I8*Coefficient!$B$4</f>
        <v>0.40191019339210543</v>
      </c>
      <c r="J9" s="4">
        <f>'Ridership Phase 3M'!J9*'Distances Phase 3M'!J8*Coefficient!$B$4</f>
        <v>0.28280553802720132</v>
      </c>
    </row>
    <row r="10" spans="1:10" x14ac:dyDescent="0.25">
      <c r="A10" t="s">
        <v>72</v>
      </c>
      <c r="B10" s="4"/>
      <c r="C10" s="4"/>
      <c r="D10" s="4"/>
      <c r="E10" s="4"/>
      <c r="F10" s="4"/>
      <c r="G10" s="4"/>
      <c r="H10" s="4"/>
      <c r="I10" s="4">
        <f>'Ridership Phase 3M'!I10*'Distances Phase 3M'!I9*Coefficient!$B$4</f>
        <v>0.48640582462289444</v>
      </c>
      <c r="J10" s="4">
        <f>'Ridership Phase 3M'!J10*'Distances Phase 3M'!J9*Coefficient!$B$4</f>
        <v>0.31885838968620367</v>
      </c>
    </row>
    <row r="11" spans="1:10" x14ac:dyDescent="0.25">
      <c r="A11" t="s">
        <v>73</v>
      </c>
      <c r="B11" s="4"/>
      <c r="C11" s="4"/>
      <c r="D11" s="4"/>
      <c r="E11" s="4"/>
      <c r="F11" s="4"/>
      <c r="G11" s="4"/>
      <c r="H11" s="4"/>
      <c r="I11" s="4">
        <f>'Ridership Phase 3M'!I11*'Distances Phase 3M'!I10*Coefficient!$B$4</f>
        <v>0.73357603590402676</v>
      </c>
      <c r="J11" s="4">
        <f>'Ridership Phase 3M'!J11*'Distances Phase 3M'!J10*Coefficient!$B$4</f>
        <v>0.42518970926268279</v>
      </c>
    </row>
    <row r="12" spans="1:10" x14ac:dyDescent="0.25">
      <c r="A12" t="s">
        <v>75</v>
      </c>
      <c r="B12" s="4"/>
      <c r="C12" s="4"/>
      <c r="D12" s="4"/>
      <c r="E12" s="4"/>
      <c r="F12" s="4"/>
      <c r="G12" s="4"/>
      <c r="H12" s="4">
        <f>'Ridership Phase 3M'!H12*'Distances Phase 3M'!H11*Coefficient!$B$4</f>
        <v>2.3736955372157178</v>
      </c>
      <c r="I12" s="4">
        <f>'Ridership Phase 3M'!I12*'Distances Phase 3M'!I11*Coefficient!$B$4</f>
        <v>0.87629199783971512</v>
      </c>
      <c r="J12" s="4">
        <f>'Ridership Phase 3M'!J12*'Distances Phase 3M'!J11*Coefficient!$B$4</f>
        <v>0.71738442831083982</v>
      </c>
    </row>
    <row r="13" spans="1:10" x14ac:dyDescent="0.25">
      <c r="A13" t="s">
        <v>76</v>
      </c>
      <c r="B13" s="4"/>
      <c r="C13" s="4"/>
      <c r="D13" s="4"/>
      <c r="E13" s="4"/>
      <c r="F13" s="4"/>
      <c r="G13" s="4"/>
      <c r="H13" s="4">
        <f>'Ridership Phase 3M'!H13*'Distances Phase 3M'!H12*Coefficient!$B$4</f>
        <v>6.0965240115832362</v>
      </c>
      <c r="I13" s="4">
        <f>'Ridership Phase 3M'!I13*'Distances Phase 3M'!I12*Coefficient!$B$4</f>
        <v>3.3807041481709432</v>
      </c>
      <c r="J13" s="4">
        <f>'Ridership Phase 3M'!J13*'Distances Phase 3M'!J12*Coefficient!$B$4</f>
        <v>2.0447864674672704</v>
      </c>
    </row>
    <row r="14" spans="1:10" x14ac:dyDescent="0.25">
      <c r="A14" t="s">
        <v>78</v>
      </c>
      <c r="B14" s="4"/>
      <c r="C14" s="4"/>
      <c r="D14" s="4"/>
      <c r="E14" s="4"/>
      <c r="F14" s="4"/>
      <c r="G14" s="4"/>
      <c r="H14" s="4">
        <f>'Ridership Phase 3M'!H14*'Distances Phase 3M'!H13*Coefficient!$B$4</f>
        <v>15.149292777538623</v>
      </c>
      <c r="I14" s="4">
        <f>'Ridership Phase 3M'!I14*'Distances Phase 3M'!I13*Coefficient!$B$4</f>
        <v>8.6656356988344516</v>
      </c>
      <c r="J14" s="4">
        <f>'Ridership Phase 3M'!J14*'Distances Phase 3M'!J13*Coefficient!$B$4</f>
        <v>5.0227092258038164</v>
      </c>
    </row>
    <row r="15" spans="1:10" x14ac:dyDescent="0.25">
      <c r="A15" t="s">
        <v>80</v>
      </c>
      <c r="B15" s="4"/>
      <c r="C15" s="4"/>
      <c r="D15" s="4"/>
      <c r="E15" s="4"/>
      <c r="F15" s="4"/>
      <c r="G15" s="4"/>
      <c r="H15" s="4">
        <f>'Ridership Phase 3M'!H15*'Distances Phase 3M'!H14*Coefficient!$B$4</f>
        <v>3.9052436621212827</v>
      </c>
      <c r="I15" s="4">
        <f>'Ridership Phase 3M'!I15*'Distances Phase 3M'!I14*Coefficient!$B$4</f>
        <v>2.0374196055764728</v>
      </c>
      <c r="J15" s="4">
        <f>'Ridership Phase 3M'!J15*'Distances Phase 3M'!J14*Coefficient!$B$4</f>
        <v>1.3408986502526381</v>
      </c>
    </row>
    <row r="16" spans="1:10" x14ac:dyDescent="0.25">
      <c r="A16" t="s">
        <v>81</v>
      </c>
      <c r="B16" s="4"/>
      <c r="C16" s="4"/>
      <c r="D16" s="4"/>
      <c r="E16" s="4"/>
      <c r="F16" s="4"/>
      <c r="G16" s="4"/>
      <c r="H16" s="4">
        <f>'Ridership Phase 3M'!H16*'Distances Phase 3M'!H15*Coefficient!$B$4</f>
        <v>1.5142421748053678</v>
      </c>
      <c r="I16" s="4">
        <f>'Ridership Phase 3M'!I16*'Distances Phase 3M'!I15*Coefficient!$B$4</f>
        <v>0.7343859669070778</v>
      </c>
      <c r="J16" s="4">
        <f>'Ridership Phase 3M'!J16*'Distances Phase 3M'!J15*Coefficient!$B$4</f>
        <v>0.53544005315798326</v>
      </c>
    </row>
    <row r="17" spans="1:10" x14ac:dyDescent="0.25">
      <c r="A17" t="s">
        <v>70</v>
      </c>
      <c r="B17" s="4"/>
      <c r="C17" s="4"/>
      <c r="D17" s="4"/>
      <c r="E17" s="4"/>
      <c r="F17" s="4"/>
      <c r="G17" s="4"/>
      <c r="H17" s="4">
        <f>'Ridership Phase 3M'!H17*'Distances Phase 3M'!H16*Coefficient!$B$4</f>
        <v>2.6209899360774722</v>
      </c>
      <c r="I17" s="4">
        <f>'Ridership Phase 3M'!I17*'Distances Phase 3M'!I16*Coefficient!$B$4</f>
        <v>1.2432634647729963</v>
      </c>
      <c r="J17" s="4">
        <f>'Ridership Phase 3M'!J17*'Distances Phase 3M'!J16*Coefficient!$B$4</f>
        <v>0.93538709393453101</v>
      </c>
    </row>
    <row r="18" spans="1:10" x14ac:dyDescent="0.25">
      <c r="A18" t="s">
        <v>90</v>
      </c>
      <c r="B18" s="4"/>
      <c r="C18" s="4"/>
      <c r="D18" s="4"/>
      <c r="E18" s="4"/>
      <c r="F18" s="4"/>
      <c r="G18" s="4"/>
      <c r="H18" s="4">
        <f>'Ridership Phase 3M'!H18*'Distances Phase 3M'!H17*Coefficient!$B$4</f>
        <v>0.48261434180016721</v>
      </c>
      <c r="I18" s="4">
        <f>'Ridership Phase 3M'!I18*'Distances Phase 3M'!I17*Coefficient!$B$4</f>
        <v>0.21415042702893586</v>
      </c>
      <c r="J18" s="4">
        <f>'Ridership Phase 3M'!J18*'Distances Phase 3M'!J17*Coefficient!$B$4</f>
        <v>0.20972639215884531</v>
      </c>
    </row>
    <row r="19" spans="1:10" x14ac:dyDescent="0.25">
      <c r="A19" t="s">
        <v>5</v>
      </c>
      <c r="B19" s="4"/>
      <c r="C19" s="4">
        <f>'Ridership Phase 3W'!C19*'Distances Phase 3W'!C18*Coefficient!$B$4</f>
        <v>1.4527148968670367</v>
      </c>
      <c r="D19" s="4">
        <f>'Ridership Phase 3W'!D19*'Distances Phase 3W'!C18*Coefficient!$B$4</f>
        <v>2.5293235435525392</v>
      </c>
      <c r="E19" s="4">
        <f>'Ridership Phase 3W'!E19*'Distances Phase 3W'!E18*Coefficient!$B$4</f>
        <v>2.1168131354348247</v>
      </c>
      <c r="F19" s="4">
        <f>'Ridership Phase 3W'!F19*'Distances Phase 3W'!F18*Coefficient!$B$4</f>
        <v>20.34974587745085</v>
      </c>
      <c r="G19" s="4">
        <f>'Ridership Phase 3W'!G19*'Distances Phase 3W'!G18*Coefficient!$B$4</f>
        <v>2.4606689595153433</v>
      </c>
      <c r="H19" s="4">
        <f>'Ridership Phase 3W'!H19*'Distances Phase 3W'!H18*Coefficient!$B$4</f>
        <v>5.5025589027622059</v>
      </c>
      <c r="I19" s="4">
        <f>'Ridership Phase 3W'!I19*'Distances Phase 3W'!I18*Coefficient!$B$4</f>
        <v>10.642710722965951</v>
      </c>
      <c r="J19" s="4">
        <f>'Ridership Phase 3W'!J19*'Distances Phase 3W'!J18*Coefficient!$B$4</f>
        <v>2.1238714542845232</v>
      </c>
    </row>
    <row r="20" spans="1:10" x14ac:dyDescent="0.25">
      <c r="A20" t="s">
        <v>4</v>
      </c>
      <c r="B20" s="4"/>
      <c r="C20" s="4"/>
      <c r="D20" s="4"/>
      <c r="E20" s="4">
        <f>'Ridership Phase 3W'!E20*'Distances Phase 3W'!E19*Coefficient!$B$4</f>
        <v>0.91855535967665602</v>
      </c>
      <c r="F20" s="4">
        <f>'Ridership Phase 3W'!F20*'Distances Phase 3W'!F19*Coefficient!$B$4</f>
        <v>14.464426704143412</v>
      </c>
      <c r="G20" s="4">
        <f>'Ridership Phase 3W'!G20*'Distances Phase 3W'!G19*Coefficient!$B$4</f>
        <v>1.9507885757928778</v>
      </c>
      <c r="H20" s="4">
        <f>'Ridership Phase 3W'!H20*'Distances Phase 3W'!H19*Coefficient!$B$4</f>
        <v>9.7943930696078514</v>
      </c>
      <c r="I20" s="4">
        <f>'Ridership Phase 3W'!I20*'Distances Phase 3W'!I19*Coefficient!$B$4</f>
        <v>18.002252191658574</v>
      </c>
      <c r="J20" s="4">
        <f>'Ridership Phase 3W'!J20*'Distances Phase 3W'!J19*Coefficient!$B$4</f>
        <v>3.4249472492248327</v>
      </c>
    </row>
    <row r="21" spans="1:10" x14ac:dyDescent="0.25">
      <c r="A21" t="s">
        <v>3</v>
      </c>
      <c r="B21" s="4"/>
      <c r="C21" s="4"/>
      <c r="D21" s="4"/>
      <c r="E21" s="4"/>
      <c r="F21" s="4">
        <f>'Ridership Phase 3W'!F21*'Distances Phase 3W'!F20*Coefficient!$B$4</f>
        <v>8.2095394807300437</v>
      </c>
      <c r="G21" s="4">
        <f>'Ridership Phase 3W'!G21*'Distances Phase 3W'!G20*Coefficient!$B$4</f>
        <v>1.2866903372250895</v>
      </c>
      <c r="H21" s="4">
        <f>'Ridership Phase 3W'!H21*'Distances Phase 3W'!H20*Coefficient!$B$4</f>
        <v>11.272792023510922</v>
      </c>
      <c r="I21" s="4">
        <f>'Ridership Phase 3W'!I21*'Distances Phase 3W'!I20*Coefficient!$B$4</f>
        <v>20.045060950995715</v>
      </c>
      <c r="J21" s="4">
        <f>'Ridership Phase 3W'!J21*'Distances Phase 3W'!J20*Coefficient!$B$4</f>
        <v>3.7059685619817415</v>
      </c>
    </row>
    <row r="22" spans="1:10" x14ac:dyDescent="0.25">
      <c r="A22" t="s">
        <v>38</v>
      </c>
      <c r="B22" s="4"/>
      <c r="C22" s="4"/>
      <c r="D22" s="4"/>
      <c r="E22" s="4"/>
      <c r="F22" s="4"/>
      <c r="G22" s="4">
        <f>'Ridership Phase 3W'!G22*'Distances Phase 3W'!G22*Coefficient!$B$4</f>
        <v>0.7226638695864398</v>
      </c>
      <c r="H22" s="4">
        <f>'Ridership Phase 3W'!H22*'Distances Phase 3W'!H22*Coefficient!$B$4</f>
        <v>16.997299955468527</v>
      </c>
      <c r="I22" s="4">
        <f>'Ridership Phase 3W'!I22*'Distances Phase 3W'!I22*Coefficient!$B$4</f>
        <v>31.462309724453121</v>
      </c>
      <c r="J22" s="4">
        <f>'Ridership Phase 3W'!J22*'Distances Phase 3W'!J22*Coefficient!$B$4</f>
        <v>6.0012656638331379</v>
      </c>
    </row>
    <row r="23" spans="1:10" x14ac:dyDescent="0.25">
      <c r="A23" t="s">
        <v>0</v>
      </c>
      <c r="B23" s="4"/>
      <c r="C23" s="4"/>
      <c r="D23" s="4"/>
      <c r="E23" s="4"/>
      <c r="F23" s="4"/>
      <c r="G23" s="4">
        <f>'Ridership Phase 3W'!G23*'Distances Phase 3W'!G22*Coefficient!$B$4</f>
        <v>2.8263535940903961</v>
      </c>
      <c r="H23" s="4">
        <f>'Ridership Phase 3W'!H23*'Distances Phase 3W'!H22*Coefficient!$B$4</f>
        <v>69.162460262833221</v>
      </c>
      <c r="I23" s="4">
        <f>'Ridership Phase 3W'!I23*'Distances Phase 3W'!I22*Coefficient!$B$4</f>
        <v>160.38339259475472</v>
      </c>
      <c r="J23" s="4">
        <f>'Ridership Phase 3W'!J23*'Distances Phase 3W'!J22*Coefficient!$B$4</f>
        <v>28.281421993211719</v>
      </c>
    </row>
    <row r="24" spans="1:10" x14ac:dyDescent="0.25">
      <c r="A24" t="s">
        <v>1</v>
      </c>
      <c r="B24" s="4"/>
      <c r="C24" s="4"/>
      <c r="D24" s="4"/>
      <c r="E24" s="4"/>
      <c r="F24" s="4"/>
      <c r="G24" s="4"/>
      <c r="H24" s="4">
        <f>'Ridership Phase 3W'!H24*'Distances Phase 3W'!H23*Coefficient!$B$4</f>
        <v>6.4792631080024963</v>
      </c>
      <c r="I24" s="4">
        <f>'Ridership Phase 3W'!I24*'Distances Phase 3W'!I23*Coefficient!$B$4</f>
        <v>18.57636780735875</v>
      </c>
      <c r="J24" s="4">
        <f>'Ridership Phase 3W'!J24*'Distances Phase 3W'!J23*Coefficient!$B$4</f>
        <v>3.1858071814267852</v>
      </c>
    </row>
    <row r="25" spans="1:10" x14ac:dyDescent="0.25">
      <c r="A25" t="s">
        <v>6</v>
      </c>
      <c r="B25" s="4"/>
      <c r="C25" s="4"/>
      <c r="D25" s="4"/>
      <c r="E25" s="4"/>
      <c r="F25" s="4"/>
      <c r="G25" s="4"/>
      <c r="H25" s="4"/>
      <c r="I25" s="4">
        <f>'Ridership Phase 3W'!I25*'Distances Phase 3W'!I24*Coefficient!$B$4</f>
        <v>20.589535312603001</v>
      </c>
      <c r="J25" s="4">
        <f>'Ridership Phase 3W'!J25*'Distances Phase 3W'!J24*Coefficient!$B$4</f>
        <v>13.386848725572479</v>
      </c>
    </row>
    <row r="26" spans="1:10" x14ac:dyDescent="0.25">
      <c r="A26" t="s">
        <v>7</v>
      </c>
      <c r="B26" s="4"/>
      <c r="C26" s="4"/>
      <c r="D26" s="4"/>
      <c r="E26" s="4"/>
      <c r="F26" s="4"/>
      <c r="G26" s="4"/>
      <c r="H26" s="4"/>
      <c r="I26" s="4"/>
      <c r="J26" s="4">
        <f>'Ridership Phase 3W'!J26*'Distances Phase 3W'!J25*Coefficient!$B$4</f>
        <v>19.211940940926269</v>
      </c>
    </row>
    <row r="28" spans="1:10" x14ac:dyDescent="0.25">
      <c r="A28" t="s">
        <v>26</v>
      </c>
      <c r="B28" s="6">
        <f>SUM(B3:J26)</f>
        <v>704.50417656103491</v>
      </c>
      <c r="E28" s="6"/>
    </row>
    <row r="30" spans="1:10" x14ac:dyDescent="0.25">
      <c r="A30">
        <v>2041</v>
      </c>
    </row>
    <row r="31" spans="1:10" x14ac:dyDescent="0.25">
      <c r="A31" t="s">
        <v>46</v>
      </c>
      <c r="B31" t="s">
        <v>5</v>
      </c>
      <c r="C31" t="s">
        <v>4</v>
      </c>
      <c r="D31" t="s">
        <v>38</v>
      </c>
      <c r="E31" t="s">
        <v>3</v>
      </c>
      <c r="F31" t="s">
        <v>0</v>
      </c>
      <c r="G31" t="s">
        <v>1</v>
      </c>
      <c r="H31" t="s">
        <v>6</v>
      </c>
      <c r="I31" t="s">
        <v>7</v>
      </c>
      <c r="J31" t="s">
        <v>8</v>
      </c>
    </row>
    <row r="32" spans="1:10" x14ac:dyDescent="0.25">
      <c r="A32" t="s">
        <v>11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t="s">
        <v>10</v>
      </c>
      <c r="B33" s="4"/>
      <c r="C33" s="4">
        <f>'Ridership Phase 3M'!C32*'Distances Phase 3M'!C3*Coefficient!$B$4</f>
        <v>3.2338382429144596</v>
      </c>
      <c r="D33" s="4">
        <f>'Ridership Phase 3M'!D32*'Distances Phase 3M'!D3*Coefficient!$B$4</f>
        <v>17.201076453115903</v>
      </c>
      <c r="E33" s="4">
        <f>'Ridership Phase 3M'!E32*'Distances Phase 3M'!E3*Coefficient!$B$4</f>
        <v>5.2841673975488312</v>
      </c>
      <c r="F33" s="4">
        <f>'Ridership Phase 3M'!F32*'Distances Phase 3M'!F3*Coefficient!$B$4</f>
        <v>62.261223628920042</v>
      </c>
      <c r="G33" s="4">
        <f>'Ridership Phase 3M'!G32*'Distances Phase 3M'!G3*Coefficient!$B$4</f>
        <v>6.443901412985829</v>
      </c>
      <c r="H33" s="4">
        <f>'Ridership Phase 3M'!H32*'Distances Phase 3M'!H3*Coefficient!$B$4</f>
        <v>14.296857397416307</v>
      </c>
      <c r="I33" s="4">
        <f>'Ridership Phase 3M'!I32*'Distances Phase 3M'!I3*Coefficient!$B$4</f>
        <v>14.317975655468533</v>
      </c>
      <c r="J33" s="4">
        <f>'Ridership Phase 3M'!J32*'Distances Phase 3M'!J3*Coefficient!$B$4</f>
        <v>2.6186893695005327</v>
      </c>
    </row>
    <row r="34" spans="1:10" x14ac:dyDescent="0.25">
      <c r="A34" t="s">
        <v>40</v>
      </c>
      <c r="B34" s="4"/>
      <c r="C34" s="4"/>
      <c r="D34" s="4"/>
      <c r="E34" s="4"/>
      <c r="F34" s="4"/>
      <c r="G34" s="4"/>
      <c r="H34" s="4"/>
      <c r="I34" s="4">
        <f>'Ridership Phase 3M'!I33*'Distances Phase 3M'!I4*Coefficient!$B$4</f>
        <v>0.51035608512024988</v>
      </c>
      <c r="J34" s="4">
        <f>'Ridership Phase 3M'!J33*'Distances Phase 3M'!J4*Coefficient!$B$4</f>
        <v>0.37999397489232967</v>
      </c>
    </row>
    <row r="35" spans="1:10" x14ac:dyDescent="0.25">
      <c r="A35" t="s">
        <v>41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t="s">
        <v>68</v>
      </c>
      <c r="B36" s="4"/>
      <c r="C36" s="4"/>
      <c r="D36" s="4"/>
      <c r="E36" s="4"/>
      <c r="F36" s="4"/>
      <c r="G36" s="4"/>
      <c r="H36" s="4"/>
      <c r="I36" s="4">
        <f>'Ridership Phase 3M'!I35*'Distances Phase 3M'!I6*Coefficient!$B$4</f>
        <v>0.32574975878638662</v>
      </c>
      <c r="J36" s="4">
        <f>'Ridership Phase 3M'!J35*'Distances Phase 3M'!J6*Coefficient!$B$4</f>
        <v>0.25875246008079689</v>
      </c>
    </row>
    <row r="37" spans="1:10" x14ac:dyDescent="0.25">
      <c r="A37" t="s">
        <v>69</v>
      </c>
      <c r="B37" s="4"/>
      <c r="C37" s="4"/>
      <c r="D37" s="4"/>
      <c r="E37" s="4"/>
      <c r="F37" s="4"/>
      <c r="G37" s="4"/>
      <c r="H37" s="4"/>
      <c r="I37" s="4">
        <f>'Ridership Phase 3M'!I36*'Distances Phase 3M'!I7*Coefficient!$B$4</f>
        <v>0.4194782479827493</v>
      </c>
      <c r="J37" s="4">
        <f>'Ridership Phase 3M'!J36*'Distances Phase 3M'!J7*Coefficient!$B$4</f>
        <v>0.4011109820731002</v>
      </c>
    </row>
    <row r="38" spans="1:10" x14ac:dyDescent="0.25">
      <c r="A38" t="s">
        <v>71</v>
      </c>
      <c r="B38" s="4"/>
      <c r="C38" s="4"/>
      <c r="D38" s="4"/>
      <c r="E38" s="4"/>
      <c r="F38" s="4"/>
      <c r="G38" s="4"/>
      <c r="H38" s="4"/>
      <c r="I38" s="4">
        <f>'Ridership Phase 3M'!I37*'Distances Phase 3M'!I8*Coefficient!$B$4</f>
        <v>0.44518741969211767</v>
      </c>
      <c r="J38" s="4">
        <f>'Ridership Phase 3M'!J37*'Distances Phase 3M'!J8*Coefficient!$B$4</f>
        <v>0.28793587565019779</v>
      </c>
    </row>
    <row r="39" spans="1:10" x14ac:dyDescent="0.25">
      <c r="A39" t="s">
        <v>72</v>
      </c>
      <c r="B39" s="4"/>
      <c r="C39" s="4"/>
      <c r="D39" s="4"/>
      <c r="E39" s="4"/>
      <c r="F39" s="4"/>
      <c r="G39" s="4"/>
      <c r="H39" s="4"/>
      <c r="I39" s="4">
        <f>'Ridership Phase 3M'!I38*'Distances Phase 3M'!I9*Coefficient!$B$4</f>
        <v>0.58146928286317423</v>
      </c>
      <c r="J39" s="4">
        <f>'Ridership Phase 3M'!J38*'Distances Phase 3M'!J9*Coefficient!$B$4</f>
        <v>0.35036431505145232</v>
      </c>
    </row>
    <row r="40" spans="1:10" x14ac:dyDescent="0.25">
      <c r="A40" t="s">
        <v>73</v>
      </c>
      <c r="B40" s="4"/>
      <c r="C40" s="4"/>
      <c r="D40" s="4"/>
      <c r="E40" s="4"/>
      <c r="F40" s="4"/>
      <c r="G40" s="4"/>
      <c r="H40" s="4"/>
      <c r="I40" s="4">
        <f>'Ridership Phase 3M'!I39*'Distances Phase 3M'!I10*Coefficient!$B$4</f>
        <v>0.806059597837813</v>
      </c>
      <c r="J40" s="4">
        <f>'Ridership Phase 3M'!J39*'Distances Phase 3M'!J10*Coefficient!$B$4</f>
        <v>0.42943631787705094</v>
      </c>
    </row>
    <row r="41" spans="1:10" x14ac:dyDescent="0.25">
      <c r="A41" t="s">
        <v>75</v>
      </c>
      <c r="B41" s="4"/>
      <c r="C41" s="4"/>
      <c r="D41" s="4"/>
      <c r="E41" s="4"/>
      <c r="F41" s="4"/>
      <c r="G41" s="4"/>
      <c r="H41" s="4">
        <f>'Ridership Phase 3M'!H40*'Distances Phase 3M'!H11*Coefficient!$B$4</f>
        <v>2.8678397946128431</v>
      </c>
      <c r="I41" s="4">
        <f>'Ridership Phase 3M'!I40*'Distances Phase 3M'!I11*Coefficient!$B$4</f>
        <v>1.0475550533500215</v>
      </c>
      <c r="J41" s="4">
        <f>'Ridership Phase 3M'!J40*'Distances Phase 3M'!J11*Coefficient!$B$4</f>
        <v>0.78826812147254732</v>
      </c>
    </row>
    <row r="42" spans="1:10" x14ac:dyDescent="0.25">
      <c r="A42" t="s">
        <v>76</v>
      </c>
      <c r="B42" s="4"/>
      <c r="C42" s="4"/>
      <c r="D42" s="4"/>
      <c r="E42" s="4"/>
      <c r="F42" s="4"/>
      <c r="G42" s="4"/>
      <c r="H42" s="4">
        <f>'Ridership Phase 3M'!H41*'Distances Phase 3M'!H12*Coefficient!$B$4</f>
        <v>7.7317056727475677</v>
      </c>
      <c r="I42" s="4">
        <f>'Ridership Phase 3M'!I41*'Distances Phase 3M'!I12*Coefficient!$B$4</f>
        <v>4.2422702156108461</v>
      </c>
      <c r="J42" s="4">
        <f>'Ridership Phase 3M'!J41*'Distances Phase 3M'!J12*Coefficient!$B$4</f>
        <v>2.358485069309701</v>
      </c>
    </row>
    <row r="43" spans="1:10" x14ac:dyDescent="0.25">
      <c r="A43" t="s">
        <v>78</v>
      </c>
      <c r="B43" s="4"/>
      <c r="C43" s="4"/>
      <c r="D43" s="4"/>
      <c r="E43" s="4"/>
      <c r="F43" s="4"/>
      <c r="G43" s="4"/>
      <c r="H43" s="4">
        <f>'Ridership Phase 3M'!H42*'Distances Phase 3M'!H13*Coefficient!$B$4</f>
        <v>18.569954130612519</v>
      </c>
      <c r="I43" s="4">
        <f>'Ridership Phase 3M'!I42*'Distances Phase 3M'!I13*Coefficient!$B$4</f>
        <v>10.510346561696343</v>
      </c>
      <c r="J43" s="4">
        <f>'Ridership Phase 3M'!J42*'Distances Phase 3M'!J13*Coefficient!$B$4</f>
        <v>5.5994923193939385</v>
      </c>
    </row>
    <row r="44" spans="1:10" x14ac:dyDescent="0.25">
      <c r="A44" t="s">
        <v>80</v>
      </c>
      <c r="B44" s="4"/>
      <c r="C44" s="4"/>
      <c r="D44" s="4"/>
      <c r="E44" s="4"/>
      <c r="F44" s="4"/>
      <c r="G44" s="4"/>
      <c r="H44" s="4">
        <f>'Ridership Phase 3M'!H43*'Distances Phase 3M'!H14*Coefficient!$B$4</f>
        <v>4.8415740802215232</v>
      </c>
      <c r="I44" s="4">
        <f>'Ridership Phase 3M'!I43*'Distances Phase 3M'!I14*Coefficient!$B$4</f>
        <v>2.4992923674687311</v>
      </c>
      <c r="J44" s="4">
        <f>'Ridership Phase 3M'!J43*'Distances Phase 3M'!J14*Coefficient!$B$4</f>
        <v>1.5119121012968473</v>
      </c>
    </row>
    <row r="45" spans="1:10" x14ac:dyDescent="0.25">
      <c r="A45" t="s">
        <v>81</v>
      </c>
      <c r="B45" s="4"/>
      <c r="C45" s="4"/>
      <c r="D45" s="4"/>
      <c r="E45" s="4"/>
      <c r="F45" s="4"/>
      <c r="G45" s="4"/>
      <c r="H45" s="4">
        <f>'Ridership Phase 3M'!H44*'Distances Phase 3M'!H15*Coefficient!$B$4</f>
        <v>1.9332845944577737</v>
      </c>
      <c r="I45" s="4">
        <f>'Ridership Phase 3M'!I44*'Distances Phase 3M'!I15*Coefficient!$B$4</f>
        <v>0.92773290096612115</v>
      </c>
      <c r="J45" s="4">
        <f>'Ridership Phase 3M'!J44*'Distances Phase 3M'!J15*Coefficient!$B$4</f>
        <v>0.62173233080161361</v>
      </c>
    </row>
    <row r="46" spans="1:10" x14ac:dyDescent="0.25">
      <c r="A46" t="s">
        <v>70</v>
      </c>
      <c r="B46" s="4"/>
      <c r="C46" s="4"/>
      <c r="D46" s="4"/>
      <c r="E46" s="4"/>
      <c r="F46" s="4"/>
      <c r="G46" s="4"/>
      <c r="H46" s="4">
        <f>'Ridership Phase 3M'!H45*'Distances Phase 3M'!H16*Coefficient!$B$4</f>
        <v>3.6333072171484053</v>
      </c>
      <c r="I46" s="4">
        <f>'Ridership Phase 3M'!I45*'Distances Phase 3M'!I16*Coefficient!$B$4</f>
        <v>1.7052893369835254</v>
      </c>
      <c r="J46" s="4">
        <f>'Ridership Phase 3M'!J45*'Distances Phase 3M'!J16*Coefficient!$B$4</f>
        <v>1.1792891042513431</v>
      </c>
    </row>
    <row r="47" spans="1:10" x14ac:dyDescent="0.25">
      <c r="A47" t="s">
        <v>90</v>
      </c>
      <c r="B47" s="4"/>
      <c r="C47" s="4"/>
      <c r="D47" s="4"/>
      <c r="E47" s="4"/>
      <c r="F47" s="4"/>
      <c r="G47" s="4"/>
      <c r="H47" s="4">
        <f>'Ridership Phase 3M'!H46*'Distances Phase 3M'!H17*Coefficient!$B$4</f>
        <v>0.58308262081870488</v>
      </c>
      <c r="I47" s="4">
        <f>'Ridership Phase 3M'!I46*'Distances Phase 3M'!I17*Coefficient!$B$4</f>
        <v>0.25600412027528335</v>
      </c>
      <c r="J47" s="4">
        <f>'Ridership Phase 3M'!J46*'Distances Phase 3M'!J17*Coefficient!$B$4</f>
        <v>0.23044914643538231</v>
      </c>
    </row>
    <row r="48" spans="1:10" x14ac:dyDescent="0.25">
      <c r="A48" t="s">
        <v>5</v>
      </c>
      <c r="B48" s="4"/>
      <c r="C48" s="4">
        <f>'Ridership Phase 3W'!C47*'Distances Phase 3W'!C18*Coefficient!$B$4</f>
        <v>1.7366344038762698</v>
      </c>
      <c r="D48" s="4">
        <f>'Ridership Phase 3W'!D47*'Distances Phase 3W'!C18*Coefficient!$B$4</f>
        <v>3.6146013575790725</v>
      </c>
      <c r="E48" s="4">
        <f>'Ridership Phase 3W'!E47*'Distances Phase 3W'!E18*Coefficient!$B$4</f>
        <v>2.8626480973250503</v>
      </c>
      <c r="F48" s="4">
        <f>'Ridership Phase 3W'!F47*'Distances Phase 3W'!F18*Coefficient!$B$4</f>
        <v>33.919688260116146</v>
      </c>
      <c r="G48" s="4">
        <f>'Ridership Phase 3W'!G47*'Distances Phase 3W'!G18*Coefficient!$B$4</f>
        <v>3.5164885822097638</v>
      </c>
      <c r="H48" s="4">
        <f>'Ridership Phase 3W'!H47*'Distances Phase 3W'!H18*Coefficient!$B$4</f>
        <v>7.9473544729786694</v>
      </c>
      <c r="I48" s="4">
        <f>'Ridership Phase 3W'!I47*'Distances Phase 3W'!I18*Coefficient!$B$4</f>
        <v>15.209266811917052</v>
      </c>
      <c r="J48" s="4">
        <f>'Ridership Phase 3W'!J47*'Distances Phase 3W'!J18*Coefficient!$B$4</f>
        <v>2.7898333156196218</v>
      </c>
    </row>
    <row r="49" spans="1:10" x14ac:dyDescent="0.25">
      <c r="A49" t="s">
        <v>4</v>
      </c>
      <c r="B49" s="4"/>
      <c r="C49" s="4"/>
      <c r="D49" s="4"/>
      <c r="E49" s="4">
        <f>'Ridership Phase 3W'!E48*'Distances Phase 3W'!E19*Coefficient!$B$4</f>
        <v>1.0391129739437919</v>
      </c>
      <c r="F49" s="4">
        <f>'Ridership Phase 3W'!F48*'Distances Phase 3W'!F19*Coefficient!$B$4</f>
        <v>20.168150647747783</v>
      </c>
      <c r="G49" s="4">
        <f>'Ridership Phase 3W'!G48*'Distances Phase 3W'!G19*Coefficient!$B$4</f>
        <v>2.3320519137767053</v>
      </c>
      <c r="H49" s="4">
        <f>'Ridership Phase 3W'!H48*'Distances Phase 3W'!H19*Coefficient!$B$4</f>
        <v>11.833341626470345</v>
      </c>
      <c r="I49" s="4">
        <f>'Ridership Phase 3W'!I48*'Distances Phase 3W'!I19*Coefficient!$B$4</f>
        <v>21.520623606679184</v>
      </c>
      <c r="J49" s="4">
        <f>'Ridership Phase 3W'!J48*'Distances Phase 3W'!J19*Coefficient!$B$4</f>
        <v>3.7633612157514298</v>
      </c>
    </row>
    <row r="50" spans="1:10" x14ac:dyDescent="0.25">
      <c r="A50" t="s">
        <v>3</v>
      </c>
      <c r="B50" s="4"/>
      <c r="C50" s="4"/>
      <c r="D50" s="4"/>
      <c r="E50" s="4"/>
      <c r="F50" s="4">
        <f>'Ridership Phase 3W'!F49*'Distances Phase 3W'!F20*Coefficient!$B$4</f>
        <v>12.949144555083192</v>
      </c>
      <c r="G50" s="4">
        <f>'Ridership Phase 3W'!G49*'Distances Phase 3W'!G20*Coefficient!$B$4</f>
        <v>1.7400410003348346</v>
      </c>
      <c r="H50" s="4">
        <f>'Ridership Phase 3W'!H49*'Distances Phase 3W'!H20*Coefficient!$B$4</f>
        <v>15.40702544506442</v>
      </c>
      <c r="I50" s="4">
        <f>'Ridership Phase 3W'!I49*'Distances Phase 3W'!I20*Coefficient!$B$4</f>
        <v>27.10770952408393</v>
      </c>
      <c r="J50" s="4">
        <f>'Ridership Phase 3W'!J49*'Distances Phase 3W'!J20*Coefficient!$B$4</f>
        <v>4.6066071836388316</v>
      </c>
    </row>
    <row r="51" spans="1:10" x14ac:dyDescent="0.25">
      <c r="A51" t="s">
        <v>38</v>
      </c>
      <c r="B51" s="4"/>
      <c r="C51" s="4"/>
      <c r="D51" s="4"/>
      <c r="E51" s="4"/>
      <c r="F51" s="4"/>
      <c r="G51" s="4">
        <f>'Ridership Phase 3W'!G50*'Distances Phase 3W'!G22*Coefficient!$B$4</f>
        <v>1.032743245022592</v>
      </c>
      <c r="H51" s="4">
        <f>'Ridership Phase 3W'!H50*'Distances Phase 3W'!H22*Coefficient!$B$4</f>
        <v>24.549227044501595</v>
      </c>
      <c r="I51" s="4">
        <f>'Ridership Phase 3W'!I50*'Distances Phase 3W'!I22*Coefficient!$B$4</f>
        <v>44.962103694670809</v>
      </c>
      <c r="J51" s="4">
        <f>'Ridership Phase 3W'!J50*'Distances Phase 3W'!J22*Coefficient!$B$4</f>
        <v>7.8830245828064571</v>
      </c>
    </row>
    <row r="52" spans="1:10" x14ac:dyDescent="0.25">
      <c r="A52" t="s">
        <v>0</v>
      </c>
      <c r="B52" s="4"/>
      <c r="C52" s="4"/>
      <c r="D52" s="4"/>
      <c r="E52" s="4"/>
      <c r="F52" s="4"/>
      <c r="G52" s="4">
        <f>'Ridership Phase 3W'!G51*'Distances Phase 3W'!G22*Coefficient!$B$4</f>
        <v>4.7110678139050206</v>
      </c>
      <c r="H52" s="4">
        <f>'Ridership Phase 3W'!H51*'Distances Phase 3W'!H22*Coefficient!$B$4</f>
        <v>116.51052488631298</v>
      </c>
      <c r="I52" s="4">
        <f>'Ridership Phase 3W'!I51*'Distances Phase 3W'!I22*Coefficient!$B$4</f>
        <v>267.33280659499684</v>
      </c>
      <c r="J52" s="4">
        <f>'Ridership Phase 3W'!J51*'Distances Phase 3W'!J22*Coefficient!$B$4</f>
        <v>43.329942386401591</v>
      </c>
    </row>
    <row r="53" spans="1:10" x14ac:dyDescent="0.25">
      <c r="A53" t="s">
        <v>1</v>
      </c>
      <c r="B53" s="4"/>
      <c r="C53" s="4"/>
      <c r="D53" s="4"/>
      <c r="E53" s="4"/>
      <c r="F53" s="4"/>
      <c r="G53" s="4"/>
      <c r="H53" s="4">
        <f>'Ridership Phase 3W'!H52*'Distances Phase 3W'!H23*Coefficient!$B$4</f>
        <v>9.3580098919323831</v>
      </c>
      <c r="I53" s="4">
        <f>'Ridership Phase 3W'!I52*'Distances Phase 3W'!I23*Coefficient!$B$4</f>
        <v>26.547083889891578</v>
      </c>
      <c r="J53" s="4">
        <f>'Ridership Phase 3W'!J52*'Distances Phase 3W'!J23*Coefficient!$B$4</f>
        <v>4.1847499734294322</v>
      </c>
    </row>
    <row r="54" spans="1:10" x14ac:dyDescent="0.25">
      <c r="A54" t="s">
        <v>6</v>
      </c>
      <c r="B54" s="4"/>
      <c r="C54" s="4"/>
      <c r="D54" s="4"/>
      <c r="E54" s="4"/>
      <c r="F54" s="4"/>
      <c r="G54" s="4"/>
      <c r="H54" s="4"/>
      <c r="I54" s="4">
        <f>'Ridership Phase 3W'!I53*'Distances Phase 3W'!I24*Coefficient!$B$4</f>
        <v>29.737498217606838</v>
      </c>
      <c r="J54" s="4">
        <f>'Ridership Phase 3W'!J53*'Distances Phase 3W'!J24*Coefficient!$B$4</f>
        <v>17.771752127533066</v>
      </c>
    </row>
    <row r="55" spans="1:10" x14ac:dyDescent="0.25">
      <c r="A55" t="s">
        <v>7</v>
      </c>
      <c r="B55" s="4"/>
      <c r="C55" s="4"/>
      <c r="D55" s="4"/>
      <c r="E55" s="4"/>
      <c r="F55" s="4"/>
      <c r="G55" s="4"/>
      <c r="H55" s="4"/>
      <c r="I55" s="4"/>
      <c r="J55" s="4">
        <f>'Ridership Phase 3W'!J54*'Distances Phase 3W'!J25*Coefficient!$B$4</f>
        <v>25.236043728818089</v>
      </c>
    </row>
    <row r="57" spans="1:10" x14ac:dyDescent="0.25">
      <c r="A57" t="s">
        <v>26</v>
      </c>
      <c r="B57" s="6">
        <f>SUM(B32:J55)</f>
        <v>1021.7027538077351</v>
      </c>
      <c r="D57" t="s">
        <v>36</v>
      </c>
      <c r="E57" s="6">
        <f>B57-SUM('Phase 2 Summary'!B15:I23)</f>
        <v>89.790432707062337</v>
      </c>
    </row>
    <row r="59" spans="1:10" x14ac:dyDescent="0.25">
      <c r="A59" s="4" t="s">
        <v>30</v>
      </c>
      <c r="B59" s="4">
        <f>'Construction Costs'!C2</f>
        <v>2600</v>
      </c>
    </row>
    <row r="61" spans="1:10" x14ac:dyDescent="0.25">
      <c r="B61" s="4" t="s">
        <v>28</v>
      </c>
      <c r="C61" t="s">
        <v>29</v>
      </c>
    </row>
    <row r="62" spans="1:10" x14ac:dyDescent="0.25">
      <c r="A62">
        <v>2041</v>
      </c>
      <c r="B62" s="7">
        <f>E57/B59</f>
        <v>3.4534781810408588E-2</v>
      </c>
      <c r="C62" s="8">
        <f>1/B62</f>
        <v>28.956314404702731</v>
      </c>
    </row>
  </sheetData>
  <conditionalFormatting sqref="B3:J26 B32:J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41C8-B8D6-4710-A48A-79CF7104A545}">
  <dimension ref="A1:J53"/>
  <sheetViews>
    <sheetView topLeftCell="A46" workbookViewId="0">
      <selection activeCell="K12" sqref="K12"/>
    </sheetView>
  </sheetViews>
  <sheetFormatPr defaultRowHeight="15" x14ac:dyDescent="0.25"/>
  <sheetData>
    <row r="1" spans="1:10" x14ac:dyDescent="0.25">
      <c r="A1" t="s">
        <v>46</v>
      </c>
      <c r="B1" t="s">
        <v>5</v>
      </c>
      <c r="C1" t="s">
        <v>4</v>
      </c>
      <c r="D1" t="s">
        <v>38</v>
      </c>
      <c r="E1" t="s">
        <v>3</v>
      </c>
      <c r="F1" t="s">
        <v>0</v>
      </c>
      <c r="G1" t="s">
        <v>1</v>
      </c>
      <c r="H1" t="s">
        <v>6</v>
      </c>
      <c r="I1" t="s">
        <v>7</v>
      </c>
      <c r="J1" t="s">
        <v>8</v>
      </c>
    </row>
    <row r="2" spans="1:10" x14ac:dyDescent="0.25">
      <c r="A2" t="s">
        <v>11</v>
      </c>
      <c r="B2" s="2">
        <f>'Ridership Phase 3W'!B31</f>
        <v>0.36149838727664652</v>
      </c>
      <c r="C2" s="2">
        <f>'Ridership Phase 3W'!C31</f>
        <v>0.25932472085400055</v>
      </c>
      <c r="D2" s="2">
        <f>'Ridership Phase 3W'!D31</f>
        <v>0.25995680370532998</v>
      </c>
      <c r="E2" s="2">
        <f>'Ridership Phase 3W'!E31</f>
        <v>0.23138580783645929</v>
      </c>
      <c r="F2" s="2">
        <f>'Ridership Phase 3W'!F31</f>
        <v>1.4765313233600472</v>
      </c>
      <c r="G2" s="2">
        <f>'Ridership Phase 3W'!G31</f>
        <v>0.11940097346962826</v>
      </c>
      <c r="H2" s="2">
        <f>'Ridership Phase 3W'!H31</f>
        <v>0.16964245440597747</v>
      </c>
      <c r="I2" s="2">
        <f>'Ridership Phase 3W'!I31</f>
        <v>0.15952832956957336</v>
      </c>
      <c r="J2" s="2">
        <f>'Ridership Phase 3W'!J31</f>
        <v>2.646945218545705E-2</v>
      </c>
    </row>
    <row r="3" spans="1:10" x14ac:dyDescent="0.25">
      <c r="A3" t="s">
        <v>10</v>
      </c>
      <c r="B3" s="2">
        <f>'Ridership Phase 3W'!B32</f>
        <v>0.17916315328042157</v>
      </c>
      <c r="C3" s="2">
        <f>'Ridership Phase 3M'!C32</f>
        <v>0.20729732326374742</v>
      </c>
      <c r="D3" s="2">
        <f>'Ridership Phase 3M'!D32</f>
        <v>0.43146512842263968</v>
      </c>
      <c r="E3" s="2">
        <f>'Ridership Phase 3M'!E32</f>
        <v>0.23450447030542151</v>
      </c>
      <c r="F3" s="2">
        <f>'Ridership Phase 3M'!F32</f>
        <v>1.9682157100817717</v>
      </c>
      <c r="G3" s="2">
        <f>'Ridership Phase 3M'!G32</f>
        <v>0.17916315328042157</v>
      </c>
      <c r="H3" s="2">
        <f>'Ridership Phase 3M'!H32</f>
        <v>0.20881485974804731</v>
      </c>
      <c r="I3" s="2">
        <f>'Ridership Phase 3M'!I32</f>
        <v>0.17119939006140134</v>
      </c>
      <c r="J3" s="2">
        <f>'Ridership Phase 3M'!J32</f>
        <v>2.4565566318016253E-2</v>
      </c>
    </row>
    <row r="4" spans="1:10" x14ac:dyDescent="0.25">
      <c r="A4" t="s">
        <v>40</v>
      </c>
      <c r="B4" s="2">
        <f>'Ridership Phase 3W'!B33</f>
        <v>0.12207534027068821</v>
      </c>
      <c r="C4" s="2">
        <f>'Ridership Phase 3W'!$C$33</f>
        <v>0.14124495361508116</v>
      </c>
      <c r="D4" s="2">
        <f>'Ridership Phase 3N'!D33</f>
        <v>0.29398484790391155</v>
      </c>
      <c r="E4" s="2">
        <f>'Ridership Phase 3W'!E33</f>
        <v>0.14220623603534696</v>
      </c>
      <c r="F4" s="2">
        <f>'Ridership Phase 3N'!F33</f>
        <v>1.3410715213204645</v>
      </c>
      <c r="G4" s="2">
        <f>'Ridership Phase 3N'!G33</f>
        <v>0.11286551430352092</v>
      </c>
      <c r="H4" s="2">
        <f>'Ridership Phase 3N'!H33</f>
        <v>0.11085333385861781</v>
      </c>
      <c r="I4" s="2">
        <f>'Ridership Phase 3M'!I33</f>
        <v>9.0595754755073948E-2</v>
      </c>
      <c r="J4" s="2">
        <f>'Ridership Phase 3M'!J33</f>
        <v>1.3701705825444581E-2</v>
      </c>
    </row>
    <row r="5" spans="1:10" x14ac:dyDescent="0.25">
      <c r="A5" t="s">
        <v>41</v>
      </c>
      <c r="B5" s="2">
        <f>'Ridership Phase 3W'!B34</f>
        <v>3.7772024736842422E-2</v>
      </c>
      <c r="C5" s="2">
        <f>'Ridership Phase 3W'!C34</f>
        <v>4.3703403734718323E-2</v>
      </c>
      <c r="D5" s="2">
        <f>'Ridership Phase 3W'!D34</f>
        <v>7.3828035373993101E-2</v>
      </c>
      <c r="E5" s="2">
        <f>'Ridership Phase 3W'!E34</f>
        <v>4.9439343364383943E-2</v>
      </c>
      <c r="F5" s="2">
        <f>'Ridership Phase 3W'!F34</f>
        <v>0.41494856016677745</v>
      </c>
      <c r="G5" s="2">
        <f>'Ridership Phase 3W'!G34</f>
        <v>3.6305290981201867E-2</v>
      </c>
      <c r="H5" s="2">
        <f>'Ridership Phase 3W'!H34</f>
        <v>3.5079275079639448E-2</v>
      </c>
      <c r="I5" s="2">
        <f>'Ridership Phase 3W'!I34</f>
        <v>2.9913461910616907E-2</v>
      </c>
      <c r="J5" s="2">
        <f>'Ridership Phase 3W'!J34</f>
        <v>4.4655913897109429E-3</v>
      </c>
    </row>
    <row r="6" spans="1:10" x14ac:dyDescent="0.25">
      <c r="A6" t="s">
        <v>68</v>
      </c>
      <c r="B6" s="2">
        <f>'Ridership Phase 3W'!B35</f>
        <v>0.1106704138383702</v>
      </c>
      <c r="C6" s="2">
        <f>'Ridership Phase 3W'!C35</f>
        <v>7.3490071238171611E-2</v>
      </c>
      <c r="D6" s="2">
        <f>'Ridership Phase 3N'!D35</f>
        <v>0.18820649850702142</v>
      </c>
      <c r="E6" s="2">
        <f>'Ridership Phase 3W'!E35</f>
        <v>6.6131828633444398E-2</v>
      </c>
      <c r="F6" s="2">
        <f>'Ridership Phase 3N'!F35</f>
        <v>0.65732131246860337</v>
      </c>
      <c r="G6" s="2">
        <f>'Ridership Phase 3N'!G35</f>
        <v>5.1918940625994656E-2</v>
      </c>
      <c r="H6" s="2">
        <f>'Ridership Phase 3N'!H35</f>
        <v>6.5928601564486849E-2</v>
      </c>
      <c r="I6" s="2">
        <f>'Ridership Phase 3M'!I35</f>
        <v>5.7825400967997619E-2</v>
      </c>
      <c r="J6" s="2">
        <f>'Ridership Phase 3M'!J35</f>
        <v>9.3300165894518103E-3</v>
      </c>
    </row>
    <row r="7" spans="1:10" x14ac:dyDescent="0.25">
      <c r="A7" t="s">
        <v>69</v>
      </c>
      <c r="B7" s="2">
        <f>'Ridership Phase 3W'!B36</f>
        <v>0.1106704138383702</v>
      </c>
      <c r="C7" s="2">
        <f>'Ridership Phase 3W'!C36</f>
        <v>7.8154968338250863E-2</v>
      </c>
      <c r="D7" s="2">
        <f>'Ridership Phase 3N'!D36</f>
        <v>0.20152682233330285</v>
      </c>
      <c r="E7" s="2">
        <f>'Ridership Phase 3W'!E36</f>
        <v>6.98568467586307E-2</v>
      </c>
      <c r="F7" s="2">
        <f>'Ridership Phase 3N'!F36</f>
        <v>0.69776256860762664</v>
      </c>
      <c r="G7" s="2">
        <f>'Ridership Phase 3N'!G36</f>
        <v>5.4885148699846363E-2</v>
      </c>
      <c r="H7" s="2">
        <f>'Ridership Phase 3N'!H36</f>
        <v>6.8381550447261616E-2</v>
      </c>
      <c r="I7" s="2">
        <f>'Ridership Phase 3M'!I36</f>
        <v>7.4463594316464377E-2</v>
      </c>
      <c r="J7" s="2">
        <f>'Ridership Phase 3M'!J36</f>
        <v>1.4463136372828131E-2</v>
      </c>
    </row>
    <row r="8" spans="1:10" x14ac:dyDescent="0.25">
      <c r="A8" t="s">
        <v>71</v>
      </c>
      <c r="B8" s="2">
        <f>'Ridership Phase 3W'!B37</f>
        <v>4.3736050511034109E-2</v>
      </c>
      <c r="C8" s="2">
        <f>'Ridership Phase 3N'!C37</f>
        <v>6.5764914822986645E-2</v>
      </c>
      <c r="D8" s="2">
        <f>'Ridership Phase 3N'!D37</f>
        <v>0.13688197692597129</v>
      </c>
      <c r="E8" s="2">
        <f>'Ridership Phase 3N'!E37</f>
        <v>7.4396361093499494E-2</v>
      </c>
      <c r="F8" s="2">
        <f>'Ridership Phase 3N'!F37</f>
        <v>0.62441490555140478</v>
      </c>
      <c r="G8" s="2">
        <f>'Ridership Phase 3N'!G37</f>
        <v>5.6839371244139923E-2</v>
      </c>
      <c r="H8" s="2">
        <f>'Ridership Phase 3N'!H37</f>
        <v>0.11484541206099048</v>
      </c>
      <c r="I8" s="2">
        <f>'Ridership Phase 3M'!I37</f>
        <v>7.902735260806823E-2</v>
      </c>
      <c r="J8" s="2">
        <f>'Ridership Phase 3M'!J37</f>
        <v>1.0382303208540786E-2</v>
      </c>
    </row>
    <row r="9" spans="1:10" x14ac:dyDescent="0.25">
      <c r="A9" t="s">
        <v>72</v>
      </c>
      <c r="B9" s="2">
        <f>'Ridership Phase 3W'!B38</f>
        <v>3.1654806885798581E-2</v>
      </c>
      <c r="C9" s="2">
        <f>'Ridership Phase 3N'!C38</f>
        <v>6.5764914822986645E-2</v>
      </c>
      <c r="D9" s="2">
        <f>'Ridership Phase 3N'!D38</f>
        <v>0.13688197692597129</v>
      </c>
      <c r="E9" s="2">
        <f>'Ridership Phase 3N'!E38</f>
        <v>7.4396361093499494E-2</v>
      </c>
      <c r="F9" s="2">
        <f>'Ridership Phase 3N'!F38</f>
        <v>0.62441490555140478</v>
      </c>
      <c r="G9" s="2">
        <f>'Ridership Phase 3N'!G38</f>
        <v>5.6839371244139923E-2</v>
      </c>
      <c r="H9" s="2">
        <f>'Ridership Phase 3N'!H38</f>
        <v>8.4376221106033822E-2</v>
      </c>
      <c r="I9" s="2">
        <f>'Ridership Phase 3M'!I38</f>
        <v>0.10321939932482382</v>
      </c>
      <c r="J9" s="2">
        <f>'Ridership Phase 3M'!J38</f>
        <v>1.2633328667720637E-2</v>
      </c>
    </row>
    <row r="10" spans="1:10" x14ac:dyDescent="0.25">
      <c r="A10" t="s">
        <v>73</v>
      </c>
      <c r="B10" s="2">
        <f>'Ridership Phase 3W'!B39</f>
        <v>2.0408134478042541E-2</v>
      </c>
      <c r="C10" s="2">
        <f>'Ridership Phase 3N'!C39</f>
        <v>4.1978389940066529E-2</v>
      </c>
      <c r="D10" s="2">
        <f>'Ridership Phase 3N'!D39</f>
        <v>0.1258172754702081</v>
      </c>
      <c r="E10" s="2">
        <f>'Ridership Phase 3N'!E39</f>
        <v>6.5727234219665656E-2</v>
      </c>
      <c r="F10" s="2">
        <f>'Ridership Phase 3N'!F39</f>
        <v>0.57394102528160584</v>
      </c>
      <c r="G10" s="2">
        <f>'Ridership Phase 3N'!G39</f>
        <v>5.2244824263788903E-2</v>
      </c>
      <c r="H10" s="2"/>
      <c r="I10" s="2">
        <f>'Ridership Phase 3M'!I39</f>
        <v>0.14308750257475969</v>
      </c>
      <c r="J10" s="2">
        <f>'Ridership Phase 3M'!J39</f>
        <v>1.5484482615759049E-2</v>
      </c>
    </row>
    <row r="11" spans="1:10" x14ac:dyDescent="0.25">
      <c r="A11" t="s">
        <v>75</v>
      </c>
      <c r="B11" s="2">
        <f>'Ridership Phase 3W'!B40</f>
        <v>1.2554023515904678E-2</v>
      </c>
      <c r="C11" s="2">
        <f>'Ridership Phase 3N'!C40</f>
        <v>2.2475045179095706E-2</v>
      </c>
      <c r="D11" s="2">
        <f>'Ridership Phase 3N'!D40</f>
        <v>0.10786803452521271</v>
      </c>
      <c r="E11" s="2">
        <f>'Ridership Phase 3N'!E40</f>
        <v>3.2080415876402778E-2</v>
      </c>
      <c r="F11" s="2">
        <f>'Ridership Phase 3N'!F40</f>
        <v>0.36732225618022779</v>
      </c>
      <c r="G11" s="2">
        <f>'Ridership Phase 3N'!G40</f>
        <v>2.8666570240762086E-2</v>
      </c>
      <c r="H11" s="2">
        <f>'Ridership Phase 3M'!H40</f>
        <v>0.13787691320254053</v>
      </c>
      <c r="I11" s="2">
        <f>'Ridership Phase 3M'!I40</f>
        <v>0.18595651834615767</v>
      </c>
      <c r="J11" s="2">
        <f>'Ridership Phase 3M'!J40</f>
        <v>2.8423129380019733E-2</v>
      </c>
    </row>
    <row r="12" spans="1:10" x14ac:dyDescent="0.25">
      <c r="A12" t="s">
        <v>76</v>
      </c>
      <c r="B12" s="2">
        <f>'Ridership Phase 3W'!B41</f>
        <v>4.8051226237717105E-2</v>
      </c>
      <c r="C12" s="2">
        <f>'Ridership Phase 3N'!C41</f>
        <v>7.8094761017379721E-2</v>
      </c>
      <c r="D12" s="2">
        <f>'Ridership Phase 3N'!D41</f>
        <v>0.29623846191021469</v>
      </c>
      <c r="E12" s="2">
        <f>'Ridership Phase 3N'!E41</f>
        <v>0.10513721136693006</v>
      </c>
      <c r="F12" s="2">
        <f>'Ridership Phase 3N'!F41</f>
        <v>1.10423591792571</v>
      </c>
      <c r="G12" s="2">
        <f>'Ridership Phase 3N'!G41</f>
        <v>9.0053623572736663E-2</v>
      </c>
      <c r="H12" s="2">
        <f>'Ridership Phase 3M'!H41</f>
        <v>0.37171661888209462</v>
      </c>
      <c r="I12" s="2">
        <f>'Ridership Phase 3M'!I41</f>
        <v>0.75306571874748751</v>
      </c>
      <c r="J12" s="2">
        <f>'Ridership Phase 3M'!J41</f>
        <v>8.5041528941455558E-2</v>
      </c>
    </row>
    <row r="13" spans="1:10" x14ac:dyDescent="0.25">
      <c r="A13" t="s">
        <v>78</v>
      </c>
      <c r="B13" s="2">
        <f>'Ridership Phase 3W'!B42</f>
        <v>0.1559554597612747</v>
      </c>
      <c r="C13" s="2">
        <f>'Ridership Phase 3N'!C42</f>
        <v>0.1821845240915298</v>
      </c>
      <c r="D13" s="2">
        <f>'Ridership Phase 3N'!D42</f>
        <v>0.71007297419014936</v>
      </c>
      <c r="E13" s="2">
        <f>'Ridership Phase 3N'!E42</f>
        <v>0.24699512535722257</v>
      </c>
      <c r="F13" s="2">
        <f>'Ridership Phase 3N'!F42</f>
        <v>2.620256113071691</v>
      </c>
      <c r="G13" s="2">
        <f>'Ridership Phase 3N'!G42</f>
        <v>0.21261166748329455</v>
      </c>
      <c r="H13" s="2">
        <f>'Ridership Phase 3M'!H42</f>
        <v>0.89278625627944808</v>
      </c>
      <c r="I13" s="2">
        <f>'Ridership Phase 3M'!I42</f>
        <v>1.8657419932005344</v>
      </c>
      <c r="J13" s="2">
        <f>'Ridership Phase 3M'!J42</f>
        <v>0.20190477113199296</v>
      </c>
    </row>
    <row r="14" spans="1:10" x14ac:dyDescent="0.25">
      <c r="A14" t="s">
        <v>80</v>
      </c>
      <c r="B14" s="2">
        <f>'Ridership Phase 3W'!B43</f>
        <v>7.4813320139124284E-2</v>
      </c>
      <c r="C14" s="2">
        <f>'Ridership Phase 3W'!C43</f>
        <v>0.19264025310113547</v>
      </c>
      <c r="D14" s="2">
        <f>'Ridership Phase 3N'!D43</f>
        <v>0.18625701840469819</v>
      </c>
      <c r="E14" s="2">
        <f>'Ridership Phase 3N'!E43</f>
        <v>6.888182824432279E-2</v>
      </c>
      <c r="F14" s="2">
        <f>'Ridership Phase 3N'!F43</f>
        <v>0.70865288334380017</v>
      </c>
      <c r="G14" s="2">
        <f>'Ridership Phase 3N'!G43</f>
        <v>5.8396559908765029E-2</v>
      </c>
      <c r="H14" s="2">
        <f>'Ridership Phase 3M'!H43</f>
        <v>0.23276798462603476</v>
      </c>
      <c r="I14" s="2">
        <f>'Ridership Phase 3M'!I43</f>
        <v>0.44366136700628361</v>
      </c>
      <c r="J14" s="2">
        <f>'Ridership Phase 3M'!J43</f>
        <v>5.4516061344838239E-2</v>
      </c>
    </row>
    <row r="15" spans="1:10" x14ac:dyDescent="0.25">
      <c r="A15" t="s">
        <v>81</v>
      </c>
      <c r="B15" s="2">
        <f>'Ridership Phase 3W'!B44</f>
        <v>4.5735566482666072E-2</v>
      </c>
      <c r="C15" s="2">
        <f>'Ridership Phase 3W'!C44</f>
        <v>0.12403218051695396</v>
      </c>
      <c r="D15" s="2">
        <f>'Ridership Phase 3N'!D44</f>
        <v>8.6691007443299467E-2</v>
      </c>
      <c r="E15" s="2">
        <f>'Ridership Phase 3N'!E44</f>
        <v>3.5706942219471766E-2</v>
      </c>
      <c r="F15" s="2">
        <f>'Ridership Phase 3N'!F44</f>
        <v>0.33457889582727507</v>
      </c>
      <c r="G15" s="2">
        <f>'Ridership Phase 3N'!G44</f>
        <v>2.7774120794978346E-2</v>
      </c>
      <c r="H15" s="2">
        <f>'Ridership Phase 3M'!H44</f>
        <v>9.2946374733546805E-2</v>
      </c>
      <c r="I15" s="2">
        <f>'Ridership Phase 3M'!I44</f>
        <v>0.16468631378096824</v>
      </c>
      <c r="J15" s="2">
        <f>'Ridership Phase 3M'!J44</f>
        <v>2.2418233081788953E-2</v>
      </c>
    </row>
    <row r="16" spans="1:10" x14ac:dyDescent="0.25">
      <c r="A16" t="s">
        <v>70</v>
      </c>
      <c r="B16" s="2">
        <f>'Ridership Phase 3W'!B45</f>
        <v>8.4131122251457066E-2</v>
      </c>
      <c r="C16" s="2">
        <f>'Ridership Phase 3W'!C45</f>
        <v>0.25191234755202246</v>
      </c>
      <c r="D16" s="2">
        <f>'Ridership Phase 3N'!D45</f>
        <v>0.14725758540278042</v>
      </c>
      <c r="E16" s="2">
        <f>'Ridership Phase 3N'!E45</f>
        <v>7.5111516562170161E-2</v>
      </c>
      <c r="F16" s="2">
        <f>'Ridership Phase 3N'!F45</f>
        <v>0.63041726544994003</v>
      </c>
      <c r="G16" s="2">
        <f>'Ridership Phase 3N'!G45</f>
        <v>5.8424390452400742E-2</v>
      </c>
      <c r="H16" s="2">
        <f>'Ridership Phase 3M'!H45</f>
        <v>0.17467823159367332</v>
      </c>
      <c r="I16" s="2">
        <f>'Ridership Phase 3M'!I45</f>
        <v>0.30271408348819973</v>
      </c>
      <c r="J16" s="2">
        <f>'Ridership Phase 3M'!J45</f>
        <v>4.2522443662909006E-2</v>
      </c>
    </row>
    <row r="17" spans="1:10" x14ac:dyDescent="0.25">
      <c r="A17" t="s">
        <v>90</v>
      </c>
      <c r="B17" s="2">
        <f>'Ridership Phase 3W'!B46</f>
        <v>1.6565950939363371E-2</v>
      </c>
      <c r="C17" s="2">
        <f>'Ridership Phase 3W'!C46</f>
        <v>4.3703403734718323E-2</v>
      </c>
      <c r="D17" s="2">
        <f>'Ridership Phase 3N'!D46</f>
        <v>3.0393104475357313E-2</v>
      </c>
      <c r="E17" s="2">
        <f>'Ridership Phase 3N'!E46</f>
        <v>1.2116298246344463E-2</v>
      </c>
      <c r="F17" s="2">
        <f>'Ridership Phase 3N'!F46</f>
        <v>0.11494419949218213</v>
      </c>
      <c r="G17" s="2">
        <f>'Ridership Phase 3N'!G46</f>
        <v>9.4430061842106054E-3</v>
      </c>
      <c r="H17" s="2">
        <f>'Ridership Phase 3M'!H46</f>
        <v>2.8032818308591577E-2</v>
      </c>
      <c r="I17" s="2">
        <f>'Ridership Phase 3M'!I46</f>
        <v>4.5444518392062136E-2</v>
      </c>
      <c r="J17" s="2">
        <f>'Ridership Phase 3M'!J46</f>
        <v>8.3094644147373425E-3</v>
      </c>
    </row>
    <row r="18" spans="1:10" x14ac:dyDescent="0.25">
      <c r="A18" t="s">
        <v>5</v>
      </c>
      <c r="C18" s="2">
        <f>'Phase 2 Summary'!B3</f>
        <v>0.11450336728854525</v>
      </c>
      <c r="D18" s="2">
        <f>'Phase 2 Summary'!C3</f>
        <v>0.23832536423598277</v>
      </c>
      <c r="E18" s="2">
        <f>'Phase 2 Summary'!D3</f>
        <v>0.12953158811425566</v>
      </c>
      <c r="F18" s="2">
        <f>'Phase 2 Summary'!E3</f>
        <v>1.0871694955165432</v>
      </c>
      <c r="G18" s="2">
        <f>'Phase 2 Summary'!F3</f>
        <v>9.8963093307967084E-2</v>
      </c>
      <c r="H18" s="2">
        <f>'Phase 2 Summary'!G3</f>
        <v>0.11681559734902502</v>
      </c>
      <c r="I18" s="2">
        <f>'Phase 2 Summary'!H3</f>
        <v>0.18280368764323379</v>
      </c>
      <c r="J18" s="2">
        <f>'Phase 2 Summary'!I3</f>
        <v>2.6171044236581814E-2</v>
      </c>
    </row>
    <row r="19" spans="1:10" x14ac:dyDescent="0.25">
      <c r="A19" t="s">
        <v>4</v>
      </c>
      <c r="C19" s="2"/>
      <c r="D19" s="2"/>
      <c r="E19" s="2">
        <f>'Phase 2 Summary'!D4</f>
        <v>0.14987206354958535</v>
      </c>
      <c r="F19" s="2">
        <f>'Phase 2 Summary'!E4</f>
        <v>1.2578888137888429</v>
      </c>
      <c r="G19" s="2">
        <f>'Phase 2 Summary'!F4</f>
        <v>0.11450336728854525</v>
      </c>
      <c r="H19" s="2">
        <f>'Phase 2 Summary'!G4</f>
        <v>0.22383370037459668</v>
      </c>
      <c r="I19" s="2">
        <f>'Phase 2 Summary'!H4</f>
        <v>0.31632469779538241</v>
      </c>
      <c r="J19" s="2">
        <f>'Phase 2 Summary'!I4</f>
        <v>4.1159619567095476E-2</v>
      </c>
    </row>
    <row r="20" spans="1:10" x14ac:dyDescent="0.25">
      <c r="A20" t="s">
        <v>3</v>
      </c>
      <c r="C20" s="2"/>
      <c r="D20" s="2"/>
      <c r="E20" s="2"/>
      <c r="F20" s="2">
        <f>'Phase 2 Summary'!E5</f>
        <v>1.4229829181410101</v>
      </c>
      <c r="G20" s="2">
        <f>'Phase 2 Summary'!F5</f>
        <v>0.12953158811425566</v>
      </c>
      <c r="H20" s="2">
        <f>'Phase 2 Summary'!G5</f>
        <v>0.33542145381127181</v>
      </c>
      <c r="I20" s="2">
        <f>'Phase 2 Summary'!H5</f>
        <v>0.44366136700628361</v>
      </c>
      <c r="J20" s="2">
        <f>'Phase 2 Summary'!I5</f>
        <v>5.4516061344838239E-2</v>
      </c>
    </row>
    <row r="21" spans="1:10" x14ac:dyDescent="0.25">
      <c r="A21" t="s">
        <v>38</v>
      </c>
      <c r="C21" s="2"/>
      <c r="D21" s="2"/>
      <c r="E21" s="2"/>
      <c r="F21" s="2"/>
      <c r="G21" s="2">
        <f>'Phase 2 Summary'!F6</f>
        <v>0.23832536423598277</v>
      </c>
      <c r="H21" s="2">
        <f>'Phase 2 Summary'!G6</f>
        <v>0.66649485188692115</v>
      </c>
      <c r="I21" s="2">
        <f>'Phase 2 Summary'!H6</f>
        <v>0.86465584028213094</v>
      </c>
      <c r="J21" s="2">
        <f>'Phase 2 Summary'!I6</f>
        <v>0.10454939764995301</v>
      </c>
    </row>
    <row r="22" spans="1:10" x14ac:dyDescent="0.25">
      <c r="A22" t="s">
        <v>0</v>
      </c>
      <c r="C22" s="2"/>
      <c r="D22" s="2"/>
      <c r="E22" s="2"/>
      <c r="F22" s="2"/>
      <c r="G22" s="2">
        <f>'Phase 2 Summary'!F7</f>
        <v>1.0871694955165432</v>
      </c>
      <c r="H22" s="2">
        <f>'Phase 2 Summary'!G7</f>
        <v>3.163181671121619</v>
      </c>
      <c r="I22" s="2">
        <f>'Phase 2 Summary'!H7</f>
        <v>5.1410155114422471</v>
      </c>
      <c r="J22" s="2">
        <f>'Phase 2 Summary'!I7</f>
        <v>0.57466767090718285</v>
      </c>
    </row>
    <row r="23" spans="1:10" x14ac:dyDescent="0.25">
      <c r="A23" t="s">
        <v>1</v>
      </c>
      <c r="C23" s="2"/>
      <c r="D23" s="2"/>
      <c r="E23" s="2"/>
      <c r="F23" s="2"/>
      <c r="G23" s="2"/>
      <c r="H23" s="2">
        <f>'Phase 2 Summary'!G8</f>
        <v>0.28793876590561179</v>
      </c>
      <c r="I23" s="2">
        <f>'Phase 2 Summary'!H8</f>
        <v>0.55693182985786527</v>
      </c>
      <c r="J23" s="2">
        <f>'Phase 2 Summary'!I8</f>
        <v>5.8884849532309082E-2</v>
      </c>
    </row>
    <row r="24" spans="1:10" x14ac:dyDescent="0.25">
      <c r="A24" t="s">
        <v>6</v>
      </c>
      <c r="C24" s="2"/>
      <c r="D24" s="2"/>
      <c r="E24" s="2"/>
      <c r="F24" s="2"/>
      <c r="G24" s="2"/>
      <c r="H24" s="2"/>
      <c r="I24" s="2">
        <f>'Phase 2 Summary'!H9</f>
        <v>1.9607141681938574</v>
      </c>
      <c r="J24" s="2">
        <f>'Phase 2 Summary'!I9</f>
        <v>0.46080601886429728</v>
      </c>
    </row>
    <row r="25" spans="1:10" x14ac:dyDescent="0.25">
      <c r="A25" t="s">
        <v>7</v>
      </c>
      <c r="C25" s="2"/>
      <c r="D25" s="2"/>
      <c r="E25" s="2"/>
      <c r="F25" s="2"/>
      <c r="G25" s="2"/>
      <c r="H25" s="2"/>
      <c r="I25" s="2"/>
      <c r="J25" s="2">
        <f>'Phase 2 Summary'!I10</f>
        <v>1.0784634072144481</v>
      </c>
    </row>
    <row r="29" spans="1:10" x14ac:dyDescent="0.25">
      <c r="A29" t="s">
        <v>46</v>
      </c>
      <c r="B29" t="s">
        <v>5</v>
      </c>
      <c r="C29" t="s">
        <v>4</v>
      </c>
      <c r="D29" t="s">
        <v>38</v>
      </c>
      <c r="E29" t="s">
        <v>3</v>
      </c>
      <c r="F29" t="s">
        <v>0</v>
      </c>
      <c r="G29" t="s">
        <v>1</v>
      </c>
      <c r="H29" t="s">
        <v>6</v>
      </c>
      <c r="I29" t="s">
        <v>7</v>
      </c>
      <c r="J29" t="s">
        <v>8</v>
      </c>
    </row>
    <row r="30" spans="1:10" x14ac:dyDescent="0.25">
      <c r="A30" t="s">
        <v>11</v>
      </c>
      <c r="B30" s="4">
        <f>'Profit Phase 3W'!B32</f>
        <v>0.15664930115321349</v>
      </c>
      <c r="C30" s="4">
        <f>'Profit Phase 3W'!C32</f>
        <v>4.045465645322408</v>
      </c>
      <c r="D30" s="4">
        <f>'Profit Phase 3W'!D32</f>
        <v>4.0553261378031484</v>
      </c>
      <c r="E30" s="4">
        <f>'Profit Phase 3W'!E32</f>
        <v>5.2138935365815495</v>
      </c>
      <c r="F30" s="4">
        <f>'Profit Phase 3W'!F32</f>
        <v>46.70760752895616</v>
      </c>
      <c r="G30" s="4">
        <f>'Profit Phase 3W'!G32</f>
        <v>4.2944550124576297</v>
      </c>
      <c r="H30" s="4">
        <f>'Profit Phase 3W'!H32</f>
        <v>11.614853378329258</v>
      </c>
      <c r="I30" s="4">
        <f>'Profit Phase 3W'!I32</f>
        <v>13.341885963001985</v>
      </c>
      <c r="J30" s="4">
        <f>'Profit Phase 3W'!J32</f>
        <v>2.8216436029697221</v>
      </c>
    </row>
    <row r="31" spans="1:10" x14ac:dyDescent="0.25">
      <c r="A31" t="s">
        <v>10</v>
      </c>
      <c r="B31" s="4">
        <f>'Profit Phase 3W'!B33</f>
        <v>7.7637366421516016E-2</v>
      </c>
      <c r="C31" s="4">
        <f>'Phase 2 Summary'!B15</f>
        <v>3.2338382429144596</v>
      </c>
      <c r="D31" s="4">
        <f>'Phase 2 Summary'!C15</f>
        <v>6.7308560033931792</v>
      </c>
      <c r="E31" s="4">
        <f>'Phase 2 Summary'!D15</f>
        <v>5.2841673975488312</v>
      </c>
      <c r="F31" s="4">
        <f>'Phase 2 Summary'!E15</f>
        <v>62.261223628920042</v>
      </c>
      <c r="G31" s="4">
        <f>'Phase 2 Summary'!F15</f>
        <v>6.443901412985829</v>
      </c>
      <c r="H31" s="4">
        <f>'Phase 2 Summary'!G15</f>
        <v>14.296857397416307</v>
      </c>
      <c r="I31" s="4">
        <f>'Phase 2 Summary'!H15</f>
        <v>14.317975655468533</v>
      </c>
      <c r="J31" s="4">
        <f>'Phase 2 Summary'!I15</f>
        <v>2.6293344482383398</v>
      </c>
    </row>
    <row r="32" spans="1:10" x14ac:dyDescent="0.25">
      <c r="A32" t="s">
        <v>40</v>
      </c>
      <c r="B32" s="4">
        <f>'Profit Phase 3W'!B34</f>
        <v>5.2899314117298223E-2</v>
      </c>
      <c r="C32" s="4">
        <f>'Profit Phase 3W'!C34</f>
        <v>2.2034212763952663</v>
      </c>
      <c r="D32" s="4">
        <f>'Profit Phase 3N'!$D$5</f>
        <v>1.0983262602306962</v>
      </c>
      <c r="E32" s="4">
        <f>'Profit Phase 3W'!E34</f>
        <v>3.204380518663152</v>
      </c>
      <c r="F32" s="4">
        <f>'Profit Phase 3N'!F5</f>
        <v>10.309385052932136</v>
      </c>
      <c r="G32" s="4">
        <f>'Profit Phase 3N'!G5</f>
        <v>1.4336614318754255</v>
      </c>
      <c r="H32" s="4">
        <f>'Profit Phase 3N'!H5</f>
        <v>3.8519546857279314</v>
      </c>
      <c r="I32" s="4">
        <f>'Profit Phase 3M'!I34</f>
        <v>0.51035608512024988</v>
      </c>
      <c r="J32" s="4">
        <f>'Profit Phase 3M'!J34</f>
        <v>0.37999397489232967</v>
      </c>
    </row>
    <row r="33" spans="1:10" x14ac:dyDescent="0.25">
      <c r="A33" t="s">
        <v>41</v>
      </c>
      <c r="B33" s="4">
        <f>'Profit Phase 3W'!B35</f>
        <v>1.6367877385965051E-2</v>
      </c>
      <c r="C33" s="4">
        <f>'Profit Phase 3W'!C35</f>
        <v>0.68177309826160581</v>
      </c>
      <c r="D33" s="4">
        <f>'Profit Phase 3W'!D35</f>
        <v>2.9432776769098585</v>
      </c>
      <c r="E33" s="4">
        <f>'Profit Phase 3W'!E35</f>
        <v>1.114033203810785</v>
      </c>
      <c r="F33" s="4">
        <f>'Profit Phase 3W'!F35</f>
        <v>13.126206119942392</v>
      </c>
      <c r="G33" s="4">
        <f>'Profit Phase 3W'!G35</f>
        <v>1.3057802989572271</v>
      </c>
      <c r="H33" s="4">
        <f>'Profit Phase 3W'!H35</f>
        <v>2.4017610337859807</v>
      </c>
      <c r="I33" s="4">
        <f>'Profit Phase 3W'!I35</f>
        <v>2.5017625311245943</v>
      </c>
      <c r="J33" s="4">
        <f>'Profit Phase 3W'!J35</f>
        <v>0.47603204214318656</v>
      </c>
    </row>
    <row r="34" spans="1:10" x14ac:dyDescent="0.25">
      <c r="A34" t="s">
        <v>68</v>
      </c>
      <c r="B34" s="4">
        <f>'Profit Phase 3W'!B36</f>
        <v>4.7957179329960423E-2</v>
      </c>
      <c r="C34" s="4">
        <f>'Profit Phase 3W'!C36</f>
        <v>1.1464451113154772</v>
      </c>
      <c r="D34" s="4">
        <f>'Profit Phase 3N'!D7</f>
        <v>0.61005702120871841</v>
      </c>
      <c r="E34" s="4">
        <f>'Profit Phase 3W'!E36</f>
        <v>1.4901705385402804</v>
      </c>
      <c r="F34" s="4">
        <f>'Profit Phase 3N'!F7</f>
        <v>4.3841754838866338</v>
      </c>
      <c r="G34" s="4">
        <f>'Profit Phase 3N'!G7</f>
        <v>0.57219038315430371</v>
      </c>
      <c r="H34" s="4">
        <f>'Profit Phase 3N'!H7</f>
        <v>1.9876305774272365</v>
      </c>
      <c r="I34" s="4">
        <f>'Profit Phase 3M'!I36</f>
        <v>0.32574975878638662</v>
      </c>
      <c r="J34" s="4">
        <f>'Profit Phase 3M'!J36</f>
        <v>0.25875246008079689</v>
      </c>
    </row>
    <row r="35" spans="1:10" x14ac:dyDescent="0.25">
      <c r="A35" t="s">
        <v>69</v>
      </c>
      <c r="B35" s="4">
        <f>'Profit Phase 3W'!B37</f>
        <v>4.7957179329960423E-2</v>
      </c>
      <c r="C35" s="4">
        <f>'Profit Phase 3W'!C37</f>
        <v>1.2192175060767136</v>
      </c>
      <c r="D35" s="4">
        <f>'Profit Phase 3N'!D8</f>
        <v>0.73051130997775093</v>
      </c>
      <c r="E35" s="4">
        <f>'Profit Phase 3W'!E37</f>
        <v>1.5741076136278118</v>
      </c>
      <c r="F35" s="4">
        <f>'Profit Phase 3N'!F8</f>
        <v>5.2044657614221119</v>
      </c>
      <c r="G35" s="4">
        <f>'Profit Phase 3N'!G8</f>
        <v>0.67643777040113284</v>
      </c>
      <c r="H35" s="4">
        <f>'Profit Phase 3N'!H8</f>
        <v>2.3054675893077583</v>
      </c>
      <c r="I35" s="4">
        <f>'Profit Phase 3M'!I37</f>
        <v>0.4194782479827493</v>
      </c>
      <c r="J35" s="4">
        <f>'Profit Phase 3M'!J37</f>
        <v>0.4011109820731002</v>
      </c>
    </row>
    <row r="36" spans="1:10" x14ac:dyDescent="0.25">
      <c r="A36" t="s">
        <v>71</v>
      </c>
      <c r="B36" s="4">
        <f>'Profit Phase 3W'!B38</f>
        <v>1.8952288554781448E-2</v>
      </c>
      <c r="C36" s="4">
        <f>'Profit Phase 3N'!C9</f>
        <v>0.43058464984664829</v>
      </c>
      <c r="D36" s="4">
        <f>'Profit Phase 3N'!D9</f>
        <v>0.53549387067237719</v>
      </c>
      <c r="E36" s="4">
        <f>'Profit Phase 3N'!E9</f>
        <v>0.43058464984664829</v>
      </c>
      <c r="F36" s="4">
        <f>'Profit Phase 3N'!F9</f>
        <v>5.0263866996014572</v>
      </c>
      <c r="G36" s="4">
        <f>'Profit Phase 3N'!G9</f>
        <v>0.75602545369385765</v>
      </c>
      <c r="H36" s="4">
        <f>'Profit Phase 3N'!H9</f>
        <v>4.1787643032064627</v>
      </c>
      <c r="I36" s="4">
        <f>'Profit Phase 3M'!I38</f>
        <v>0.44518741969211767</v>
      </c>
      <c r="J36" s="4">
        <f>'Profit Phase 3M'!J38</f>
        <v>0.28793587565019779</v>
      </c>
    </row>
    <row r="37" spans="1:10" x14ac:dyDescent="0.25">
      <c r="A37" t="s">
        <v>72</v>
      </c>
      <c r="B37" s="4">
        <f>'Profit Phase 3W'!B39</f>
        <v>1.3717082983846052E-2</v>
      </c>
      <c r="C37" s="4">
        <f>'Profit Phase 3N'!C10</f>
        <v>0.39897381659278569</v>
      </c>
      <c r="D37" s="4">
        <f>'Profit Phase 3N'!D10</f>
        <v>0.4961812582503628</v>
      </c>
      <c r="E37" s="4">
        <f>'Profit Phase 3N'!E10</f>
        <v>0.39897381659278569</v>
      </c>
      <c r="F37" s="4">
        <f>'Profit Phase 3N'!F10</f>
        <v>4.6573808098487151</v>
      </c>
      <c r="G37" s="4">
        <f>'Profit Phase 3N'!G10</f>
        <v>0.70052279106781223</v>
      </c>
      <c r="H37" s="4">
        <f>'Profit Phase 3N'!H10</f>
        <v>2.8447240782914438</v>
      </c>
      <c r="I37" s="4">
        <f>'Profit Phase 3M'!I39</f>
        <v>0.58146928286317423</v>
      </c>
      <c r="J37" s="4">
        <f>'Profit Phase 3M'!J39</f>
        <v>0.35036431505145232</v>
      </c>
    </row>
    <row r="38" spans="1:10" x14ac:dyDescent="0.25">
      <c r="A38" t="s">
        <v>73</v>
      </c>
      <c r="B38" s="4">
        <f>'Profit Phase 3W'!B40</f>
        <v>8.8435249404851014E-3</v>
      </c>
      <c r="C38" s="4">
        <f>'Profit Phase 3N'!C11</f>
        <v>0.27706515041165669</v>
      </c>
      <c r="D38" s="4">
        <f>'Profit Phase 3N'!D11</f>
        <v>0.4961812582503628</v>
      </c>
      <c r="E38" s="4">
        <f>'Profit Phase 3N'!E11</f>
        <v>0.38348117704035528</v>
      </c>
      <c r="F38" s="4">
        <f>'Profit Phase 3N'!F11</f>
        <v>4.6573808098487151</v>
      </c>
      <c r="G38" s="4">
        <f>'Profit Phase 3N'!G11</f>
        <v>0.70052279106781223</v>
      </c>
      <c r="H38" s="4">
        <f>'Profit Phase 3M'!$H$40</f>
        <v>0</v>
      </c>
      <c r="I38" s="4">
        <f>'Profit Phase 3M'!I40</f>
        <v>0.806059597837813</v>
      </c>
      <c r="J38" s="4">
        <f>'Profit Phase 3M'!J40</f>
        <v>0.42943631787705094</v>
      </c>
    </row>
    <row r="39" spans="1:10" x14ac:dyDescent="0.25">
      <c r="A39" t="s">
        <v>75</v>
      </c>
      <c r="B39" s="4">
        <f>'Profit Phase 3W'!B41</f>
        <v>5.4400768568920272E-3</v>
      </c>
      <c r="C39" s="4">
        <f>'Profit Phase 3N'!C12</f>
        <v>0.13634860741984728</v>
      </c>
      <c r="D39" s="4">
        <f>'Profit Phase 3N'!D12</f>
        <v>0.39100908898079062</v>
      </c>
      <c r="E39" s="4">
        <f>'Profit Phase 3N'!E12</f>
        <v>0.17204129035298424</v>
      </c>
      <c r="F39" s="4">
        <f>'Profit Phase 3N'!F12</f>
        <v>2.7397802514874283</v>
      </c>
      <c r="G39" s="4">
        <f>'Profit Phase 3N'!G12</f>
        <v>0.35330415090526762</v>
      </c>
      <c r="H39" s="4">
        <f>'Profit Phase 3M'!H41</f>
        <v>2.8678397946128431</v>
      </c>
      <c r="I39" s="4">
        <f>'Profit Phase 3M'!I41</f>
        <v>1.0475550533500215</v>
      </c>
      <c r="J39" s="4">
        <f>'Profit Phase 3M'!J41</f>
        <v>0.78826812147254732</v>
      </c>
    </row>
    <row r="40" spans="1:10" x14ac:dyDescent="0.25">
      <c r="A40" t="s">
        <v>76</v>
      </c>
      <c r="B40" s="4">
        <f>'Profit Phase 3W'!B42</f>
        <v>2.0822198036344081E-2</v>
      </c>
      <c r="C40" s="4">
        <f>'Profit Phase 3N'!C13</f>
        <v>0.4513452565032875</v>
      </c>
      <c r="D40" s="4">
        <f>'Profit Phase 3N'!D13</f>
        <v>1.0229923366228162</v>
      </c>
      <c r="E40" s="4">
        <f>'Profit Phase 3N'!E13</f>
        <v>0.53713815649978014</v>
      </c>
      <c r="F40" s="4">
        <f>'Profit Phase 3N'!F13</f>
        <v>7.8463415009444892</v>
      </c>
      <c r="G40" s="4">
        <f>'Profit Phase 3N'!G13</f>
        <v>1.0573311956197611</v>
      </c>
      <c r="H40" s="4">
        <f>'Profit Phase 3M'!H42</f>
        <v>7.7317056727475677</v>
      </c>
      <c r="I40" s="4">
        <f>'Profit Phase 3M'!I42</f>
        <v>4.2422702156108461</v>
      </c>
      <c r="J40" s="4">
        <f>'Profit Phase 3M'!J42</f>
        <v>2.358485069309701</v>
      </c>
    </row>
    <row r="41" spans="1:10" x14ac:dyDescent="0.25">
      <c r="A41" t="s">
        <v>78</v>
      </c>
      <c r="B41" s="4">
        <f>'Profit Phase 3W'!B43</f>
        <v>6.7580699229885702E-2</v>
      </c>
      <c r="C41" s="4">
        <f>'Profit Phase 3N'!C14</f>
        <v>1.0893639951014906</v>
      </c>
      <c r="D41" s="4">
        <f>'Profit Phase 3N'!D14</f>
        <v>2.5369299293605092</v>
      </c>
      <c r="E41" s="4">
        <f>'Profit Phase 3N'!E14</f>
        <v>1.3055469219964235</v>
      </c>
      <c r="F41" s="4">
        <f>'Profit Phase 3N'!F14</f>
        <v>19.26298702173845</v>
      </c>
      <c r="G41" s="4">
        <f>'Profit Phase 3N'!G14</f>
        <v>2.5826853512179899</v>
      </c>
      <c r="H41" s="4">
        <f>'Profit Phase 3M'!H43</f>
        <v>18.569954130612519</v>
      </c>
      <c r="I41" s="4">
        <f>'Profit Phase 3M'!I43</f>
        <v>10.510346561696343</v>
      </c>
      <c r="J41" s="4">
        <f>'Profit Phase 3M'!J43</f>
        <v>5.5994923193939385</v>
      </c>
    </row>
    <row r="42" spans="1:10" x14ac:dyDescent="0.25">
      <c r="A42" t="s">
        <v>80</v>
      </c>
      <c r="B42" s="4">
        <f>'Profit Phase 3W'!B44</f>
        <v>3.2419105393620522E-2</v>
      </c>
      <c r="C42" s="4">
        <f>'Profit Phase 3W'!C44</f>
        <v>3.0051879483777135</v>
      </c>
      <c r="D42" s="4">
        <f>'Profit Phase 3N'!D15</f>
        <v>0.65795798534470218</v>
      </c>
      <c r="E42" s="4">
        <f>'Profit Phase 3N'!E15</f>
        <v>0.35998863949749149</v>
      </c>
      <c r="F42" s="4">
        <f>'Profit Phase 3N'!F15</f>
        <v>5.1510228294190661</v>
      </c>
      <c r="G42" s="4">
        <f>'Profit Phase 3N'!G15</f>
        <v>0.70137728504546082</v>
      </c>
      <c r="H42" s="4">
        <f>'Profit Phase 3M'!H44</f>
        <v>4.8415740802215232</v>
      </c>
      <c r="I42" s="4">
        <f>'Profit Phase 3M'!I44</f>
        <v>2.4992923674687311</v>
      </c>
      <c r="J42" s="4">
        <f>'Profit Phase 3M'!J44</f>
        <v>1.5119121012968473</v>
      </c>
    </row>
    <row r="43" spans="1:10" x14ac:dyDescent="0.25">
      <c r="A43" t="s">
        <v>81</v>
      </c>
      <c r="B43" s="4">
        <f>'Profit Phase 3W'!B45</f>
        <v>1.9818745475821967E-2</v>
      </c>
      <c r="C43" s="4">
        <f>'Profit Phase 3W'!C45</f>
        <v>1.9349020160644816</v>
      </c>
      <c r="D43" s="4">
        <f>'Profit Phase 3N'!D16</f>
        <v>0.29737027771041386</v>
      </c>
      <c r="E43" s="4">
        <f>'Profit Phase 3N'!E16</f>
        <v>0.18120692207446143</v>
      </c>
      <c r="F43" s="4">
        <f>'Profit Phase 3N'!F16</f>
        <v>2.3615462343115112</v>
      </c>
      <c r="G43" s="4">
        <f>'Profit Phase 3N'!G16</f>
        <v>0.32392371568468203</v>
      </c>
      <c r="H43" s="4">
        <f>'Profit Phase 3M'!H45</f>
        <v>1.9332845944577737</v>
      </c>
      <c r="I43" s="4">
        <f>'Profit Phase 3M'!I45</f>
        <v>0.92773290096612115</v>
      </c>
      <c r="J43" s="4">
        <f>'Profit Phase 3M'!J45</f>
        <v>0.62173233080161361</v>
      </c>
    </row>
    <row r="44" spans="1:10" x14ac:dyDescent="0.25">
      <c r="A44" t="s">
        <v>70</v>
      </c>
      <c r="B44" s="4">
        <f>'Profit Phase 3W'!B46</f>
        <v>3.6456819642298063E-2</v>
      </c>
      <c r="C44" s="4">
        <f>'Profit Phase 3W'!C46</f>
        <v>3.9298326218115505</v>
      </c>
      <c r="D44" s="4">
        <f>'Profit Phase 3N'!D17</f>
        <v>0.4652269528555189</v>
      </c>
      <c r="E44" s="4">
        <f>'Profit Phase 3N'!E17</f>
        <v>0.351068883226692</v>
      </c>
      <c r="F44" s="4">
        <f>'Profit Phase 3N'!F17</f>
        <v>4.0981673775947254</v>
      </c>
      <c r="G44" s="4">
        <f>'Profit Phase 3N'!G17</f>
        <v>0.62756729055489513</v>
      </c>
      <c r="H44" s="4">
        <f>'Profit Phase 3M'!H46</f>
        <v>3.6333072171484053</v>
      </c>
      <c r="I44" s="4">
        <f>'Profit Phase 3M'!I46</f>
        <v>1.7052893369835254</v>
      </c>
      <c r="J44" s="4">
        <f>'Profit Phase 3M'!J46</f>
        <v>1.1792891042513431</v>
      </c>
    </row>
    <row r="45" spans="1:10" x14ac:dyDescent="0.25">
      <c r="A45" t="s">
        <v>90</v>
      </c>
      <c r="B45" s="4">
        <f>'Profit Phase 3W'!B47</f>
        <v>7.1785787403907944E-3</v>
      </c>
      <c r="C45" s="4">
        <f>'Profit Phase 3W'!C47</f>
        <v>0.68177309826160581</v>
      </c>
      <c r="D45" s="4">
        <f>'Profit Phase 3N'!D18</f>
        <v>0.11017147150697114</v>
      </c>
      <c r="E45" s="4">
        <f>'Profit Phase 3N'!E18</f>
        <v>6.4977448940616411E-2</v>
      </c>
      <c r="F45" s="4">
        <f>'Profit Phase 3N'!F18</f>
        <v>0.85734485861699194</v>
      </c>
      <c r="G45" s="4">
        <f>'Profit Phase 3N'!G18</f>
        <v>0.11638131990975939</v>
      </c>
      <c r="H45" s="4">
        <f>'Profit Phase 3M'!H47</f>
        <v>0.58308262081870488</v>
      </c>
      <c r="I45" s="4">
        <f>'Profit Phase 3M'!I47</f>
        <v>0.25600412027528335</v>
      </c>
      <c r="J45" s="4">
        <f>'Profit Phase 3M'!J47</f>
        <v>0.23044914643538231</v>
      </c>
    </row>
    <row r="46" spans="1:10" x14ac:dyDescent="0.25">
      <c r="A46" t="s">
        <v>5</v>
      </c>
      <c r="B46" s="4"/>
      <c r="C46" s="4">
        <f>'Phase 2 Summary'!B16</f>
        <v>1.7366344038762698</v>
      </c>
      <c r="D46" s="4">
        <f>'Phase 2 Summary'!C16</f>
        <v>3.6146013575790725</v>
      </c>
      <c r="E46" s="4">
        <f>'Phase 2 Summary'!D16</f>
        <v>2.8626480973250503</v>
      </c>
      <c r="F46" s="4">
        <f>'Phase 2 Summary'!E16</f>
        <v>33.919688260116146</v>
      </c>
      <c r="G46" s="4">
        <f>'Phase 2 Summary'!F16</f>
        <v>3.5164885822097638</v>
      </c>
      <c r="H46" s="4">
        <f>'Phase 2 Summary'!G16</f>
        <v>7.9473544729786694</v>
      </c>
      <c r="I46" s="4">
        <f>'Phase 2 Summary'!H16</f>
        <v>15.209266811917052</v>
      </c>
      <c r="J46" s="4">
        <f>'Phase 2 Summary'!I16</f>
        <v>2.7898333156196218</v>
      </c>
    </row>
    <row r="47" spans="1:10" x14ac:dyDescent="0.25">
      <c r="A47" t="s">
        <v>4</v>
      </c>
      <c r="B47" s="4"/>
      <c r="C47" s="4"/>
      <c r="D47" s="4"/>
      <c r="E47" s="4">
        <f>'Phase 2 Summary'!D17</f>
        <v>1.0391129739437919</v>
      </c>
      <c r="F47" s="4">
        <f>'Phase 2 Summary'!E17</f>
        <v>20.168150647747783</v>
      </c>
      <c r="G47" s="4">
        <f>'Phase 2 Summary'!F17</f>
        <v>2.3320519137767053</v>
      </c>
      <c r="H47" s="4">
        <f>'Phase 2 Summary'!G17</f>
        <v>11.833341626470345</v>
      </c>
      <c r="I47" s="4">
        <f>'Phase 2 Summary'!H17</f>
        <v>21.520623606679184</v>
      </c>
      <c r="J47" s="4">
        <f>'Phase 2 Summary'!I17</f>
        <v>3.7633612157514298</v>
      </c>
    </row>
    <row r="48" spans="1:10" x14ac:dyDescent="0.25">
      <c r="A48" t="s">
        <v>3</v>
      </c>
      <c r="B48" s="4"/>
      <c r="C48" s="4"/>
      <c r="D48" s="4"/>
      <c r="E48" s="4"/>
      <c r="F48" s="4">
        <f>'Phase 2 Summary'!E18</f>
        <v>12.949144555083192</v>
      </c>
      <c r="G48" s="4">
        <f>'Phase 2 Summary'!F18</f>
        <v>1.7400410003348346</v>
      </c>
      <c r="H48" s="4">
        <f>'Phase 2 Summary'!G18</f>
        <v>15.40702544506442</v>
      </c>
      <c r="I48" s="4">
        <f>'Phase 2 Summary'!H18</f>
        <v>27.10770952408393</v>
      </c>
      <c r="J48" s="4">
        <f>'Phase 2 Summary'!I18</f>
        <v>4.110511025400803</v>
      </c>
    </row>
    <row r="49" spans="1:10" x14ac:dyDescent="0.25">
      <c r="A49" t="s">
        <v>38</v>
      </c>
      <c r="B49" s="4"/>
      <c r="C49" s="4"/>
      <c r="D49" s="4"/>
      <c r="E49" s="4"/>
      <c r="F49" s="4"/>
      <c r="G49" s="4">
        <f>'Phase 2 Summary'!F19</f>
        <v>1.032743245022592</v>
      </c>
      <c r="H49" s="4">
        <f>'Phase 2 Summary'!G19</f>
        <v>24.549227044501595</v>
      </c>
      <c r="I49" s="4">
        <f>'Phase 2 Summary'!H19</f>
        <v>44.962103694670809</v>
      </c>
      <c r="J49" s="4">
        <f>'Phase 2 Summary'!I19</f>
        <v>7.8830245828064571</v>
      </c>
    </row>
    <row r="50" spans="1:10" x14ac:dyDescent="0.25">
      <c r="A50" t="s">
        <v>0</v>
      </c>
      <c r="B50" s="4"/>
      <c r="C50" s="4"/>
      <c r="D50" s="4"/>
      <c r="E50" s="4"/>
      <c r="F50" s="4"/>
      <c r="G50" s="4">
        <f>'Phase 2 Summary'!F20</f>
        <v>4.7110678139050206</v>
      </c>
      <c r="H50" s="4">
        <f>'Phase 2 Summary'!G20</f>
        <v>116.51052488631298</v>
      </c>
      <c r="I50" s="4">
        <f>'Phase 2 Summary'!H20</f>
        <v>267.33280659499684</v>
      </c>
      <c r="J50" s="4">
        <f>'Phase 2 Summary'!I20</f>
        <v>43.329942386401591</v>
      </c>
    </row>
    <row r="51" spans="1:10" x14ac:dyDescent="0.25">
      <c r="A51" t="s">
        <v>1</v>
      </c>
      <c r="B51" s="4"/>
      <c r="C51" s="4"/>
      <c r="D51" s="4"/>
      <c r="E51" s="4"/>
      <c r="F51" s="4"/>
      <c r="G51" s="4"/>
      <c r="H51" s="4">
        <f>'Phase 2 Summary'!G21</f>
        <v>9.3580098919323831</v>
      </c>
      <c r="I51" s="4">
        <f>'Phase 2 Summary'!H21</f>
        <v>26.547083889891578</v>
      </c>
      <c r="J51" s="4">
        <f>'Phase 2 Summary'!I21</f>
        <v>4.1847499734294322</v>
      </c>
    </row>
    <row r="52" spans="1:10" x14ac:dyDescent="0.25">
      <c r="A52" t="s">
        <v>6</v>
      </c>
      <c r="B52" s="4"/>
      <c r="C52" s="4"/>
      <c r="D52" s="4"/>
      <c r="E52" s="4"/>
      <c r="F52" s="4"/>
      <c r="G52" s="4"/>
      <c r="H52" s="4"/>
      <c r="I52" s="4">
        <f>'Phase 2 Summary'!H22</f>
        <v>29.737498217606838</v>
      </c>
      <c r="J52" s="4">
        <f>'Phase 2 Summary'!I22</f>
        <v>17.771752127533066</v>
      </c>
    </row>
    <row r="53" spans="1:10" x14ac:dyDescent="0.25">
      <c r="A53" t="s">
        <v>7</v>
      </c>
      <c r="B53" s="4"/>
      <c r="C53" s="4"/>
      <c r="D53" s="4"/>
      <c r="E53" s="4"/>
      <c r="F53" s="4"/>
      <c r="G53" s="4"/>
      <c r="H53" s="4"/>
      <c r="I53" s="4"/>
      <c r="J53" s="4">
        <f>'Phase 2 Summary'!I23</f>
        <v>25.236043728818089</v>
      </c>
    </row>
  </sheetData>
  <conditionalFormatting sqref="B2:I2 B3 J6:J17 B4:I2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0:I30 B31 J34:J45 B32:I52">
    <cfRule type="colorScale" priority="7">
      <colorScale>
        <cfvo type="min"/>
        <cfvo type="max"/>
        <color rgb="FFFCFCFF"/>
        <color rgb="FFF8696B"/>
      </colorScale>
    </cfRule>
  </conditionalFormatting>
  <conditionalFormatting sqref="B2:J2 B3 B4:J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B30:J30 B31 B32:J53">
    <cfRule type="colorScale" priority="6">
      <colorScale>
        <cfvo type="min"/>
        <cfvo type="max"/>
        <color rgb="FFFCFCFF"/>
        <color rgb="FFF8696B"/>
      </colorScale>
    </cfRule>
  </conditionalFormatting>
  <conditionalFormatting sqref="B30:J53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I3 I4:I17 H11:H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I31 I32:I45 H39:H45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J3 I4:J17 H11:H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:J3">
    <cfRule type="colorScale" priority="9">
      <colorScale>
        <cfvo type="min"/>
        <cfvo type="max"/>
        <color rgb="FFFCFCFF"/>
        <color rgb="FFF8696B"/>
      </colorScale>
    </cfRule>
  </conditionalFormatting>
  <conditionalFormatting sqref="C3:J25">
    <cfRule type="colorScale" priority="8">
      <colorScale>
        <cfvo type="min"/>
        <cfvo type="max"/>
        <color rgb="FFFCFCFF"/>
        <color rgb="FFF8696B"/>
      </colorScale>
    </cfRule>
  </conditionalFormatting>
  <conditionalFormatting sqref="C31:J31 I32:J45 H39:H45">
    <cfRule type="colorScale" priority="4">
      <colorScale>
        <cfvo type="min"/>
        <cfvo type="max"/>
        <color rgb="FFFCFCFF"/>
        <color rgb="FFF8696B"/>
      </colorScale>
    </cfRule>
  </conditionalFormatting>
  <conditionalFormatting sqref="C31:J31">
    <cfRule type="colorScale" priority="3">
      <colorScale>
        <cfvo type="min"/>
        <cfvo type="max"/>
        <color rgb="FFFCFCFF"/>
        <color rgb="FFF8696B"/>
      </colorScale>
    </cfRule>
  </conditionalFormatting>
  <conditionalFormatting sqref="C31:J5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B5DE-0E3B-4FF3-A53D-0A713DA769AF}">
  <dimension ref="A1:E13"/>
  <sheetViews>
    <sheetView workbookViewId="0">
      <selection activeCell="L10" sqref="L10"/>
    </sheetView>
  </sheetViews>
  <sheetFormatPr defaultRowHeight="15" x14ac:dyDescent="0.25"/>
  <cols>
    <col min="3" max="3" width="11.5703125" bestFit="1" customWidth="1"/>
    <col min="4" max="4" width="11.5703125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54</v>
      </c>
      <c r="E1" t="s">
        <v>37</v>
      </c>
    </row>
    <row r="2" spans="1:5" x14ac:dyDescent="0.25">
      <c r="A2" t="s">
        <v>89</v>
      </c>
      <c r="B2">
        <v>65</v>
      </c>
      <c r="C2" s="5">
        <f>B2*Coefficient!$B$5</f>
        <v>2600</v>
      </c>
      <c r="D2" t="s">
        <v>86</v>
      </c>
      <c r="E2">
        <v>20</v>
      </c>
    </row>
    <row r="3" spans="1:5" x14ac:dyDescent="0.25">
      <c r="A3" t="s">
        <v>85</v>
      </c>
      <c r="B3">
        <v>135</v>
      </c>
      <c r="C3" s="5">
        <v>1900</v>
      </c>
      <c r="D3" t="s">
        <v>87</v>
      </c>
      <c r="E3">
        <v>45</v>
      </c>
    </row>
    <row r="4" spans="1:5" x14ac:dyDescent="0.25">
      <c r="A4" t="s">
        <v>15</v>
      </c>
      <c r="B4">
        <v>0</v>
      </c>
      <c r="C4" s="5">
        <v>700</v>
      </c>
      <c r="D4" t="s">
        <v>63</v>
      </c>
      <c r="E4">
        <v>30</v>
      </c>
    </row>
    <row r="5" spans="1:5" x14ac:dyDescent="0.25">
      <c r="A5" t="s">
        <v>17</v>
      </c>
      <c r="B5">
        <v>180</v>
      </c>
      <c r="C5" s="5">
        <f>B5*Coefficient!$B$5</f>
        <v>7200</v>
      </c>
      <c r="D5" t="s">
        <v>59</v>
      </c>
      <c r="E5">
        <v>45</v>
      </c>
    </row>
    <row r="6" spans="1:5" x14ac:dyDescent="0.25">
      <c r="A6" t="s">
        <v>16</v>
      </c>
      <c r="B6">
        <v>80</v>
      </c>
      <c r="C6" s="5">
        <f>B6*Coefficient!$B$5</f>
        <v>3200</v>
      </c>
      <c r="D6" t="s">
        <v>59</v>
      </c>
      <c r="E6">
        <v>40</v>
      </c>
    </row>
    <row r="7" spans="1:5" x14ac:dyDescent="0.25">
      <c r="A7" t="s">
        <v>51</v>
      </c>
      <c r="B7">
        <v>85</v>
      </c>
      <c r="C7" s="5">
        <f>B7*Coefficient!$B$5*1.5</f>
        <v>5100</v>
      </c>
      <c r="D7" t="s">
        <v>59</v>
      </c>
      <c r="E7">
        <v>15</v>
      </c>
    </row>
    <row r="8" spans="1:5" x14ac:dyDescent="0.25">
      <c r="A8" t="s">
        <v>55</v>
      </c>
      <c r="B8">
        <v>25</v>
      </c>
      <c r="C8" s="5">
        <v>0</v>
      </c>
      <c r="D8" t="s">
        <v>59</v>
      </c>
      <c r="E8">
        <v>30</v>
      </c>
    </row>
    <row r="9" spans="1:5" x14ac:dyDescent="0.25">
      <c r="A9" t="s">
        <v>18</v>
      </c>
      <c r="B9">
        <v>50</v>
      </c>
      <c r="C9" s="5">
        <f>B9*Coefficient!$B$5*(1/4)</f>
        <v>500</v>
      </c>
      <c r="D9">
        <v>1</v>
      </c>
      <c r="E9">
        <v>30</v>
      </c>
    </row>
    <row r="10" spans="1:5" x14ac:dyDescent="0.25">
      <c r="A10" t="s">
        <v>19</v>
      </c>
      <c r="B10">
        <v>380</v>
      </c>
      <c r="C10" s="5">
        <f>B10*Coefficient!$B$5</f>
        <v>15200</v>
      </c>
      <c r="D10">
        <v>1</v>
      </c>
      <c r="E10">
        <v>90</v>
      </c>
    </row>
    <row r="11" spans="1:5" x14ac:dyDescent="0.25">
      <c r="A11" t="s">
        <v>52</v>
      </c>
      <c r="B11">
        <v>135</v>
      </c>
      <c r="C11" s="5">
        <f>B11*Coefficient!$B$5</f>
        <v>5400</v>
      </c>
      <c r="D11">
        <v>1</v>
      </c>
      <c r="E11">
        <v>45</v>
      </c>
    </row>
    <row r="12" spans="1:5" x14ac:dyDescent="0.25">
      <c r="A12" t="s">
        <v>53</v>
      </c>
      <c r="B12">
        <v>40</v>
      </c>
      <c r="C12" s="5">
        <f>B12*Coefficient!$B$5*1.5</f>
        <v>2400</v>
      </c>
      <c r="D12">
        <v>1</v>
      </c>
      <c r="E12">
        <v>15</v>
      </c>
    </row>
    <row r="13" spans="1:5" x14ac:dyDescent="0.25">
      <c r="A13" t="s">
        <v>20</v>
      </c>
      <c r="B13">
        <v>255</v>
      </c>
      <c r="C13" s="5">
        <f>B13*Coefficient!$B$5*0.6</f>
        <v>6120</v>
      </c>
      <c r="D13" t="s">
        <v>60</v>
      </c>
      <c r="E13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087-E699-43D3-9402-AA535FCCFBF2}">
  <dimension ref="A1:L29"/>
  <sheetViews>
    <sheetView topLeftCell="A13" zoomScale="98" zoomScaleNormal="115" workbookViewId="0">
      <selection activeCell="D32" sqref="D32"/>
    </sheetView>
  </sheetViews>
  <sheetFormatPr defaultRowHeight="15" x14ac:dyDescent="0.25"/>
  <cols>
    <col min="7" max="7" width="17" bestFit="1" customWidth="1"/>
  </cols>
  <sheetData>
    <row r="1" spans="1:12" x14ac:dyDescent="0.25">
      <c r="A1" t="s">
        <v>48</v>
      </c>
      <c r="B1" t="s">
        <v>49</v>
      </c>
      <c r="C1" t="s">
        <v>50</v>
      </c>
      <c r="D1" t="s">
        <v>57</v>
      </c>
      <c r="E1" t="s">
        <v>58</v>
      </c>
      <c r="F1" t="s">
        <v>65</v>
      </c>
      <c r="G1" t="s">
        <v>61</v>
      </c>
      <c r="H1" t="s">
        <v>82</v>
      </c>
      <c r="I1" t="s">
        <v>83</v>
      </c>
      <c r="J1" t="s">
        <v>84</v>
      </c>
      <c r="K1" t="s">
        <v>88</v>
      </c>
      <c r="L1" t="s">
        <v>31</v>
      </c>
    </row>
    <row r="2" spans="1:12" x14ac:dyDescent="0.25">
      <c r="A2" t="s">
        <v>5</v>
      </c>
      <c r="B2" t="s">
        <v>4</v>
      </c>
      <c r="C2" s="2"/>
      <c r="D2" s="2"/>
      <c r="E2" s="2">
        <f>SUM('Ridership Phase 2S'!B16:H17)</f>
        <v>5.3687722286190036</v>
      </c>
      <c r="F2" s="2">
        <f>SUM('Phase 2 Summary'!B2:I3)</f>
        <v>5.4195088391736022</v>
      </c>
      <c r="G2" s="2">
        <f>SUM('Ridership Phase 3W'!C31:J47)</f>
        <v>9.9928047560848743</v>
      </c>
      <c r="H2" s="2">
        <f>SUM('Phase 2 Summary'!B2:I3)</f>
        <v>5.4195088391736022</v>
      </c>
      <c r="I2" s="2">
        <f>SUM('Phase 2 Summary'!B2:I3)</f>
        <v>5.4195088391736022</v>
      </c>
      <c r="J2" s="2">
        <f>(G2-F2)+(H2-F2)+(I2-F2)+F2</f>
        <v>9.9928047560848743</v>
      </c>
      <c r="K2">
        <v>1</v>
      </c>
      <c r="L2">
        <v>175</v>
      </c>
    </row>
    <row r="3" spans="1:12" x14ac:dyDescent="0.25">
      <c r="A3" t="s">
        <v>4</v>
      </c>
      <c r="B3" t="s">
        <v>3</v>
      </c>
      <c r="C3" s="2"/>
      <c r="D3" s="2"/>
      <c r="E3" s="2">
        <f>SUM('Ridership Phase 2S'!D16:H18)</f>
        <v>6.4396036882050405</v>
      </c>
      <c r="F3" s="2">
        <f>SUM('Phase 2 Summary'!D2:I4)</f>
        <v>6.5314999183267348</v>
      </c>
      <c r="G3" s="2">
        <f>SUM('Ridership Phase 3W'!E31:J48)</f>
        <v>9.5628046934736286</v>
      </c>
      <c r="H3" s="2">
        <f>SUM('Phase 2 Summary'!D2:I4)</f>
        <v>6.5314999183267348</v>
      </c>
      <c r="I3" s="2">
        <f>SUM('Phase 2 Summary'!D2:I4)</f>
        <v>6.5314999183267348</v>
      </c>
      <c r="J3" s="2">
        <f t="shared" ref="J3:J29" si="0">(G3-F3)+(H3-F3)+(I3-F3)+F3</f>
        <v>9.5628046934736286</v>
      </c>
      <c r="K3">
        <v>1</v>
      </c>
      <c r="L3">
        <v>80</v>
      </c>
    </row>
    <row r="4" spans="1:12" x14ac:dyDescent="0.25">
      <c r="A4" t="s">
        <v>3</v>
      </c>
      <c r="B4" t="s">
        <v>0</v>
      </c>
      <c r="C4" s="2"/>
      <c r="D4" s="2"/>
      <c r="E4" s="2">
        <f>SUM('Ridership Phase 2S'!E16:H19)</f>
        <v>8.2572928933085983</v>
      </c>
      <c r="F4" s="2">
        <f>SUM('Phase 2 Summary'!E2:I5)</f>
        <v>8.4037051847751307</v>
      </c>
      <c r="G4" s="2">
        <f>SUM('Ridership Phase 3W'!F31:J49)</f>
        <v>10.875989897293762</v>
      </c>
      <c r="H4" s="2">
        <f>SUM('Phase 2 Summary'!E2:I5)</f>
        <v>8.4037051847751307</v>
      </c>
      <c r="I4" s="2">
        <f>SUM('Phase 2 Summary'!E2:I5)</f>
        <v>8.4037051847751307</v>
      </c>
      <c r="J4" s="2">
        <f t="shared" si="0"/>
        <v>10.875989897293762</v>
      </c>
      <c r="K4">
        <v>1</v>
      </c>
      <c r="L4">
        <v>105</v>
      </c>
    </row>
    <row r="5" spans="1:12" x14ac:dyDescent="0.25">
      <c r="A5" t="s">
        <v>0</v>
      </c>
      <c r="B5" t="s">
        <v>1</v>
      </c>
      <c r="C5" s="2">
        <f>SUM('Ridership Phase 1'!B13:D15)</f>
        <v>12.069457143417257</v>
      </c>
      <c r="D5" s="2">
        <f>C5+SUM('Phase 2Q'!D5:D7)</f>
        <v>12.803190273319231</v>
      </c>
      <c r="E5" s="2">
        <f>SUM('Ridership Phase 2S'!F16:H21)</f>
        <v>13.681878690265876</v>
      </c>
      <c r="F5" s="2">
        <f>SUM('Phase 2 Summary'!F2:I7)</f>
        <v>14.507508050289541</v>
      </c>
      <c r="G5" s="2">
        <f>SUM('Ridership Phase 3W'!G31:J51)</f>
        <v>15.088312879281347</v>
      </c>
      <c r="H5" s="2">
        <f>SUM('Phase 2 Summary'!F2:I7)+SUM('Ridership Phase 3N'!G33:H46)</f>
        <v>15.82285627834551</v>
      </c>
      <c r="I5" s="2">
        <f>SUM('Phase 2 Summary'!F2:I7)</f>
        <v>14.507508050289541</v>
      </c>
      <c r="J5" s="2">
        <f t="shared" si="0"/>
        <v>16.403661107337314</v>
      </c>
      <c r="K5">
        <v>1</v>
      </c>
      <c r="L5">
        <v>50</v>
      </c>
    </row>
    <row r="6" spans="1:12" x14ac:dyDescent="0.25">
      <c r="A6" t="s">
        <v>1</v>
      </c>
      <c r="B6" t="s">
        <v>6</v>
      </c>
      <c r="C6" s="2">
        <f>SUM('Ridership Phase 1'!C13:D16)</f>
        <v>11.459301291313951</v>
      </c>
      <c r="D6" s="2">
        <f>C6+SUM('Phase 2Q'!D4:D7)</f>
        <v>12.251919270748234</v>
      </c>
      <c r="E6" s="2">
        <f>SUM('Ridership Phase 2S'!G16:H22)</f>
        <v>12.679093224285635</v>
      </c>
      <c r="F6" s="2">
        <f>SUM('Phase 2 Summary'!G2:I8)</f>
        <v>13.563607433841613</v>
      </c>
      <c r="G6" s="2">
        <f>SUM('Ridership Phase 3W'!H31:J52)</f>
        <v>13.988705998382587</v>
      </c>
      <c r="H6" s="2">
        <f>SUM('Phase 2 Summary'!G2:I8)+SUM('Ridership Phase 3N'!H33:H38)</f>
        <v>14.007992552879003</v>
      </c>
      <c r="I6" s="2">
        <f>SUM('Phase 2 Summary'!G2:I8)</f>
        <v>13.563607433841613</v>
      </c>
      <c r="J6" s="2">
        <f t="shared" si="0"/>
        <v>14.433091117419977</v>
      </c>
      <c r="K6">
        <v>1</v>
      </c>
      <c r="L6">
        <v>375</v>
      </c>
    </row>
    <row r="7" spans="1:12" x14ac:dyDescent="0.25">
      <c r="A7" t="s">
        <v>6</v>
      </c>
      <c r="B7" t="s">
        <v>7</v>
      </c>
      <c r="C7" s="2">
        <f>SUM('Ridership Phase 1'!D13:D17)</f>
        <v>8.9669787167823856</v>
      </c>
      <c r="D7" s="2">
        <f>C7+SUM('Phase 2Q'!D3:D7)</f>
        <v>10.220402715080967</v>
      </c>
      <c r="E7" s="2">
        <f>SUM('Ridership Phase 2S'!H16:H23)</f>
        <v>9.6373064922824021</v>
      </c>
      <c r="F7" s="2">
        <f>SUM('Phase 2 Summary'!H2:I9)</f>
        <v>10.982626720702676</v>
      </c>
      <c r="G7" s="2">
        <f>SUM('Ridership Phase 3W'!I31:J53)</f>
        <v>11.203003555758031</v>
      </c>
      <c r="H7" s="2">
        <f>SUM('Phase 2 Summary'!H2:I9)</f>
        <v>10.982626720702676</v>
      </c>
      <c r="I7" s="2">
        <f>SUM('Phase 2 Summary'!H2:I9)+SUM('Ridership Phase 3M'!H40:H46)</f>
        <v>12.913431918328605</v>
      </c>
      <c r="J7" s="2">
        <f t="shared" si="0"/>
        <v>13.13380875338396</v>
      </c>
      <c r="K7">
        <v>1</v>
      </c>
      <c r="L7">
        <v>175</v>
      </c>
    </row>
    <row r="8" spans="1:12" x14ac:dyDescent="0.25">
      <c r="A8" t="s">
        <v>7</v>
      </c>
      <c r="B8" t="s">
        <v>8</v>
      </c>
      <c r="C8" s="2"/>
      <c r="D8" s="2">
        <f>'Phase 2Q'!D9</f>
        <v>2.3318874055130285</v>
      </c>
      <c r="E8" s="2"/>
      <c r="F8" s="2">
        <f>SUM('Phase 2 Summary'!I2:I10)</f>
        <v>2.423783635634722</v>
      </c>
      <c r="G8" s="2">
        <f>SUM('Ridership Phase 3W'!J31:J54)</f>
        <v>2.4547186792098898</v>
      </c>
      <c r="H8" s="2">
        <f>SUM('Phase 2 Summary'!I2:I10)</f>
        <v>2.423783635634722</v>
      </c>
      <c r="I8" s="2">
        <f>SUM('Phase 2 Summary'!I2:I10)+SUM('Ridership Phase 3M'!J33:J46)</f>
        <v>2.9429142408722089</v>
      </c>
      <c r="J8" s="2">
        <f t="shared" si="0"/>
        <v>2.9738492844473767</v>
      </c>
      <c r="K8">
        <v>1</v>
      </c>
      <c r="L8">
        <v>270</v>
      </c>
    </row>
    <row r="9" spans="1:12" x14ac:dyDescent="0.25">
      <c r="A9" t="s">
        <v>0</v>
      </c>
      <c r="B9" t="s">
        <v>38</v>
      </c>
      <c r="C9" s="2"/>
      <c r="D9" s="2"/>
      <c r="E9" s="2"/>
      <c r="F9" s="2"/>
      <c r="G9" s="2"/>
      <c r="H9" s="2">
        <f>SUM('Ridership Phase 3N'!F33:H46)</f>
        <v>11.714681998127906</v>
      </c>
      <c r="J9" s="2">
        <f t="shared" si="0"/>
        <v>11.714681998127906</v>
      </c>
      <c r="K9">
        <v>1</v>
      </c>
      <c r="L9">
        <v>85</v>
      </c>
    </row>
    <row r="10" spans="1:12" x14ac:dyDescent="0.25">
      <c r="A10" t="s">
        <v>10</v>
      </c>
      <c r="B10" t="s">
        <v>5</v>
      </c>
      <c r="C10" s="2"/>
      <c r="D10" s="2"/>
      <c r="E10" s="2"/>
      <c r="F10" s="2"/>
      <c r="G10" s="2">
        <f>SUM('Ridership Phase 3W'!B31:J46)</f>
        <v>9.4539769128364579</v>
      </c>
      <c r="J10" s="2">
        <f t="shared" si="0"/>
        <v>9.4539769128364579</v>
      </c>
      <c r="K10">
        <v>0.5</v>
      </c>
      <c r="L10">
        <v>5</v>
      </c>
    </row>
    <row r="11" spans="1:12" x14ac:dyDescent="0.25">
      <c r="A11" t="s">
        <v>41</v>
      </c>
      <c r="B11" t="s">
        <v>10</v>
      </c>
      <c r="C11" s="2"/>
      <c r="D11" s="2"/>
      <c r="E11" s="2"/>
      <c r="F11" s="2"/>
      <c r="G11" s="2">
        <f>SUM('Ridership Phase 3W'!B31:J31)+SUM('Ridership Phase 3W'!B33:J46)</f>
        <v>5.849588158074571</v>
      </c>
      <c r="J11" s="2">
        <f t="shared" si="0"/>
        <v>5.849588158074571</v>
      </c>
      <c r="K11">
        <v>0.5</v>
      </c>
      <c r="L11">
        <v>95</v>
      </c>
    </row>
    <row r="12" spans="1:12" x14ac:dyDescent="0.25">
      <c r="A12" t="s">
        <v>11</v>
      </c>
      <c r="B12" t="s">
        <v>41</v>
      </c>
      <c r="C12" s="2"/>
      <c r="D12" s="2"/>
      <c r="E12" s="2"/>
      <c r="F12" s="2"/>
      <c r="G12" s="2">
        <f>SUM('Ridership Phase 3W'!B31:J31)</f>
        <v>3.0637382526631192</v>
      </c>
      <c r="J12" s="2">
        <f t="shared" si="0"/>
        <v>3.0637382526631192</v>
      </c>
      <c r="K12">
        <v>0.5</v>
      </c>
      <c r="L12">
        <v>360</v>
      </c>
    </row>
    <row r="13" spans="1:12" x14ac:dyDescent="0.25">
      <c r="A13" t="s">
        <v>40</v>
      </c>
      <c r="B13" t="s">
        <v>41</v>
      </c>
      <c r="G13" s="2">
        <f>SUM('Ridership Phase 3W'!B33:E33)+SUM('Ridership Phase 3W'!B35:E46)</f>
        <v>2.0603949186735671</v>
      </c>
      <c r="J13" s="2">
        <f t="shared" si="0"/>
        <v>2.0603949186735671</v>
      </c>
      <c r="K13">
        <v>0.5</v>
      </c>
      <c r="L13">
        <v>175</v>
      </c>
    </row>
    <row r="14" spans="1:12" x14ac:dyDescent="0.25">
      <c r="A14" t="s">
        <v>40</v>
      </c>
      <c r="B14" t="s">
        <v>69</v>
      </c>
      <c r="G14" s="2">
        <f>SUM('Ridership Phase 3W'!B36:E36)+SUM('Ridership Phase 3W'!B43:C46)</f>
        <v>1.0922163736526929</v>
      </c>
      <c r="H14" s="2">
        <f>SUM('Ridership Phase 3N'!D36:H36)+SUM('Ridership Phase 3N'!D44:G46)</f>
        <v>2.5854144226384479</v>
      </c>
      <c r="J14" s="2">
        <f t="shared" si="0"/>
        <v>3.6776307962911408</v>
      </c>
      <c r="K14">
        <v>0.5</v>
      </c>
      <c r="L14">
        <v>190</v>
      </c>
    </row>
    <row r="15" spans="1:12" x14ac:dyDescent="0.25">
      <c r="A15" t="s">
        <v>40</v>
      </c>
      <c r="B15" t="s">
        <v>68</v>
      </c>
      <c r="G15" s="2">
        <f>SUM('Ridership Phase 3W'!B35:E35)</f>
        <v>0.25029231370998622</v>
      </c>
      <c r="H15" s="2">
        <f>SUM('Ridership Phase 3N'!D33:H33)</f>
        <v>1.8587752173865146</v>
      </c>
      <c r="I15" s="2">
        <f>SUM('Ridership Phase 3M'!I35:J35)</f>
        <v>6.7155417557449429E-2</v>
      </c>
      <c r="J15" s="2">
        <f t="shared" si="0"/>
        <v>2.1762229486539506</v>
      </c>
      <c r="K15">
        <v>0.5</v>
      </c>
      <c r="L15">
        <v>210</v>
      </c>
    </row>
    <row r="16" spans="1:12" x14ac:dyDescent="0.25">
      <c r="A16" t="s">
        <v>38</v>
      </c>
      <c r="B16" t="s">
        <v>71</v>
      </c>
      <c r="H16" s="2">
        <f>SUM('Ridership Phase 3N'!C33:H46)</f>
        <v>15.609571426699578</v>
      </c>
      <c r="J16" s="2">
        <f t="shared" si="0"/>
        <v>15.609571426699578</v>
      </c>
      <c r="K16">
        <v>0.5</v>
      </c>
      <c r="L16">
        <v>90</v>
      </c>
    </row>
    <row r="17" spans="1:12" x14ac:dyDescent="0.25">
      <c r="A17" t="s">
        <v>40</v>
      </c>
      <c r="B17" t="s">
        <v>71</v>
      </c>
      <c r="G17" s="2">
        <f>SUM('Ridership Phase 3W'!B37:B41)</f>
        <v>0.156404241628497</v>
      </c>
      <c r="H17" s="2">
        <f>SUM('Ridership Phase 3N'!D33:H36)+SUM('Ridership Phase 3N'!D44:G46)</f>
        <v>5.4075649931910688</v>
      </c>
      <c r="I17" s="2">
        <f>SUM('Ridership Phase 3M'!I33:J35)</f>
        <v>0.17145287813796797</v>
      </c>
      <c r="J17" s="2">
        <f t="shared" si="0"/>
        <v>5.7354221129575338</v>
      </c>
      <c r="K17">
        <v>0.5</v>
      </c>
      <c r="L17">
        <v>295</v>
      </c>
    </row>
    <row r="18" spans="1:12" x14ac:dyDescent="0.25">
      <c r="A18" t="s">
        <v>72</v>
      </c>
      <c r="B18" t="s">
        <v>71</v>
      </c>
      <c r="G18" s="2">
        <f>SUM('Ridership Phase 3W'!B38:B41)</f>
        <v>0.1126681911174629</v>
      </c>
      <c r="H18" s="2">
        <f>SUM('Ridership Phase 3N'!C38:H43)</f>
        <v>9.1288634918095166</v>
      </c>
      <c r="I18" s="2">
        <f>SUM('Ridership Phase 3M'!I33:J35)+SUM('Ridership Phase 3M'!I37:J37)</f>
        <v>0.26086253395457698</v>
      </c>
      <c r="J18" s="2">
        <f t="shared" si="0"/>
        <v>9.5023942168815569</v>
      </c>
      <c r="K18">
        <v>0.5</v>
      </c>
      <c r="L18">
        <v>100</v>
      </c>
    </row>
    <row r="19" spans="1:12" x14ac:dyDescent="0.25">
      <c r="A19" t="s">
        <v>73</v>
      </c>
      <c r="B19" t="s">
        <v>72</v>
      </c>
      <c r="G19" s="2">
        <f>SUM('Ridership Phase 3W'!B39:B41)</f>
        <v>8.101338423166432E-2</v>
      </c>
      <c r="H19" s="2">
        <f>SUM('Ridership Phase 3N'!C39:G43)</f>
        <v>8.0861897410654802</v>
      </c>
      <c r="I19" s="2">
        <f>SUM('Ridership Phase 3M'!I33:J35)+SUM('Ridership Phase 3M'!I37:J38)</f>
        <v>0.37671526194712146</v>
      </c>
      <c r="J19" s="2">
        <f t="shared" si="0"/>
        <v>8.5439183872442648</v>
      </c>
      <c r="K19">
        <v>0.5</v>
      </c>
      <c r="L19">
        <v>130</v>
      </c>
    </row>
    <row r="20" spans="1:12" x14ac:dyDescent="0.25">
      <c r="A20" t="s">
        <v>75</v>
      </c>
      <c r="B20" t="s">
        <v>73</v>
      </c>
      <c r="G20" s="2">
        <f>SUM('Ridership Phase 3W'!B40:B41)</f>
        <v>6.0605249753621783E-2</v>
      </c>
      <c r="H20" s="2">
        <f>SUM('Ridership Phase 3N'!C40:G43)</f>
        <v>7.2264809918901456</v>
      </c>
      <c r="I20" s="2">
        <f>SUM('Ridership Phase 3M'!I33:J35)+SUM('Ridership Phase 3M'!I37:J39)</f>
        <v>0.5352872471376402</v>
      </c>
      <c r="J20" s="2">
        <f t="shared" si="0"/>
        <v>7.822373488781408</v>
      </c>
      <c r="K20">
        <v>0.5</v>
      </c>
      <c r="L20">
        <v>220</v>
      </c>
    </row>
    <row r="21" spans="1:12" x14ac:dyDescent="0.25">
      <c r="A21" t="s">
        <v>78</v>
      </c>
      <c r="B21" t="s">
        <v>75</v>
      </c>
      <c r="H21" s="2">
        <f>SUM('Ridership Phase 3N'!C42:G43)</f>
        <v>4.9943086940954746</v>
      </c>
      <c r="I21" s="2">
        <f>SUM('Ridership Phase 3M'!H42:J46)+SUM('Ridership Phase 3M'!I36:J36)</f>
        <v>4.6620576457349019</v>
      </c>
      <c r="J21" s="2">
        <f t="shared" si="0"/>
        <v>9.6563663398303774</v>
      </c>
      <c r="K21">
        <v>0.5</v>
      </c>
      <c r="L21">
        <v>220</v>
      </c>
    </row>
    <row r="22" spans="1:12" x14ac:dyDescent="0.25">
      <c r="A22" t="s">
        <v>76</v>
      </c>
      <c r="B22" t="s">
        <v>75</v>
      </c>
      <c r="G22" s="2">
        <f>'Ridership Phase 3W'!B41</f>
        <v>4.8051226237717105E-2</v>
      </c>
      <c r="H22" s="2">
        <f>SUM('Ridership Phase 3N'!C41:G41)</f>
        <v>1.6737599757929711</v>
      </c>
      <c r="I22" s="2">
        <f>SUM('Ridership Phase 3M'!H41:J41)</f>
        <v>1.2098238665710377</v>
      </c>
      <c r="J22" s="2">
        <f t="shared" si="0"/>
        <v>2.9316350686017261</v>
      </c>
      <c r="K22">
        <v>0.5</v>
      </c>
      <c r="L22">
        <v>260</v>
      </c>
    </row>
    <row r="23" spans="1:12" x14ac:dyDescent="0.25">
      <c r="A23" t="s">
        <v>80</v>
      </c>
      <c r="B23" t="s">
        <v>78</v>
      </c>
      <c r="G23" s="2">
        <f>'Ridership Phase 3W'!B42</f>
        <v>0.1559554597612747</v>
      </c>
      <c r="H23" s="2">
        <f>SUM('Ridership Phase 3N'!D43:G43)</f>
        <v>1.0221882899015862</v>
      </c>
      <c r="I23" s="2">
        <f>SUM('Ridership Phase 3M'!H43:J46)+SUM('Ridership Phase 3M'!I36:J36)</f>
        <v>1.7016246251229261</v>
      </c>
      <c r="J23" s="2">
        <f t="shared" si="0"/>
        <v>2.8797683747857867</v>
      </c>
      <c r="K23">
        <v>0.5</v>
      </c>
      <c r="L23">
        <v>135</v>
      </c>
    </row>
    <row r="24" spans="1:12" x14ac:dyDescent="0.25">
      <c r="A24" t="s">
        <v>81</v>
      </c>
      <c r="B24" t="s">
        <v>80</v>
      </c>
      <c r="I24" s="2">
        <f>SUM('Ridership Phase 3M'!H44:J45)</f>
        <v>0.79996568034108606</v>
      </c>
      <c r="J24" s="2">
        <f t="shared" si="0"/>
        <v>0.79996568034108606</v>
      </c>
      <c r="K24">
        <v>0.5</v>
      </c>
      <c r="L24">
        <v>155</v>
      </c>
    </row>
    <row r="25" spans="1:12" x14ac:dyDescent="0.25">
      <c r="A25" t="s">
        <v>70</v>
      </c>
      <c r="B25" t="s">
        <v>81</v>
      </c>
      <c r="G25" s="2">
        <f>SUM('Ridership Phase 3W'!B45:C45)</f>
        <v>0.33604346980347954</v>
      </c>
      <c r="H25" s="2">
        <f>SUM('Ridership Phase 3N'!D45:G45)</f>
        <v>0.91121075786729133</v>
      </c>
      <c r="I25" s="2">
        <f>SUM('Ridership Phase 3M'!H45:J45)</f>
        <v>0.5199147587447821</v>
      </c>
      <c r="J25" s="2">
        <f t="shared" si="0"/>
        <v>1.7671689864155531</v>
      </c>
      <c r="K25">
        <v>0.5</v>
      </c>
      <c r="L25">
        <v>60</v>
      </c>
    </row>
    <row r="26" spans="1:12" x14ac:dyDescent="0.25">
      <c r="A26" t="s">
        <v>69</v>
      </c>
      <c r="B26" t="s">
        <v>90</v>
      </c>
      <c r="G26" s="2">
        <f>SUM('Ridership Phase 3W'!B42:C46)</f>
        <v>0.98948960447871581</v>
      </c>
      <c r="H26" s="2">
        <f>SUM('Ridership Phase 3N'!D44:G46)</f>
        <v>1.5628583325504106</v>
      </c>
      <c r="I26" s="2">
        <f>SUM('Ridership Phase 3M'!I36:J36)</f>
        <v>8.8926730689292507E-2</v>
      </c>
      <c r="J26" s="2">
        <f t="shared" si="0"/>
        <v>2.6412746677184189</v>
      </c>
      <c r="K26">
        <v>0.5</v>
      </c>
      <c r="L26">
        <v>290</v>
      </c>
    </row>
    <row r="27" spans="1:12" x14ac:dyDescent="0.25">
      <c r="A27" t="s">
        <v>90</v>
      </c>
      <c r="B27" t="s">
        <v>80</v>
      </c>
      <c r="G27" s="2">
        <f>SUM('Ridership Phase 3W'!B42:C43)</f>
        <v>0.42340903300153443</v>
      </c>
      <c r="I27" s="2">
        <f>SUM('Ridership Phase 3M'!I36:J36)+SUM('Ridership Phase 3M'!H46:J46)</f>
        <v>0.17071353180468357</v>
      </c>
      <c r="J27" s="2">
        <f t="shared" si="0"/>
        <v>0.59412256480621806</v>
      </c>
      <c r="K27">
        <v>0.5</v>
      </c>
      <c r="L27">
        <v>155</v>
      </c>
    </row>
    <row r="28" spans="1:12" x14ac:dyDescent="0.25">
      <c r="A28" t="s">
        <v>90</v>
      </c>
      <c r="B28" t="s">
        <v>81</v>
      </c>
      <c r="G28" s="2">
        <f>SUM('Ridership Phase 3W'!B44:C45)</f>
        <v>0.50581121680309948</v>
      </c>
      <c r="H28" s="2">
        <f>SUM('Ridership Phase 3N'!D44:G45)</f>
        <v>1.3959617241523161</v>
      </c>
      <c r="J28" s="2">
        <f t="shared" si="0"/>
        <v>1.9017729409554156</v>
      </c>
      <c r="K28">
        <v>0.5</v>
      </c>
      <c r="L28">
        <v>110</v>
      </c>
    </row>
    <row r="29" spans="1:12" x14ac:dyDescent="0.25">
      <c r="A29" t="s">
        <v>75</v>
      </c>
      <c r="B29" t="s">
        <v>7</v>
      </c>
      <c r="I29" s="2">
        <f>SUM('Ridership Phase 3M'!H33:J46)</f>
        <v>6.759425320372296</v>
      </c>
      <c r="J29" s="2">
        <f t="shared" si="0"/>
        <v>6.759425320372296</v>
      </c>
      <c r="K29">
        <v>0.5</v>
      </c>
      <c r="L29">
        <v>350</v>
      </c>
    </row>
  </sheetData>
  <phoneticPr fontId="2" type="noConversion"/>
  <conditionalFormatting sqref="C2:G7">
    <cfRule type="colorScale" priority="24">
      <colorScale>
        <cfvo type="min"/>
        <cfvo type="max"/>
        <color rgb="FFFCFCFF"/>
        <color rgb="FF63BE7B"/>
      </colorScale>
    </cfRule>
  </conditionalFormatting>
  <conditionalFormatting sqref="C2:G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:G28">
    <cfRule type="colorScale" priority="7">
      <colorScale>
        <cfvo type="min"/>
        <cfvo type="max"/>
        <color rgb="FFFCFCFF"/>
        <color rgb="FF63BE7B"/>
      </colorScale>
    </cfRule>
  </conditionalFormatting>
  <conditionalFormatting sqref="C2:I29">
    <cfRule type="colorScale" priority="1">
      <colorScale>
        <cfvo type="min"/>
        <cfvo type="max"/>
        <color rgb="FFFCFCFF"/>
        <color rgb="FF63BE7B"/>
      </colorScale>
    </cfRule>
  </conditionalFormatting>
  <conditionalFormatting sqref="C2:J8 C9:I15 J9:J29">
    <cfRule type="colorScale" priority="8">
      <colorScale>
        <cfvo type="min"/>
        <cfvo type="max"/>
        <color rgb="FFFCFCFF"/>
        <color rgb="FF63BE7B"/>
      </colorScale>
    </cfRule>
  </conditionalFormatting>
  <conditionalFormatting sqref="C2:J8 C9:I28 J9:J29">
    <cfRule type="colorScale" priority="2">
      <colorScale>
        <cfvo type="min"/>
        <cfvo type="max"/>
        <color rgb="FFFCFCFF"/>
        <color rgb="FF63BE7B"/>
      </colorScale>
    </cfRule>
  </conditionalFormatting>
  <conditionalFormatting sqref="H6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2345-DF14-4FBF-9D35-388ADF41F52E}">
  <dimension ref="A1:J6"/>
  <sheetViews>
    <sheetView workbookViewId="0">
      <selection activeCell="J14" sqref="J14"/>
    </sheetView>
  </sheetViews>
  <sheetFormatPr defaultRowHeight="15" x14ac:dyDescent="0.25"/>
  <cols>
    <col min="2" max="10" width="10.42578125" customWidth="1"/>
  </cols>
  <sheetData>
    <row r="1" spans="1:10" x14ac:dyDescent="0.25">
      <c r="B1" t="s">
        <v>50</v>
      </c>
      <c r="C1" t="s">
        <v>57</v>
      </c>
      <c r="D1" t="s">
        <v>58</v>
      </c>
      <c r="E1" t="s">
        <v>65</v>
      </c>
      <c r="F1" t="s">
        <v>61</v>
      </c>
      <c r="G1" t="s">
        <v>82</v>
      </c>
      <c r="H1" t="s">
        <v>83</v>
      </c>
      <c r="I1" t="s">
        <v>84</v>
      </c>
      <c r="J1" t="s">
        <v>91</v>
      </c>
    </row>
    <row r="2" spans="1:10" x14ac:dyDescent="0.25">
      <c r="A2" t="s">
        <v>92</v>
      </c>
      <c r="B2" s="6">
        <f>SUM('Profit Phase 1'!B13:D17)</f>
        <v>560.72745012704434</v>
      </c>
      <c r="C2" s="6">
        <f>'Phase 2Q'!F9+'Financial Summary'!B2</f>
        <v>663.24347395143377</v>
      </c>
      <c r="D2" s="6">
        <f>SUM('Profit Phase 2S'!B16:H23)</f>
        <v>820.21376829667406</v>
      </c>
      <c r="E2" s="6">
        <f>SUM('Phase 2 Summary'!B15:I23)</f>
        <v>931.91232110067278</v>
      </c>
      <c r="F2" s="6">
        <f>SUM('Profit Phase 3W'!B32:J55)</f>
        <v>1070.063664577257</v>
      </c>
      <c r="G2" s="6">
        <f>SUM('Profit Phase 3N'!B32:J55)</f>
        <v>1100.9935355473174</v>
      </c>
      <c r="H2" s="6">
        <f>SUM('Profit Phase 3M'!B32:J55)</f>
        <v>1021.7027538077351</v>
      </c>
      <c r="I2" s="6">
        <f>SUM('Phase 3 Summary'!B30:J53)</f>
        <v>1267.156909934323</v>
      </c>
      <c r="J2" s="6">
        <f>SUM('Phase 3 Summary'!B30:J53)</f>
        <v>1267.156909934323</v>
      </c>
    </row>
    <row r="3" spans="1:10" x14ac:dyDescent="0.25">
      <c r="A3" t="s">
        <v>95</v>
      </c>
      <c r="C3" s="6">
        <f>C2-B2</f>
        <v>102.51602382438944</v>
      </c>
      <c r="D3" s="6">
        <f>D2-B2</f>
        <v>259.48631816962973</v>
      </c>
      <c r="E3" s="6">
        <f>E2-B2</f>
        <v>371.18487097362845</v>
      </c>
      <c r="F3" s="6">
        <f>F2-E2</f>
        <v>138.1513434765842</v>
      </c>
      <c r="G3" s="6">
        <f>G2-E2</f>
        <v>169.08121444664459</v>
      </c>
      <c r="H3" s="6">
        <f>H2-E2</f>
        <v>89.790432707062337</v>
      </c>
      <c r="I3" s="6">
        <f>I2-E2</f>
        <v>335.24458883365025</v>
      </c>
    </row>
    <row r="4" spans="1:10" x14ac:dyDescent="0.25">
      <c r="A4" t="s">
        <v>98</v>
      </c>
      <c r="B4" s="5">
        <f>SUM('Construction Costs'!C9:C12)</f>
        <v>23500</v>
      </c>
      <c r="C4" s="5">
        <f>SUM('Construction Costs'!C9:C13)</f>
        <v>29620</v>
      </c>
      <c r="D4" s="5">
        <f>SUM('Construction Costs'!C5:C12)</f>
        <v>39000</v>
      </c>
      <c r="E4" s="5">
        <f>SUM('Construction Costs'!C5:C13)</f>
        <v>45120</v>
      </c>
      <c r="F4" s="5">
        <f>E4+'Construction Costs'!C4</f>
        <v>45820</v>
      </c>
      <c r="G4" s="5">
        <f>E4+'Construction Costs'!C3</f>
        <v>47020</v>
      </c>
      <c r="H4" s="5">
        <f>E4+'Construction Costs'!C2</f>
        <v>47720</v>
      </c>
      <c r="I4" s="5">
        <f>SUM('Construction Costs'!C2:C13)</f>
        <v>50320</v>
      </c>
      <c r="J4" s="5">
        <f>SUM('Construction Costs'!C2:C13)</f>
        <v>50320</v>
      </c>
    </row>
    <row r="5" spans="1:10" x14ac:dyDescent="0.25">
      <c r="A5" t="s">
        <v>93</v>
      </c>
      <c r="C5" s="13">
        <f>C4-$B$4</f>
        <v>6120</v>
      </c>
      <c r="D5" s="13">
        <f>D4-$B$4</f>
        <v>15500</v>
      </c>
      <c r="E5" s="13">
        <f>E4-B4</f>
        <v>21620</v>
      </c>
      <c r="F5" s="13">
        <f>F4-$E$4</f>
        <v>700</v>
      </c>
      <c r="G5" s="13">
        <f t="shared" ref="G5:H5" si="0">G4-$E$4</f>
        <v>1900</v>
      </c>
      <c r="H5" s="13">
        <f t="shared" si="0"/>
        <v>2600</v>
      </c>
      <c r="I5" s="13">
        <f>I4-E4</f>
        <v>5200</v>
      </c>
    </row>
    <row r="6" spans="1:10" x14ac:dyDescent="0.25">
      <c r="A6" t="s">
        <v>94</v>
      </c>
      <c r="B6" s="7">
        <f>B2/B4</f>
        <v>2.3860742558597631E-2</v>
      </c>
      <c r="C6" s="7">
        <f t="shared" ref="C6:I6" si="1">C3/C5</f>
        <v>1.6750984285030954E-2</v>
      </c>
      <c r="D6" s="7">
        <f t="shared" si="1"/>
        <v>1.6741052785137402E-2</v>
      </c>
      <c r="E6" s="7">
        <f t="shared" si="1"/>
        <v>1.7168587926624814E-2</v>
      </c>
      <c r="F6" s="7">
        <f t="shared" si="1"/>
        <v>0.19735906210940601</v>
      </c>
      <c r="G6" s="7">
        <f t="shared" si="1"/>
        <v>8.8990112866655049E-2</v>
      </c>
      <c r="H6" s="7">
        <f t="shared" si="1"/>
        <v>3.4534781810408588E-2</v>
      </c>
      <c r="I6" s="7">
        <f t="shared" si="1"/>
        <v>6.4470113237240431E-2</v>
      </c>
      <c r="J6" s="7">
        <f>J2/J4</f>
        <v>2.5181973567852206E-2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F23C-F796-49FF-96E1-B045B6E6DACA}">
  <dimension ref="A2:B8"/>
  <sheetViews>
    <sheetView tabSelected="1" workbookViewId="0">
      <selection activeCell="B2" sqref="B2"/>
    </sheetView>
  </sheetViews>
  <sheetFormatPr defaultRowHeight="15" x14ac:dyDescent="0.25"/>
  <sheetData>
    <row r="2" spans="1:2" x14ac:dyDescent="0.25">
      <c r="A2" t="s">
        <v>13</v>
      </c>
      <c r="B2">
        <v>2</v>
      </c>
    </row>
    <row r="3" spans="1:2" x14ac:dyDescent="0.25">
      <c r="A3" t="s">
        <v>62</v>
      </c>
      <c r="B3">
        <v>1.5</v>
      </c>
    </row>
    <row r="4" spans="1:2" x14ac:dyDescent="0.25">
      <c r="A4" t="s">
        <v>24</v>
      </c>
      <c r="B4">
        <f>0.065/0.75</f>
        <v>8.666666666666667E-2</v>
      </c>
    </row>
    <row r="5" spans="1:2" x14ac:dyDescent="0.25">
      <c r="A5" t="s">
        <v>25</v>
      </c>
      <c r="B5">
        <v>40</v>
      </c>
    </row>
    <row r="7" spans="1:2" x14ac:dyDescent="0.25">
      <c r="A7" t="s">
        <v>99</v>
      </c>
      <c r="B7">
        <v>140</v>
      </c>
    </row>
    <row r="8" spans="1:2" x14ac:dyDescent="0.25">
      <c r="A8" t="s">
        <v>100</v>
      </c>
      <c r="B8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52DE-BB04-4670-A438-57CBECEFC1E0}">
  <dimension ref="A1:Y10"/>
  <sheetViews>
    <sheetView topLeftCell="G1" workbookViewId="0">
      <selection activeCell="R16" sqref="R16"/>
    </sheetView>
  </sheetViews>
  <sheetFormatPr defaultRowHeight="15" x14ac:dyDescent="0.25"/>
  <sheetData>
    <row r="1" spans="1:25" x14ac:dyDescent="0.25">
      <c r="B1" t="s">
        <v>7</v>
      </c>
      <c r="C1" t="s">
        <v>6</v>
      </c>
      <c r="D1" t="s">
        <v>38</v>
      </c>
      <c r="E1" t="s">
        <v>8</v>
      </c>
      <c r="F1" t="s">
        <v>3</v>
      </c>
      <c r="G1" t="s">
        <v>4</v>
      </c>
      <c r="H1" t="s">
        <v>1</v>
      </c>
      <c r="I1" t="s">
        <v>5</v>
      </c>
      <c r="J1" t="s">
        <v>11</v>
      </c>
      <c r="K1" t="s">
        <v>10</v>
      </c>
      <c r="L1" t="s">
        <v>40</v>
      </c>
      <c r="M1" t="s">
        <v>41</v>
      </c>
      <c r="N1" t="s">
        <v>68</v>
      </c>
      <c r="O1" t="s">
        <v>69</v>
      </c>
      <c r="P1" t="s">
        <v>71</v>
      </c>
      <c r="Q1" t="s">
        <v>72</v>
      </c>
      <c r="R1" t="s">
        <v>73</v>
      </c>
      <c r="S1" t="s">
        <v>75</v>
      </c>
      <c r="T1" t="s">
        <v>76</v>
      </c>
      <c r="U1" t="s">
        <v>78</v>
      </c>
      <c r="V1" t="s">
        <v>80</v>
      </c>
      <c r="W1" t="s">
        <v>81</v>
      </c>
      <c r="X1" t="s">
        <v>70</v>
      </c>
      <c r="Y1" t="s">
        <v>90</v>
      </c>
    </row>
    <row r="2" spans="1:25" x14ac:dyDescent="0.25">
      <c r="A2" t="s">
        <v>0</v>
      </c>
      <c r="B2" s="2">
        <f>75000*(VLOOKUP($A2,Population!$A$1:$B$10,2,FALSE)*HLOOKUP(B$1,Population!$G$1:$P$2,2,FALSE))^0.8/(MAX('All Distances'!B2,500))^2</f>
        <v>3.084296011437591</v>
      </c>
      <c r="C2" s="2">
        <f>75000*(VLOOKUP($A2,Population!$A$1:$B$10,2,FALSE)*HLOOKUP(C$1,Population!$G$1:$P$2,2,FALSE))^0.8/(MAX('All Distances'!C2,500))^2</f>
        <v>1.8777138532895898</v>
      </c>
      <c r="D2" s="2"/>
      <c r="E2" s="2">
        <f>75000*(VLOOKUP($A2,Population!$A$1:$B$10,2,FALSE)*HLOOKUP(E$1,Population!$G$1:$P$2,2,FALSE))^0.8/(MAX('All Distances'!E2,500))^2</f>
        <v>0.37508517232376282</v>
      </c>
      <c r="F2" s="2">
        <f>75000*(VLOOKUP($A2,Population!$A$1:$B$10,2,FALSE)*HLOOKUP(F$1,Population!$G$1:$P$2,2,FALSE))^0.8/(MAX('All Distances'!F2,500))^2</f>
        <v>0.90214719568462021</v>
      </c>
      <c r="G2" s="2">
        <f>75000*(VLOOKUP($A2,Population!$A$1:$B$10,2,FALSE)*HLOOKUP(G$1,Population!$G$1:$P$2,2,FALSE))^0.8/(MAX('All Distances'!G2,500))^2</f>
        <v>0.90214719568462021</v>
      </c>
      <c r="H2" s="2">
        <f>75000*(VLOOKUP($A2,Population!$A$1:$B$10,2,FALSE)*HLOOKUP(H$1,Population!$G$1:$P$2,2,FALSE))^0.8/(MAX('All Distances'!H2,500))^2</f>
        <v>0.65223544479009132</v>
      </c>
      <c r="I2" s="2">
        <f>75000*(VLOOKUP($A2,Population!$A$1:$B$10,2,FALSE)*HLOOKUP(I$1,Population!$G$1:$P$2,2,FALSE))^0.8/(MAX('All Distances'!I2,500))^2</f>
        <v>0.65223544479009132</v>
      </c>
      <c r="J2" s="2">
        <f>75000*(VLOOKUP($A2,Population!$A$1:$B$10,2,FALSE)/Coefficient!$B$2*HLOOKUP(J$1,Population!$G$15:$W$17,2,FALSE)/Coefficient!$B$2)^0.8/(MAX('All Distances'!J2,500))^2</f>
        <v>1.0168050638980344</v>
      </c>
      <c r="K2" s="2">
        <f>75000*(VLOOKUP($A2,Population!$A$1:$B$10,2,FALSE)/Coefficient!$B$2*HLOOKUP(K$1,Population!$G$15:$W$17,2,FALSE)/Coefficient!$B$2)^0.8/(MAX('All Distances'!K2,500))^2</f>
        <v>1.4651110750525871</v>
      </c>
      <c r="L2" s="2">
        <f>75000*(VLOOKUP($A2,Population!$A$1:$B$10,2,FALSE)/Coefficient!$B$2*HLOOKUP(L$1,Population!$G$15:$W$17,2,FALSE)/Coefficient!$B$2)^0.8/(MAX('All Distances'!L2,500))^2</f>
        <v>0.99128702432039761</v>
      </c>
      <c r="M2" s="2">
        <f>75000*(VLOOKUP($A2,Population!$A$1:$B$10,2,FALSE)/Coefficient!$B$2*HLOOKUP(M$1,Population!$G$15:$W$17,2,FALSE)/Coefficient!$B$2)^0.8/(MAX('All Distances'!M2,500))^2</f>
        <v>0.29759759034685968</v>
      </c>
      <c r="N2" s="2">
        <f>75000*(VLOOKUP($A2,Population!$A$1:$B$10,2,FALSE)/Coefficient!$B$2*HLOOKUP(N$1,Population!$G$15:$W$17,2,FALSE)/Coefficient!$B$2)^0.8/(MAX('All Distances'!N2,500))^2</f>
        <v>0.42155533498909936</v>
      </c>
      <c r="O2" s="2">
        <f>75000*(VLOOKUP($A2,Population!$A$1:$B$10,2,FALSE)/Coefficient!$B$2*HLOOKUP(O$1,Population!$G$15:$W$17,2,FALSE)/Coefficient!$B$2)^0.8/(MAX('All Distances'!O2,500))^2</f>
        <v>0.50042940013674153</v>
      </c>
      <c r="P2" s="2">
        <f>75000*(VLOOKUP($A2,Population!$A$1:$B$10,2,FALSE)/Coefficient!$B$2*HLOOKUP(P$1,Population!$G$15:$W$17,2,FALSE)/Coefficient!$B$2)^0.8/(MAX('All Distances'!P2,500))^2</f>
        <v>0.48330641342321701</v>
      </c>
      <c r="Q2" s="2">
        <f>75000*(VLOOKUP($A2,Population!$A$1:$B$10,2,FALSE)/Coefficient!$B$2*HLOOKUP(Q$1,Population!$G$15:$W$17,2,FALSE)/Coefficient!$B$2)^0.8/(MAX('All Distances'!Q2,500))^2</f>
        <v>0.44782507787006876</v>
      </c>
      <c r="R2" s="2">
        <f>75000*(VLOOKUP($A2,Population!$A$1:$B$10,2,FALSE)/Coefficient!$B$2*HLOOKUP(R$1,Population!$G$15:$W$17,2,FALSE)/Coefficient!$B$2)^0.8/(MAX('All Distances'!R2,500))^2</f>
        <v>0.44782507787006876</v>
      </c>
      <c r="S2" s="2">
        <f>75000*(VLOOKUP($A2,Population!$A$1:$B$10,2,FALSE)/Coefficient!$B$2*HLOOKUP(S$1,Population!$G$15:$W$17,2,FALSE)/Coefficient!$B$2)^0.8/(MAX('All Distances'!S2,500))^2</f>
        <v>0.26344040879686809</v>
      </c>
      <c r="T2" s="2">
        <f>75000*(VLOOKUP($A2,Population!$A$1:$B$10,2,FALSE)/Coefficient!$B$2*HLOOKUP(T$1,Population!$G$15:$W$17,2,FALSE)/Coefficient!$B$2)^0.8/(MAX('All Distances'!T2,500))^2</f>
        <v>0.75445591355235475</v>
      </c>
      <c r="U2" s="2">
        <f>75000*(VLOOKUP($A2,Population!$A$1:$B$10,2,FALSE)/Coefficient!$B$2*HLOOKUP(U$1,Population!$G$15:$W$17,2,FALSE)/Coefficient!$B$2)^0.8/(MAX('All Distances'!U2,500))^2</f>
        <v>1.8522102905517739</v>
      </c>
      <c r="V2" s="2">
        <f>75000*(VLOOKUP($A2,Population!$A$1:$B$10,2,FALSE)/Coefficient!$B$2*HLOOKUP(V$1,Population!$G$15:$W$17,2,FALSE)/Coefficient!$B$2)^0.8/(MAX('All Distances'!V2,500))^2</f>
        <v>0.49529065667491018</v>
      </c>
      <c r="W2" s="2">
        <f>75000*(VLOOKUP($A2,Population!$A$1:$B$10,2,FALSE)/Coefficient!$B$2*HLOOKUP(W$1,Population!$G$15:$W$17,2,FALSE)/Coefficient!$B$2)^0.8/(MAX('All Distances'!W2,500))^2</f>
        <v>0.22707175329918378</v>
      </c>
      <c r="X2" s="2">
        <f>75000*(VLOOKUP($A2,Population!$A$1:$B$10,2,FALSE)/Coefficient!$B$2*HLOOKUP(X$1,Population!$G$15:$W$17,2,FALSE)/Coefficient!$B$2)^0.8/(MAX('All Distances'!X2,500))^2</f>
        <v>0.39405455553795432</v>
      </c>
      <c r="Y2" s="2">
        <f>75000*(VLOOKUP($A2,Population!$A$1:$B$10,2,FALSE)/Coefficient!$B$2*HLOOKUP(Y$1,Population!$G$15:$W$17,2,FALSE)/Coefficient!$B$2)^0.8/(MAX('All Distances'!Y2,500))^2</f>
        <v>8.2437005636249214E-2</v>
      </c>
    </row>
    <row r="3" spans="1:25" x14ac:dyDescent="0.25">
      <c r="A3" t="s">
        <v>7</v>
      </c>
      <c r="B3" s="2"/>
      <c r="C3" s="2">
        <f>75000*(VLOOKUP($A3,Population!$A$1:$B$10,2,FALSE)*HLOOKUP(C$1,Population!$G$1:$P$2,2,FALSE))^0.8/(MAX('All Distances'!C3,500))^2</f>
        <v>1.3575517788529452</v>
      </c>
      <c r="D3" s="2">
        <f>75000*(VLOOKUP($A3,Population!$A$1:$B$10,2,FALSE)*HLOOKUP(D$1,Population!$G$1:$P$2,2,FALSE))^0.8/(MAX('All Distances'!D3,500))^2</f>
        <v>0.6050444177779446</v>
      </c>
      <c r="E3" s="2">
        <f>75000*(VLOOKUP($A3,Population!$A$1:$B$10,2,FALSE)*HLOOKUP(E$1,Population!$G$1:$P$2,2,FALSE))^0.8/(MAX('All Distances'!E3,500))^2</f>
        <v>0.82102311713360121</v>
      </c>
      <c r="F3" s="2">
        <f>75000*(VLOOKUP($A3,Population!$A$1:$B$10,2,FALSE)*HLOOKUP(F$1,Population!$G$1:$P$2,2,FALSE))^0.8/(MAX('All Distances'!F3,500))^2</f>
        <v>0.3280697373321721</v>
      </c>
      <c r="G3" s="2">
        <f>75000*(VLOOKUP($A3,Population!$A$1:$B$10,2,FALSE)*HLOOKUP(G$1,Population!$G$1:$P$2,2,FALSE))^0.8/(MAX('All Distances'!G3,500))^2</f>
        <v>0.26460929238106673</v>
      </c>
      <c r="H3" s="2">
        <f>75000*(VLOOKUP($A3,Population!$A$1:$B$10,2,FALSE)*HLOOKUP(H$1,Population!$G$1:$P$2,2,FALSE))^0.8/(MAX('All Distances'!H3,500))^2</f>
        <v>0.38971400994458916</v>
      </c>
      <c r="I3" s="2">
        <f>75000*(VLOOKUP($A3,Population!$A$1:$B$10,2,FALSE)*HLOOKUP(I$1,Population!$G$1:$P$2,2,FALSE))^0.8/(MAX('All Distances'!I3,500))^2</f>
        <v>0.1279171961894946</v>
      </c>
      <c r="J3" s="2">
        <f>75000*(VLOOKUP($A3,Population!$A$1:$B$10,2,FALSE)/(Coefficient!$B$2*Coefficient!$B$3)*HLOOKUP(J$1,Population!$G$15:$W$17,2,FALSE)/(Coefficient!$B$2*Coefficient!$B$3))^0.8/(MAX('All Distances'!J3,500))^2</f>
        <v>0.12813556691302061</v>
      </c>
      <c r="K3" s="2">
        <f>75000*(VLOOKUP($A3,Population!$A$1:$B$10,2,FALSE)/(Coefficient!$B$2*Coefficient!$B$3)*HLOOKUP(K$1,Population!$G$15:$W$17,2,FALSE)/(Coefficient!$B$2*Coefficient!$B$3))^0.8/(MAX('All Distances'!K3,500))^2</f>
        <v>0.1486404158011907</v>
      </c>
      <c r="L3" s="2">
        <f>75000*(VLOOKUP($A3,Population!$A$1:$B$10,2,FALSE)/(Coefficient!$B$2*Coefficient!$B$3)*HLOOKUP(L$1,Population!$G$15:$W$17,2,FALSE)/(Coefficient!$B$2*Coefficient!$B$3))^0.8/(MAX('All Distances'!L3,500))^2</f>
        <v>7.8107397938026471E-2</v>
      </c>
      <c r="M3" s="2">
        <f>75000*(VLOOKUP($A3,Population!$A$1:$B$10,2,FALSE)/(Coefficient!$B$2*Coefficient!$B$3)*HLOOKUP(M$1,Population!$G$15:$W$17,2,FALSE)/(Coefficient!$B$2*Coefficient!$B$3))^0.8/(MAX('All Distances'!M3,500))^2</f>
        <v>2.5022959142938846E-2</v>
      </c>
      <c r="N3" s="2">
        <f>75000*(VLOOKUP($A3,Population!$A$1:$B$10,2,FALSE)/(Coefficient!$B$2*Coefficient!$B$3)*HLOOKUP(N$1,Population!$G$15:$W$17,2,FALSE)/(Coefficient!$B$2*Coefficient!$B$3))^0.8/(MAX('All Distances'!N3,500))^2</f>
        <v>4.3254606972711745E-2</v>
      </c>
      <c r="O3" s="2">
        <f>75000*(VLOOKUP($A3,Population!$A$1:$B$10,2,FALSE)/(Coefficient!$B$2*Coefficient!$B$3)*HLOOKUP(O$1,Population!$G$15:$W$17,2,FALSE)/(Coefficient!$B$2*Coefficient!$B$3))^0.8/(MAX('All Distances'!O3,500))^2</f>
        <v>6.2289663556324738E-2</v>
      </c>
      <c r="P3" s="2">
        <f>75000*(VLOOKUP($A3,Population!$A$1:$B$10,2,FALSE)/(Coefficient!$B$2*Coefficient!$B$3)*HLOOKUP(P$1,Population!$G$15:$W$17,2,FALSE)/(Coefficient!$B$2*Coefficient!$B$3))^0.8/(MAX('All Distances'!P3,500))^2</f>
        <v>7.1345004744160723E-2</v>
      </c>
      <c r="Q3" s="2">
        <f>75000*(VLOOKUP($A3,Population!$A$1:$B$10,2,FALSE)/(Coefficient!$B$2*Coefficient!$B$3)*HLOOKUP(Q$1,Population!$G$15:$W$17,2,FALSE)/(Coefficient!$B$2*Coefficient!$B$3))^0.8/(MAX('All Distances'!Q3,500))^2</f>
        <v>8.6344229222999003E-2</v>
      </c>
      <c r="R3" s="2">
        <f>75000*(VLOOKUP($A3,Population!$A$1:$B$10,2,FALSE)/(Coefficient!$B$2*Coefficient!$B$3)*HLOOKUP(R$1,Population!$G$15:$W$17,2,FALSE)/(Coefficient!$B$2*Coefficient!$B$3))^0.8/(MAX('All Distances'!R3,500))^2</f>
        <v>0.1302205980894722</v>
      </c>
      <c r="S3" s="2">
        <f>75000*(VLOOKUP($A3,Population!$A$1:$B$10,2,FALSE)/(Coefficient!$B$2*Coefficient!$B$3)*HLOOKUP(S$1,Population!$G$15:$W$17,2,FALSE)/(Coefficient!$B$2*Coefficient!$B$3))^0.8/(MAX('All Distances'!S3,500))^2</f>
        <v>0.15555479251592577</v>
      </c>
      <c r="T3" s="2">
        <f>75000*(VLOOKUP($A3,Population!$A$1:$B$10,2,FALSE)/(Coefficient!$B$2*Coefficient!$B$3)*HLOOKUP(T$1,Population!$G$15:$W$17,2,FALSE)/(Coefficient!$B$2*Coefficient!$B$3))^0.8/(MAX('All Distances'!T3,500))^2</f>
        <v>0.60012499671673547</v>
      </c>
      <c r="U3" s="2">
        <f>75000*(VLOOKUP($A3,Population!$A$1:$B$10,2,FALSE)/(Coefficient!$B$2*Coefficient!$B$3)*HLOOKUP(U$1,Population!$G$15:$W$17,2,FALSE)/(Coefficient!$B$2*Coefficient!$B$3))^0.8/(MAX('All Distances'!U3,500))^2</f>
        <v>1.5382785264203169</v>
      </c>
      <c r="V3" s="2">
        <f>75000*(VLOOKUP($A3,Population!$A$1:$B$10,2,FALSE)/(Coefficient!$B$2*Coefficient!$B$3)*HLOOKUP(V$1,Population!$G$15:$W$17,2,FALSE)/(Coefficient!$B$2*Coefficient!$B$3))^0.8/(MAX('All Distances'!V3,500))^2</f>
        <v>0.36167211933310173</v>
      </c>
      <c r="W3" s="2">
        <f>75000*(VLOOKUP($A3,Population!$A$1:$B$10,2,FALSE)/(Coefficient!$B$2*Coefficient!$B$3)*HLOOKUP(W$1,Population!$G$15:$W$17,2,FALSE)/(Coefficient!$B$2*Coefficient!$B$3))^0.8/(MAX('All Distances'!W3,500))^2</f>
        <v>0.13036437282374161</v>
      </c>
      <c r="X3" s="2">
        <f>75000*(VLOOKUP($A3,Population!$A$1:$B$10,2,FALSE)/(Coefficient!$B$2*Coefficient!$B$3)*HLOOKUP(X$1,Population!$G$15:$W$17,2,FALSE)/(Coefficient!$B$2*Coefficient!$B$3))^0.8/(MAX('All Distances'!X3,500))^2</f>
        <v>0.22069765646857925</v>
      </c>
      <c r="Y3" s="2">
        <f>75000*(VLOOKUP($A3,Population!$A$1:$B$10,2,FALSE)/(Coefficient!$B$2*Coefficient!$B$3)*HLOOKUP(Y$1,Population!$G$15:$W$17,2,FALSE)/(Coefficient!$B$2*Coefficient!$B$3))^0.8/(MAX('All Distances'!Y3,500))^2</f>
        <v>3.8014868703361397E-2</v>
      </c>
    </row>
    <row r="4" spans="1:25" x14ac:dyDescent="0.25">
      <c r="A4" t="s">
        <v>6</v>
      </c>
      <c r="B4" s="2"/>
      <c r="C4" s="2"/>
      <c r="D4" s="2">
        <f>75000*(VLOOKUP($A4,Population!$A$1:$B$10,2,FALSE)*HLOOKUP(D$1,Population!$G$1:$P$2,2,FALSE))^0.8/(MAX('All Distances'!D4,500))^2</f>
        <v>0.46146515716204151</v>
      </c>
      <c r="E4" s="2">
        <f>75000*(VLOOKUP($A4,Population!$A$1:$B$10,2,FALSE)*HLOOKUP(E$1,Population!$G$1:$P$2,2,FALSE))^0.8/(MAX('All Distances'!E4,500))^2</f>
        <v>0.34710930144094587</v>
      </c>
      <c r="F4" s="2">
        <f>75000*(VLOOKUP($A4,Population!$A$1:$B$10,2,FALSE)*HLOOKUP(F$1,Population!$G$1:$P$2,2,FALSE))^0.8/(MAX('All Distances'!F4,500))^2</f>
        <v>0.24541637206482414</v>
      </c>
      <c r="G4" s="2">
        <f>75000*(VLOOKUP($A4,Population!$A$1:$B$10,2,FALSE)*HLOOKUP(G$1,Population!$G$1:$P$2,2,FALSE))^0.8/(MAX('All Distances'!G4,500))^2</f>
        <v>0.18526594709220398</v>
      </c>
      <c r="H4" s="2">
        <f>75000*(VLOOKUP($A4,Population!$A$1:$B$10,2,FALSE)*HLOOKUP(H$1,Population!$G$1:$P$2,2,FALSE))^0.8/(MAX('All Distances'!H4,500))^2</f>
        <v>0.19936194178469219</v>
      </c>
      <c r="I4" s="2">
        <f>75000*(VLOOKUP($A4,Population!$A$1:$B$10,2,FALSE)*HLOOKUP(I$1,Population!$G$1:$P$2,2,FALSE))^0.8/(MAX('All Distances'!I4,500))^2</f>
        <v>8.0880336640306791E-2</v>
      </c>
      <c r="J4" s="2">
        <f>75000*(VLOOKUP($A4,Population!$A$1:$B$10,2,FALSE)/Coefficient!$B$2*HLOOKUP(J$1,Population!$G$15:$W$17,2,FALSE)/Coefficient!$B$2)^0.8/(MAX('All Distances'!J4,500))^2</f>
        <v>0.13482317837141697</v>
      </c>
      <c r="K4" s="2">
        <f>75000*(VLOOKUP($A4,Population!$A$1:$B$10,2,FALSE)/Coefficient!$B$2*HLOOKUP(K$1,Population!$G$15:$W$17,2,FALSE)/Coefficient!$B$2)^0.8/(MAX('All Distances'!K4,500))^2</f>
        <v>0.17938835037256404</v>
      </c>
      <c r="L4" s="2">
        <f>75000*(VLOOKUP($A4,Population!$A$1:$B$10,2,FALSE)/Coefficient!$B$2*HLOOKUP(L$1,Population!$G$15:$W$17,2,FALSE)/Coefficient!$B$2)^0.8/(MAX('All Distances'!L4,500))^2</f>
        <v>9.4565172317379653E-2</v>
      </c>
      <c r="M4" s="2">
        <f>75000*(VLOOKUP($A4,Population!$A$1:$B$10,2,FALSE)/Coefficient!$B$2*HLOOKUP(M$1,Population!$G$15:$W$17,2,FALSE)/Coefficient!$B$2)^0.8/(MAX('All Distances'!M4,500))^2</f>
        <v>2.9034926867853077E-2</v>
      </c>
      <c r="N4" s="2">
        <f>75000*(VLOOKUP($A4,Population!$A$1:$B$10,2,FALSE)/Coefficient!$B$2*HLOOKUP(N$1,Population!$G$15:$W$17,2,FALSE)/Coefficient!$B$2)^0.8/(MAX('All Distances'!N4,500))^2</f>
        <v>4.8796168021945245E-2</v>
      </c>
      <c r="O4" s="2">
        <f>75000*(VLOOKUP($A4,Population!$A$1:$B$10,2,FALSE)/Coefficient!$B$2*HLOOKUP(O$1,Population!$G$15:$W$17,2,FALSE)/Coefficient!$B$2)^0.8/(MAX('All Distances'!O4,500))^2</f>
        <v>5.659904065403662E-2</v>
      </c>
      <c r="P4" s="2">
        <f>75000*(VLOOKUP($A4,Population!$A$1:$B$10,2,FALSE)/Coefficient!$B$2*HLOOKUP(P$1,Population!$G$15:$W$17,2,FALSE)/Coefficient!$B$2)^0.8/(MAX('All Distances'!P4,500))^2</f>
        <v>0.10258832168264639</v>
      </c>
      <c r="Q4" s="2">
        <f>75000*(VLOOKUP($A4,Population!$A$1:$B$10,2,FALSE)/Coefficient!$B$2*HLOOKUP(Q$1,Population!$G$15:$W$17,2,FALSE)/Coefficient!$B$2)^0.8/(MAX('All Distances'!Q4,500))^2</f>
        <v>6.9837743329577179E-2</v>
      </c>
      <c r="R4" s="2"/>
      <c r="S4" s="2">
        <f>75000*(VLOOKUP($A4,Population!$A$1:$B$10,2,FALSE)/Coefficient!$B$2*HLOOKUP(S$1,Population!$G$15:$W$17,2,FALSE)/Coefficient!$B$2)^0.8/(MAX('All Distances'!S4,500))^2</f>
        <v>0.11411997775075565</v>
      </c>
      <c r="T4" s="2">
        <f>75000*(VLOOKUP($A4,Population!$A$1:$B$10,2,FALSE)/Coefficient!$B$2*HLOOKUP(T$1,Population!$G$15:$W$17,2,FALSE)/Coefficient!$B$2)^0.8/(MAX('All Distances'!T4,500))^2</f>
        <v>0.29310211594150176</v>
      </c>
      <c r="U4" s="2">
        <f>75000*(VLOOKUP($A4,Population!$A$1:$B$10,2,FALSE)/Coefficient!$B$2*HLOOKUP(U$1,Population!$G$15:$W$17,2,FALSE)/Coefficient!$B$2)^0.8/(MAX('All Distances'!U4,500))^2</f>
        <v>0.72833138353551063</v>
      </c>
      <c r="V4" s="2">
        <f>75000*(VLOOKUP($A4,Population!$A$1:$B$10,2,FALSE)/Coefficient!$B$2*HLOOKUP(V$1,Population!$G$15:$W$17,2,FALSE)/Coefficient!$B$2)^0.8/(MAX('All Distances'!V4,500))^2</f>
        <v>0.18775209914044627</v>
      </c>
      <c r="W4" s="2">
        <f>75000*(VLOOKUP($A4,Population!$A$1:$B$10,2,FALSE)/Coefficient!$B$2*HLOOKUP(W$1,Population!$G$15:$W$17,2,FALSE)/Coefficient!$B$2)^0.8/(MAX('All Distances'!W4,500))^2</f>
        <v>7.2800104557950371E-2</v>
      </c>
      <c r="X4" s="2">
        <f>75000*(VLOOKUP($A4,Population!$A$1:$B$10,2,FALSE)/Coefficient!$B$2*HLOOKUP(X$1,Population!$G$15:$W$17,2,FALSE)/Coefficient!$B$2)^0.8/(MAX('All Distances'!X4,500))^2</f>
        <v>0.12600913154218615</v>
      </c>
      <c r="Y4" s="2">
        <f>75000*(VLOOKUP($A4,Population!$A$1:$B$10,2,FALSE)/Coefficient!$B$2*HLOOKUP(Y$1,Population!$G$15:$W$17,2,FALSE)/Coefficient!$B$2)^0.8/(MAX('All Distances'!Y4,500))^2</f>
        <v>2.32026125865465E-2</v>
      </c>
    </row>
    <row r="5" spans="1:25" x14ac:dyDescent="0.25">
      <c r="A5" t="s">
        <v>38</v>
      </c>
      <c r="B5" s="2"/>
      <c r="C5" s="2"/>
      <c r="D5" s="2"/>
      <c r="E5" s="2">
        <f>75000*(VLOOKUP($A5,Population!$A$1:$B$10,2,FALSE)*HLOOKUP(E$1,Population!$G$1:$P$2,2,FALSE))^0.8/(MAX('All Distances'!E5,500))^2</f>
        <v>7.9592382809458059E-2</v>
      </c>
      <c r="F5" s="2"/>
      <c r="G5" s="2"/>
      <c r="H5" s="2">
        <f>75000*(VLOOKUP($A5,Population!$A$1:$B$10,2,FALSE)*HLOOKUP(H$1,Population!$G$1:$P$2,2,FALSE))^0.8/(MAX('All Distances'!H5,500))^2</f>
        <v>0.1667685852891784</v>
      </c>
      <c r="I5" s="2">
        <f>75000*(VLOOKUP($A5,Population!$A$1:$B$10,2,FALSE)*HLOOKUP(I$1,Population!$G$1:$P$2,2,FALSE))^0.8/(MAX('All Distances'!I5,500))^2</f>
        <v>0.1667685852891784</v>
      </c>
      <c r="J5" s="2">
        <f>75000*(VLOOKUP($A5,Population!$A$1:$B$10,2,FALSE)/Coefficient!$B$2*HLOOKUP(J$1,Population!$G$15:$W$17,2,FALSE)/Coefficient!$B$2)^0.8/(MAX('All Distances'!J5,500))^2</f>
        <v>0.20880123615380974</v>
      </c>
      <c r="K5" s="2">
        <f>75000*(VLOOKUP($A5,Population!$A$1:$B$10,2,FALSE)/Coefficient!$B$2*HLOOKUP(K$1,Population!$G$15:$W$17,2,FALSE)/Coefficient!$B$2)^0.8/(MAX('All Distances'!K5,500))^2</f>
        <v>0.37461089125056873</v>
      </c>
      <c r="L5" s="2">
        <f>75000*(VLOOKUP($A5,Population!$A$1:$B$10,2,FALSE)/Coefficient!$B$2*HLOOKUP(L$1,Population!$G$15:$W$17,2,FALSE)/Coefficient!$B$2)^0.8/(MAX('All Distances'!L5,500))^2</f>
        <v>0.25345990620708375</v>
      </c>
      <c r="M5" s="2">
        <f>75000*(VLOOKUP($A5,Population!$A$1:$B$10,2,FALSE)/Coefficient!$B$2*HLOOKUP(M$1,Population!$G$15:$W$17,2,FALSE)/Coefficient!$B$2)^0.8/(MAX('All Distances'!M5,500))^2</f>
        <v>6.1758011101723874E-2</v>
      </c>
      <c r="N5" s="2">
        <f>75000*(VLOOKUP($A5,Population!$A$1:$B$10,2,FALSE)/Coefficient!$B$2*HLOOKUP(N$1,Population!$G$15:$W$17,2,FALSE)/Coefficient!$B$2)^0.8/(MAX('All Distances'!N5,500))^2</f>
        <v>0.14078238950970423</v>
      </c>
      <c r="O5" s="2">
        <f>75000*(VLOOKUP($A5,Population!$A$1:$B$10,2,FALSE)/Coefficient!$B$2*HLOOKUP(O$1,Population!$G$15:$W$17,2,FALSE)/Coefficient!$B$2)^0.8/(MAX('All Distances'!O5,500))^2</f>
        <v>0.16857953307178866</v>
      </c>
      <c r="P5" s="2">
        <f>75000*(VLOOKUP($A5,Population!$A$1:$B$10,2,FALSE)/Coefficient!$B$2*HLOOKUP(P$1,Population!$G$15:$W$17,2,FALSE)/Coefficient!$B$2)^0.8/(MAX('All Distances'!P5,500))^2</f>
        <v>0.12357550861670243</v>
      </c>
      <c r="Q5" s="2">
        <f>75000*(VLOOKUP($A5,Population!$A$1:$B$10,2,FALSE)/Coefficient!$B$2*HLOOKUP(Q$1,Population!$G$15:$W$17,2,FALSE)/Coefficient!$B$2)^0.8/(MAX('All Distances'!Q5,500))^2</f>
        <v>0.11450336728854525</v>
      </c>
      <c r="R5" s="2">
        <f>75000*(VLOOKUP($A5,Population!$A$1:$B$10,2,FALSE)/Coefficient!$B$2*HLOOKUP(R$1,Population!$G$15:$W$17,2,FALSE)/Coefficient!$B$2)^0.8/(MAX('All Distances'!R5,500))^2</f>
        <v>0.11450336728854525</v>
      </c>
      <c r="S5" s="2">
        <f>75000*(VLOOKUP($A5,Population!$A$1:$B$10,2,FALSE)/Coefficient!$B$2*HLOOKUP(S$1,Population!$G$15:$W$17,2,FALSE)/Coefficient!$B$2)^0.8/(MAX('All Distances'!S5,500))^2</f>
        <v>9.0232866687874752E-2</v>
      </c>
      <c r="T5" s="2">
        <f>75000*(VLOOKUP($A5,Population!$A$1:$B$10,2,FALSE)/Coefficient!$B$2*HLOOKUP(T$1,Population!$G$15:$W$17,2,FALSE)/Coefficient!$B$2)^0.8/(MAX('All Distances'!T5,500))^2</f>
        <v>0.23607515460526524</v>
      </c>
      <c r="U5" s="2">
        <f>75000*(VLOOKUP($A5,Population!$A$1:$B$10,2,FALSE)/Coefficient!$B$2*HLOOKUP(U$1,Population!$G$15:$W$17,2,FALSE)/Coefficient!$B$2)^0.8/(MAX('All Distances'!U5,500))^2</f>
        <v>0.58544536831396365</v>
      </c>
      <c r="V5" s="2">
        <f>75000*(VLOOKUP($A5,Population!$A$1:$B$10,2,FALSE)/Coefficient!$B$2*HLOOKUP(V$1,Population!$G$15:$W$17,2,FALSE)/Coefficient!$B$2)^0.8/(MAX('All Distances'!V5,500))^2</f>
        <v>0.15183645815646973</v>
      </c>
      <c r="W5" s="2">
        <f>75000*(VLOOKUP($A5,Population!$A$1:$B$10,2,FALSE)/Coefficient!$B$2*HLOOKUP(W$1,Population!$G$15:$W$17,2,FALSE)/Coefficient!$B$2)^0.8/(MAX('All Distances'!W5,500))^2</f>
        <v>6.8623910240864727E-2</v>
      </c>
      <c r="X5" s="2">
        <f>75000*(VLOOKUP($A5,Population!$A$1:$B$10,2,FALSE)/Coefficient!$B$2*HLOOKUP(X$1,Population!$G$15:$W$17,2,FALSE)/Coefficient!$B$2)^0.8/(MAX('All Distances'!X5,500))^2</f>
        <v>0.10736006604358128</v>
      </c>
      <c r="Y5" s="2">
        <f>75000*(VLOOKUP($A5,Population!$A$1:$B$10,2,FALSE)/Coefficient!$B$2*HLOOKUP(Y$1,Population!$G$15:$W$17,2,FALSE)/Coefficient!$B$2)^0.8/(MAX('All Distances'!Y5,500))^2</f>
        <v>2.5424185732377955E-2</v>
      </c>
    </row>
    <row r="6" spans="1:25" x14ac:dyDescent="0.25">
      <c r="A6" t="s">
        <v>8</v>
      </c>
      <c r="B6" s="2"/>
      <c r="C6" s="2"/>
      <c r="D6" s="2"/>
      <c r="E6" s="2"/>
      <c r="F6" s="2">
        <f>75000*(VLOOKUP($A6,Population!$A$1:$B$10,2,FALSE)*HLOOKUP(F$1,Population!$G$1:$P$2,2,FALSE))^0.8/(MAX('All Distances'!F6,500))^2</f>
        <v>4.3857616118127121E-2</v>
      </c>
      <c r="G6" s="2">
        <f>75000*(VLOOKUP($A6,Population!$A$1:$B$10,2,FALSE)*HLOOKUP(G$1,Population!$G$1:$P$2,2,FALSE))^0.8/(MAX('All Distances'!G6,500))^2</f>
        <v>3.7458409579564339E-2</v>
      </c>
      <c r="H6" s="2">
        <f>75000*(VLOOKUP($A6,Population!$A$1:$B$10,2,FALSE)*HLOOKUP(H$1,Population!$G$1:$P$2,2,FALSE))^0.8/(MAX('All Distances'!H6,500))^2</f>
        <v>4.4828431258350634E-2</v>
      </c>
      <c r="I6" s="2">
        <f>75000*(VLOOKUP($A6,Population!$A$1:$B$10,2,FALSE)*HLOOKUP(I$1,Population!$G$1:$P$2,2,FALSE))^0.8/(MAX('All Distances'!I6,500))^2</f>
        <v>1.9923747225933614E-2</v>
      </c>
      <c r="J6" s="2">
        <f>75000*((VLOOKUP($A6,Population!$A$1:$B$10,2,FALSE)/(Coefficient!$B$2*Coefficient!$B$3)*HLOOKUP(J$1,Population!$G$15:$W$17,2,FALSE)/(Coefficient!$B$2*Coefficient!$B$3))^0.8/(MAX('All Distances'!J6,500))^2)</f>
        <v>2.3130382926835159E-2</v>
      </c>
      <c r="K6" s="2">
        <f>75000*((VLOOKUP($A6,Population!$A$1:$B$10,2,FALSE)/(Coefficient!$B$2*Coefficient!$B$3)*HLOOKUP(K$1,Population!$G$15:$W$17,2,FALSE)/(Coefficient!$B$2*Coefficient!$B$3))^0.8/(MAX('All Distances'!K6,500))^2)</f>
        <v>2.3204246557538336E-2</v>
      </c>
      <c r="L6" s="2">
        <f>75000*((VLOOKUP($A6,Population!$A$1:$B$10,2,FALSE)/(Coefficient!$B$2*Coefficient!$B$3)*HLOOKUP(L$1,Population!$G$15:$W$17,2,FALSE)/(Coefficient!$B$2*Coefficient!$B$3))^0.8/(MAX('All Distances'!L6,500))^2)</f>
        <v>1.2851829461475532E-2</v>
      </c>
      <c r="M6" s="2">
        <f>75000*((VLOOKUP($A6,Population!$A$1:$B$10,2,FALSE)/(Coefficient!$B$2*Coefficient!$B$3)*HLOOKUP(M$1,Population!$G$15:$W$17,2,FALSE)/(Coefficient!$B$2*Coefficient!$B$3))^0.8/(MAX('All Distances'!M6,500))^2)</f>
        <v>4.0640305486325089E-3</v>
      </c>
      <c r="N6" s="2">
        <f>75000*((VLOOKUP($A6,Population!$A$1:$B$10,2,FALSE)/(Coefficient!$B$2*Coefficient!$B$3)*HLOOKUP(N$1,Population!$G$15:$W$17,2,FALSE)/(Coefficient!$B$2*Coefficient!$B$3))^0.8/(MAX('All Distances'!N6,500))^2)</f>
        <v>7.5928028903865389E-3</v>
      </c>
      <c r="O6" s="2">
        <f>75000*((VLOOKUP($A6,Population!$A$1:$B$10,2,FALSE)/(Coefficient!$B$2*Coefficient!$B$3)*HLOOKUP(O$1,Population!$G$15:$W$17,2,FALSE)/(Coefficient!$B$2*Coefficient!$B$3))^0.8/(MAX('All Distances'!O6,500))^2)</f>
        <v>1.316256301094674E-2</v>
      </c>
      <c r="P6" s="2">
        <f>75000*((VLOOKUP($A6,Population!$A$1:$B$10,2,FALSE)/(Coefficient!$B$2*Coefficient!$B$3)*HLOOKUP(P$1,Population!$G$15:$W$17,2,FALSE)/(Coefficient!$B$2*Coefficient!$B$3))^0.8/(MAX('All Distances'!P6,500))^2)</f>
        <v>1.0197315073096201E-2</v>
      </c>
      <c r="Q6" s="2">
        <f>75000*((VLOOKUP($A6,Population!$A$1:$B$10,2,FALSE)/(Coefficient!$B$2*Coefficient!$B$3)*HLOOKUP(Q$1,Population!$G$15:$W$17,2,FALSE)/(Coefficient!$B$2*Coefficient!$B$3))^0.8/(MAX('All Distances'!Q6,500))^2)</f>
        <v>1.1497297705031381E-2</v>
      </c>
      <c r="R6" s="2">
        <f>75000*((VLOOKUP($A6,Population!$A$1:$B$10,2,FALSE)/(Coefficient!$B$2*Coefficient!$B$3)*HLOOKUP(R$1,Population!$G$15:$W$17,2,FALSE)/(Coefficient!$B$2*Coefficient!$B$3))^0.8/(MAX('All Distances'!R6,500))^2)</f>
        <v>1.5331359708990966E-2</v>
      </c>
      <c r="S6" s="2">
        <f>75000*((VLOOKUP($A6,Population!$A$1:$B$10,2,FALSE)/(Coefficient!$B$2*Coefficient!$B$3)*HLOOKUP(S$1,Population!$G$15:$W$17,2,FALSE)/(Coefficient!$B$2*Coefficient!$B$3))^0.8/(MAX('All Distances'!S6,500))^2)</f>
        <v>2.5867226982362015E-2</v>
      </c>
      <c r="T6" s="2">
        <f>75000*((VLOOKUP($A6,Population!$A$1:$B$10,2,FALSE)/(Coefficient!$B$2*Coefficient!$B$3)*HLOOKUP(T$1,Population!$G$15:$W$17,2,FALSE)/(Coefficient!$B$2*Coefficient!$B$3))^0.8/(MAX('All Distances'!T6,500))^2)</f>
        <v>7.373028127886791E-2</v>
      </c>
      <c r="U6" s="2">
        <f>75000*((VLOOKUP($A6,Population!$A$1:$B$10,2,FALSE)/(Coefficient!$B$2*Coefficient!$B$3)*HLOOKUP(U$1,Population!$G$15:$W$17,2,FALSE)/(Coefficient!$B$2*Coefficient!$B$3))^0.8/(MAX('All Distances'!U6,500))^2)</f>
        <v>0.18110730381504145</v>
      </c>
      <c r="V6" s="2">
        <f>75000*((VLOOKUP($A6,Population!$A$1:$B$10,2,FALSE)/(Coefficient!$B$2*Coefficient!$B$3)*HLOOKUP(V$1,Population!$G$15:$W$17,2,FALSE)/(Coefficient!$B$2*Coefficient!$B$3))^0.8/(MAX('All Distances'!V6,500))^2)</f>
        <v>4.8349710946609545E-2</v>
      </c>
      <c r="W6" s="2">
        <f>75000*((VLOOKUP($A6,Population!$A$1:$B$10,2,FALSE)/(Coefficient!$B$2*Coefficient!$B$3)*HLOOKUP(W$1,Population!$G$15:$W$17,2,FALSE)/(Coefficient!$B$2*Coefficient!$B$3))^0.8/(MAX('All Distances'!W6,500))^2)</f>
        <v>1.9306732685984974E-2</v>
      </c>
      <c r="X6" s="2">
        <f>75000*((VLOOKUP($A6,Population!$A$1:$B$10,2,FALSE)/(Coefficient!$B$2*Coefficient!$B$3)*HLOOKUP(X$1,Population!$G$15:$W$17,2,FALSE)/(Coefficient!$B$2*Coefficient!$B$3))^0.8/(MAX('All Distances'!X6,500))^2)</f>
        <v>3.3727900021677797E-2</v>
      </c>
      <c r="Y6" s="2">
        <f>75000*((VLOOKUP($A6,Population!$A$1:$B$10,2,FALSE)/(Coefficient!$B$2*Coefficient!$B$3)*HLOOKUP(Y$1,Population!$G$15:$W$17,2,FALSE)/(Coefficient!$B$2*Coefficient!$B$3))^0.8/(MAX('All Distances'!Y6,500))^2)</f>
        <v>7.5622497172660565E-3</v>
      </c>
    </row>
    <row r="7" spans="1:25" x14ac:dyDescent="0.25">
      <c r="A7" t="s">
        <v>3</v>
      </c>
      <c r="B7" s="2"/>
      <c r="C7" s="2"/>
      <c r="D7" s="2"/>
      <c r="E7" s="2"/>
      <c r="F7" s="2"/>
      <c r="G7" s="2">
        <f>75000*(VLOOKUP($A7,Population!$A$1:$B$10,2,FALSE)*HLOOKUP(G$1,Population!$G$1:$P$2,2,FALSE))^0.8/(MAX('All Distances'!G7,500))^2</f>
        <v>0.13248394610720998</v>
      </c>
      <c r="H7" s="2">
        <f>75000*(VLOOKUP($A7,Population!$A$1:$B$10,2,FALSE)*HLOOKUP(H$1,Population!$G$1:$P$2,2,FALSE))^0.8/(MAX('All Distances'!H7,500))^2</f>
        <v>9.5783399793430979E-2</v>
      </c>
      <c r="I7" s="2">
        <f>75000*(VLOOKUP($A7,Population!$A$1:$B$10,2,FALSE)*HLOOKUP(I$1,Population!$G$1:$P$2,2,FALSE))^0.8/(MAX('All Distances'!I7,500))^2</f>
        <v>9.5783399793430979E-2</v>
      </c>
      <c r="J7" s="2">
        <f>75000*(VLOOKUP($A7,Population!$A$1:$B$10,2,FALSE)/Coefficient!$B$2*HLOOKUP(J$1,Population!$G$15:$W$17,2,FALSE)/Coefficient!$B$2)^0.8/(MAX('All Distances'!J7,500))^2</f>
        <v>0.1963989553634593</v>
      </c>
      <c r="K7" s="2">
        <f>75000*(VLOOKUP($A7,Population!$A$1:$B$10,2,FALSE)/Coefficient!$B$2*HLOOKUP(K$1,Population!$G$15:$W$17,2,FALSE)/Coefficient!$B$2)^0.8/(MAX('All Distances'!K7,500))^2</f>
        <v>0.21515745727175073</v>
      </c>
      <c r="L7" s="2">
        <f>75000*(VLOOKUP($A7,Population!$A$1:$B$10,2,FALSE)/Coefficient!$B$2*HLOOKUP(L$1,Population!$G$15:$W$17,2,FALSE)/Coefficient!$B$2)^0.8/(MAX('All Distances'!L7,500))^2</f>
        <v>0.12956077666330537</v>
      </c>
      <c r="M7" s="2">
        <f>75000*(VLOOKUP($A7,Population!$A$1:$B$10,2,FALSE)/Coefficient!$B$2*HLOOKUP(M$1,Population!$G$15:$W$17,2,FALSE)/Coefficient!$B$2)^0.8/(MAX('All Distances'!M7,500))^2</f>
        <v>4.3703403734718323E-2</v>
      </c>
      <c r="N7" s="2">
        <f>75000*(VLOOKUP($A7,Population!$A$1:$B$10,2,FALSE)/Coefficient!$B$2*HLOOKUP(N$1,Population!$G$15:$W$17,2,FALSE)/Coefficient!$B$2)^0.8/(MAX('All Distances'!N7,500))^2</f>
        <v>5.2275094635018837E-2</v>
      </c>
      <c r="O7" s="2">
        <f>75000*(VLOOKUP($A7,Population!$A$1:$B$10,2,FALSE)/Coefficient!$B$2*HLOOKUP(O$1,Population!$G$15:$W$17,2,FALSE)/Coefficient!$B$2)^0.8/(MAX('All Distances'!O7,500))^2</f>
        <v>6.1752073748741428E-2</v>
      </c>
      <c r="P7" s="2">
        <f>75000*(VLOOKUP($A7,Population!$A$1:$B$10,2,FALSE)/Coefficient!$B$2*HLOOKUP(P$1,Population!$G$15:$W$17,2,FALSE)/Coefficient!$B$2)^0.8/(MAX('All Distances'!P7,500))^2</f>
        <v>7.0975491732963997E-2</v>
      </c>
      <c r="Q7" s="2">
        <f>75000*(VLOOKUP($A7,Population!$A$1:$B$10,2,FALSE)/Coefficient!$B$2*HLOOKUP(Q$1,Population!$G$15:$W$17,2,FALSE)/Coefficient!$B$2)^0.8/(MAX('All Distances'!Q7,500))^2</f>
        <v>6.5764914822986645E-2</v>
      </c>
      <c r="R7" s="2">
        <f>75000*(VLOOKUP($A7,Population!$A$1:$B$10,2,FALSE)/Coefficient!$B$2*HLOOKUP(R$1,Population!$G$15:$W$17,2,FALSE)/Coefficient!$B$2)^0.8/(MAX('All Distances'!R7,500))^2</f>
        <v>6.3211183028629991E-2</v>
      </c>
      <c r="S7" s="2">
        <f>75000*(VLOOKUP($A7,Population!$A$1:$B$10,2,FALSE)/Coefficient!$B$2*HLOOKUP(S$1,Population!$G$15:$W$17,2,FALSE)/Coefficient!$B$2)^0.8/(MAX('All Distances'!S7,500))^2</f>
        <v>2.8358454453788613E-2</v>
      </c>
      <c r="T7" s="2">
        <f>75000*(VLOOKUP($A7,Population!$A$1:$B$10,2,FALSE)/Coefficient!$B$2*HLOOKUP(T$1,Population!$G$15:$W$17,2,FALSE)/Coefficient!$B$2)^0.8/(MAX('All Distances'!T7,500))^2</f>
        <v>8.8539256565897825E-2</v>
      </c>
      <c r="U7" s="2">
        <f>75000*(VLOOKUP($A7,Population!$A$1:$B$10,2,FALSE)/Coefficient!$B$2*HLOOKUP(U$1,Population!$G$15:$W$17,2,FALSE)/Coefficient!$B$2)^0.8/(MAX('All Distances'!U7,500))^2</f>
        <v>0.21520004208732255</v>
      </c>
      <c r="V7" s="2">
        <f>75000*(VLOOKUP($A7,Population!$A$1:$B$10,2,FALSE)/Coefficient!$B$2*HLOOKUP(V$1,Population!$G$15:$W$17,2,FALSE)/Coefficient!$B$2)^0.8/(MAX('All Distances'!V7,500))^2</f>
        <v>5.9338786730355739E-2</v>
      </c>
      <c r="W7" s="2">
        <f>75000*(VLOOKUP($A7,Population!$A$1:$B$10,2,FALSE)/Coefficient!$B$2*HLOOKUP(W$1,Population!$G$15:$W$17,2,FALSE)/Coefficient!$B$2)^0.8/(MAX('All Distances'!W7,500))^2</f>
        <v>2.9869272869416721E-2</v>
      </c>
      <c r="X7" s="2">
        <f>75000*(VLOOKUP($A7,Population!$A$1:$B$10,2,FALSE)/Coefficient!$B$2*HLOOKUP(X$1,Population!$G$15:$W$17,2,FALSE)/Coefficient!$B$2)^0.8/(MAX('All Distances'!X7,500))^2</f>
        <v>5.7868497235169E-2</v>
      </c>
      <c r="Y7" s="2">
        <f>75000*(VLOOKUP($A7,Population!$A$1:$B$10,2,FALSE)/Coefficient!$B$2*HLOOKUP(Y$1,Population!$G$15:$W$17,2,FALSE)/Coefficient!$B$2)^0.8/(MAX('All Distances'!Y7,500))^2</f>
        <v>1.0710568506695013E-2</v>
      </c>
    </row>
    <row r="8" spans="1:25" x14ac:dyDescent="0.25">
      <c r="A8" t="s">
        <v>4</v>
      </c>
      <c r="B8" s="2"/>
      <c r="C8" s="2"/>
      <c r="D8" s="2"/>
      <c r="E8" s="2"/>
      <c r="F8" s="2"/>
      <c r="G8" s="2"/>
      <c r="H8" s="2">
        <f>75000*(VLOOKUP($A8,Population!$A$1:$B$10,2,FALSE)*HLOOKUP(H$1,Population!$G$1:$P$2,2,FALSE))^0.8/(MAX('All Distances'!H8,500))^2</f>
        <v>9.5783399793430979E-2</v>
      </c>
      <c r="I8" s="2">
        <f>75000*(VLOOKUP($A8,Population!$A$1:$B$10,2,FALSE)*HLOOKUP(I$1,Population!$G$1:$P$2,2,FALSE))^0.8/(MAX('All Distances'!I8,500))^2</f>
        <v>9.5783399793430979E-2</v>
      </c>
      <c r="J8" s="2">
        <f>75000*(VLOOKUP($A8,Population!$A$1:$B$10,2,FALSE)/Coefficient!$B$2*HLOOKUP(J$1,Population!$G$15:$W$17,2,FALSE)/Coefficient!$B$2)^0.8/(MAX('All Distances'!J8,500))^2</f>
        <v>0.24900255677521108</v>
      </c>
      <c r="K8" s="2">
        <f>75000*(VLOOKUP($A8,Population!$A$1:$B$10,2,FALSE)/Coefficient!$B$2*HLOOKUP(K$1,Population!$G$15:$W$17,2,FALSE)/Coefficient!$B$2)^0.8/(MAX('All Distances'!K8,500))^2</f>
        <v>0.21515745727175073</v>
      </c>
      <c r="L8" s="2">
        <f>75000*(VLOOKUP($A8,Population!$A$1:$B$10,2,FALSE)/Coefficient!$B$2*HLOOKUP(L$1,Population!$G$15:$W$17,2,FALSE)/Coefficient!$B$2)^0.8/(MAX('All Distances'!L8,500))^2</f>
        <v>0.14557448865888992</v>
      </c>
      <c r="M8" s="2">
        <f>75000*(VLOOKUP($A8,Population!$A$1:$B$10,2,FALSE)/Coefficient!$B$2*HLOOKUP(M$1,Population!$G$15:$W$17,2,FALSE)/Coefficient!$B$2)^0.8/(MAX('All Distances'!M8,500))^2</f>
        <v>4.3703403734718323E-2</v>
      </c>
      <c r="N8" s="2">
        <f>75000*(VLOOKUP($A8,Population!$A$1:$B$10,2,FALSE)/Coefficient!$B$2*HLOOKUP(N$1,Population!$G$15:$W$17,2,FALSE)/Coefficient!$B$2)^0.8/(MAX('All Distances'!N8,500))^2</f>
        <v>6.5715890317117345E-2</v>
      </c>
      <c r="O8" s="2">
        <f>75000*(VLOOKUP($A8,Population!$A$1:$B$10,2,FALSE)/Coefficient!$B$2*HLOOKUP(O$1,Population!$G$15:$W$17,2,FALSE)/Coefficient!$B$2)^0.8/(MAX('All Distances'!O8,500))^2</f>
        <v>7.8154968338250863E-2</v>
      </c>
      <c r="P8" s="2">
        <f>75000*(VLOOKUP($A8,Population!$A$1:$B$10,2,FALSE)/Coefficient!$B$2*HLOOKUP(P$1,Population!$G$15:$W$17,2,FALSE)/Coefficient!$B$2)^0.8/(MAX('All Distances'!P8,500))^2</f>
        <v>7.0975491732963997E-2</v>
      </c>
      <c r="Q8" s="2">
        <f>75000*(VLOOKUP($A8,Population!$A$1:$B$10,2,FALSE)/Coefficient!$B$2*HLOOKUP(Q$1,Population!$G$15:$W$17,2,FALSE)/Coefficient!$B$2)^0.8/(MAX('All Distances'!Q8,500))^2</f>
        <v>6.5764914822986645E-2</v>
      </c>
      <c r="R8" s="2">
        <f>75000*(VLOOKUP($A8,Population!$A$1:$B$10,2,FALSE)/Coefficient!$B$2*HLOOKUP(R$1,Population!$G$15:$W$17,2,FALSE)/Coefficient!$B$2)^0.8/(MAX('All Distances'!R8,500))^2</f>
        <v>4.5670079738185168E-2</v>
      </c>
      <c r="S8" s="2">
        <f>75000*(VLOOKUP($A8,Population!$A$1:$B$10,2,FALSE)/Coefficient!$B$2*HLOOKUP(S$1,Population!$G$15:$W$17,2,FALSE)/Coefficient!$B$2)^0.8/(MAX('All Distances'!S8,500))^2</f>
        <v>2.2475045179095706E-2</v>
      </c>
      <c r="T8" s="2">
        <f>75000*(VLOOKUP($A8,Population!$A$1:$B$10,2,FALSE)/Coefficient!$B$2*HLOOKUP(T$1,Population!$G$15:$W$17,2,FALSE)/Coefficient!$B$2)^0.8/(MAX('All Distances'!T8,500))^2</f>
        <v>7.439756975328915E-2</v>
      </c>
      <c r="U8" s="2">
        <f>75000*(VLOOKUP($A8,Population!$A$1:$B$10,2,FALSE)/Coefficient!$B$2*HLOOKUP(U$1,Population!$G$15:$W$17,2,FALSE)/Coefficient!$B$2)^0.8/(MAX('All Distances'!U8,500))^2</f>
        <v>0.17956549369804789</v>
      </c>
      <c r="V8" s="2">
        <f>75000*(VLOOKUP($A8,Population!$A$1:$B$10,2,FALSE)/Coefficient!$B$2*HLOOKUP(V$1,Population!$G$15:$W$17,2,FALSE)/Coefficient!$B$2)^0.8/(MAX('All Distances'!V8,500))^2</f>
        <v>0.1877320698969176</v>
      </c>
      <c r="W8" s="2">
        <f>75000*(VLOOKUP($A8,Population!$A$1:$B$10,2,FALSE)/Coefficient!$B$2*HLOOKUP(W$1,Population!$G$15:$W$17,2,FALSE)/Coefficient!$B$2)^0.8/(MAX('All Distances'!W8,500))^2</f>
        <v>0.11737180949924454</v>
      </c>
      <c r="X8" s="2">
        <f>75000*(VLOOKUP($A8,Population!$A$1:$B$10,2,FALSE)/Coefficient!$B$2*HLOOKUP(X$1,Population!$G$15:$W$17,2,FALSE)/Coefficient!$B$2)^0.8/(MAX('All Distances'!X8,500))^2</f>
        <v>0.21955461000165138</v>
      </c>
      <c r="Y8" s="2">
        <f>75000*(VLOOKUP($A8,Population!$A$1:$B$10,2,FALSE)/Coefficient!$B$2*HLOOKUP(Y$1,Population!$G$15:$W$17,2,FALSE)/Coefficient!$B$2)^0.8/(MAX('All Distances'!Y8,500))^2</f>
        <v>4.3703403734718323E-2</v>
      </c>
    </row>
    <row r="9" spans="1:25" x14ac:dyDescent="0.25">
      <c r="A9" t="s">
        <v>1</v>
      </c>
      <c r="B9" s="2"/>
      <c r="C9" s="2"/>
      <c r="D9" s="2"/>
      <c r="E9" s="2"/>
      <c r="F9" s="2"/>
      <c r="G9" s="2"/>
      <c r="H9" s="2"/>
      <c r="I9" s="2">
        <f>75000*(VLOOKUP($A9,Population!$A$1:$B$10,2,FALSE)*HLOOKUP(I$1,Population!$G$1:$P$2,2,FALSE))^0.8/(MAX('All Distances'!I9,500))^2</f>
        <v>6.9249595483546242E-2</v>
      </c>
      <c r="J9" s="2">
        <f>75000*(VLOOKUP($A9,Population!$A$1:$B$10,2,FALSE)/Coefficient!$B$2*HLOOKUP(J$1,Population!$G$15:$W$17,2,FALSE)/Coefficient!$B$2)^0.8/(MAX('All Distances'!J9,500))^2</f>
        <v>9.5904667633499793E-2</v>
      </c>
      <c r="K9" s="2">
        <f>75000*(VLOOKUP($A9,Population!$A$1:$B$10,2,FALSE)/Coefficient!$B$2*HLOOKUP(K$1,Population!$G$15:$W$17,2,FALSE)/Coefficient!$B$2)^0.8/(MAX('All Distances'!K9,500))^2</f>
        <v>0.15555479251592577</v>
      </c>
      <c r="L9" s="2">
        <f>75000*(VLOOKUP($A9,Population!$A$1:$B$10,2,FALSE)/Coefficient!$B$2*HLOOKUP(L$1,Population!$G$15:$W$17,2,FALSE)/Coefficient!$B$2)^0.8/(MAX('All Distances'!L9,500))^2</f>
        <v>9.7307337005119371E-2</v>
      </c>
      <c r="M9" s="2">
        <f>75000*(VLOOKUP($A9,Population!$A$1:$B$10,2,FALSE)/Coefficient!$B$2*HLOOKUP(M$1,Population!$G$15:$W$17,2,FALSE)/Coefficient!$B$2)^0.8/(MAX('All Distances'!M9,500))^2</f>
        <v>3.0369798574623939E-2</v>
      </c>
      <c r="N9" s="2">
        <f>75000*(VLOOKUP($A9,Population!$A$1:$B$10,2,FALSE)/Coefficient!$B$2*HLOOKUP(N$1,Population!$G$15:$W$17,2,FALSE)/Coefficient!$B$2)^0.8/(MAX('All Distances'!N9,500))^2</f>
        <v>3.8836451345314729E-2</v>
      </c>
      <c r="O9" s="2">
        <f>75000*(VLOOKUP($A9,Population!$A$1:$B$10,2,FALSE)/Coefficient!$B$2*HLOOKUP(O$1,Population!$G$15:$W$17,2,FALSE)/Coefficient!$B$2)^0.8/(MAX('All Distances'!O9,500))^2</f>
        <v>4.5912065864330283E-2</v>
      </c>
      <c r="P9" s="2">
        <f>75000*(VLOOKUP($A9,Population!$A$1:$B$10,2,FALSE)/Coefficient!$B$2*HLOOKUP(P$1,Population!$G$15:$W$17,2,FALSE)/Coefficient!$B$2)^0.8/(MAX('All Distances'!P9,500))^2</f>
        <v>5.1313944820850069E-2</v>
      </c>
      <c r="Q9" s="2">
        <f>75000*(VLOOKUP($A9,Population!$A$1:$B$10,2,FALSE)/Coefficient!$B$2*HLOOKUP(Q$1,Population!$G$15:$W$17,2,FALSE)/Coefficient!$B$2)^0.8/(MAX('All Distances'!Q9,500))^2</f>
        <v>4.754679577383341E-2</v>
      </c>
      <c r="R9" s="2">
        <f>75000*(VLOOKUP($A9,Population!$A$1:$B$10,2,FALSE)/Coefficient!$B$2*HLOOKUP(R$1,Population!$G$15:$W$17,2,FALSE)/Coefficient!$B$2)^0.8/(MAX('All Distances'!R9,500))^2</f>
        <v>4.754679577383341E-2</v>
      </c>
      <c r="S9" s="2">
        <f>75000*(VLOOKUP($A9,Population!$A$1:$B$10,2,FALSE)/Coefficient!$B$2*HLOOKUP(S$1,Population!$G$15:$W$17,2,FALSE)/Coefficient!$B$2)^0.8/(MAX('All Distances'!S9,500))^2</f>
        <v>2.3979919744701421E-2</v>
      </c>
      <c r="T9" s="2">
        <f>75000*(VLOOKUP($A9,Population!$A$1:$B$10,2,FALSE)/Coefficient!$B$2*HLOOKUP(T$1,Population!$G$15:$W$17,2,FALSE)/Coefficient!$B$2)^0.8/(MAX('All Distances'!T9,500))^2</f>
        <v>7.1764560788671564E-2</v>
      </c>
      <c r="U9" s="2">
        <f>75000*(VLOOKUP($A9,Population!$A$1:$B$10,2,FALSE)/Coefficient!$B$2*HLOOKUP(U$1,Population!$G$15:$W$17,2,FALSE)/Coefficient!$B$2)^0.8/(MAX('All Distances'!U9,500))^2</f>
        <v>0.17529538582927531</v>
      </c>
      <c r="V9" s="2">
        <f>75000*(VLOOKUP($A9,Population!$A$1:$B$10,2,FALSE)/Coefficient!$B$2*HLOOKUP(V$1,Population!$G$15:$W$17,2,FALSE)/Coefficient!$B$2)^0.8/(MAX('All Distances'!V9,500))^2</f>
        <v>4.7604793102633082E-2</v>
      </c>
      <c r="W9" s="2">
        <f>75000*(VLOOKUP($A9,Population!$A$1:$B$10,2,FALSE)/Coefficient!$B$2*HLOOKUP(W$1,Population!$G$15:$W$17,2,FALSE)/Coefficient!$B$2)^0.8/(MAX('All Distances'!W9,500))^2</f>
        <v>2.1985772557783848E-2</v>
      </c>
      <c r="X9" s="2">
        <f>75000*(VLOOKUP($A9,Population!$A$1:$B$10,2,FALSE)/Coefficient!$B$2*HLOOKUP(X$1,Population!$G$15:$W$17,2,FALSE)/Coefficient!$B$2)^0.8/(MAX('All Distances'!X9,500))^2</f>
        <v>4.2595064969789265E-2</v>
      </c>
      <c r="Y9" s="2">
        <f>75000*(VLOOKUP($A9,Population!$A$1:$B$10,2,FALSE)/Coefficient!$B$2*HLOOKUP(Y$1,Population!$G$15:$W$17,2,FALSE)/Coefficient!$B$2)^0.8/(MAX('All Distances'!Y9,500))^2</f>
        <v>7.8991846092596862E-3</v>
      </c>
    </row>
    <row r="10" spans="1:25" x14ac:dyDescent="0.25">
      <c r="A10" t="s">
        <v>5</v>
      </c>
      <c r="J10" s="2">
        <f>75000*(VLOOKUP($A10,Population!$A$1:$B$10,2,FALSE)/Coefficient!$B$2*HLOOKUP(J$1,Population!$G$15:$W$17,2,FALSE)/Coefficient!$B$2)^0.8/(MAX('All Distances'!J10,500))^2</f>
        <v>0.29036097172718395</v>
      </c>
      <c r="K10" s="2">
        <f>75000*(VLOOKUP($A10,Population!$A$1:$B$10,2,FALSE)/Coefficient!$B$2*HLOOKUP(K$1,Population!$G$15:$W$17,2,FALSE)/Coefficient!$B$2)^0.8/(MAX('All Distances'!K10,500))^2</f>
        <v>0.15555479251592577</v>
      </c>
      <c r="L10" s="2">
        <f>75000*(VLOOKUP($A10,Population!$A$1:$B$10,2,FALSE)/Coefficient!$B$2*HLOOKUP(L$1,Population!$G$15:$W$17,2,FALSE)/Coefficient!$B$2)^0.8/(MAX('All Distances'!L10,500))^2</f>
        <v>0.1052476157047371</v>
      </c>
      <c r="M10" s="2">
        <f>75000*(VLOOKUP($A10,Population!$A$1:$B$10,2,FALSE)/Coefficient!$B$2*HLOOKUP(M$1,Population!$G$15:$W$17,2,FALSE)/Coefficient!$B$2)^0.8/(MAX('All Distances'!M10,500))^2</f>
        <v>3.1596738437038745E-2</v>
      </c>
      <c r="N10" s="2">
        <f>75000*(VLOOKUP($A10,Population!$A$1:$B$10,2,FALSE)/Coefficient!$B$2*HLOOKUP(N$1,Population!$G$15:$W$17,2,FALSE)/Coefficient!$B$2)^0.8/(MAX('All Distances'!N10,500))^2</f>
        <v>8.2783779687672879E-2</v>
      </c>
      <c r="O10" s="2">
        <f>75000*(VLOOKUP($A10,Population!$A$1:$B$10,2,FALSE)/Coefficient!$B$2*HLOOKUP(O$1,Population!$G$15:$W$17,2,FALSE)/Coefficient!$B$2)^0.8/(MAX('All Distances'!O10,500))^2</f>
        <v>9.257708960883558E-2</v>
      </c>
      <c r="P10" s="2">
        <f>75000*(VLOOKUP($A10,Population!$A$1:$B$10,2,FALSE)/Coefficient!$B$2*HLOOKUP(P$1,Population!$G$15:$W$17,2,FALSE)/Coefficient!$B$2)^0.8/(MAX('All Distances'!P10,500))^2</f>
        <v>3.9484414297360777E-2</v>
      </c>
      <c r="Q10" s="2">
        <f>75000*(VLOOKUP($A10,Population!$A$1:$B$10,2,FALSE)/Coefficient!$B$2*HLOOKUP(Q$1,Population!$G$15:$W$17,2,FALSE)/Coefficient!$B$2)^0.8/(MAX('All Distances'!Q10,500))^2</f>
        <v>2.6479614487543667E-2</v>
      </c>
      <c r="R10" s="2">
        <f>75000*(VLOOKUP($A10,Population!$A$1:$B$10,2,FALSE)/Coefficient!$B$2*HLOOKUP(R$1,Population!$G$15:$W$17,2,FALSE)/Coefficient!$B$2)^0.8/(MAX('All Distances'!R10,500))^2</f>
        <v>1.8572967099153674E-2</v>
      </c>
      <c r="S10" s="2">
        <f>75000*(VLOOKUP($A10,Population!$A$1:$B$10,2,FALSE)/Coefficient!$B$2*HLOOKUP(S$1,Population!$G$15:$W$17,2,FALSE)/Coefficient!$B$2)^0.8/(MAX('All Distances'!S10,500))^2</f>
        <v>1.0501586825912712E-2</v>
      </c>
      <c r="T10" s="2">
        <f>75000*(VLOOKUP($A10,Population!$A$1:$B$10,2,FALSE)/Coefficient!$B$2*HLOOKUP(T$1,Population!$G$15:$W$17,2,FALSE)/Coefficient!$B$2)^0.8/(MAX('All Distances'!T10,500))^2</f>
        <v>3.8292464084153079E-2</v>
      </c>
      <c r="U10" s="2">
        <f>75000*(VLOOKUP($A10,Population!$A$1:$B$10,2,FALSE)/Coefficient!$B$2*HLOOKUP(U$1,Population!$G$15:$W$17,2,FALSE)/Coefficient!$B$2)^0.8/(MAX('All Distances'!U10,500))^2</f>
        <v>0.12858312441005951</v>
      </c>
      <c r="V10" s="2">
        <f>75000*(VLOOKUP($A10,Population!$A$1:$B$10,2,FALSE)/Coefficient!$B$2*HLOOKUP(V$1,Population!$G$15:$W$17,2,FALSE)/Coefficient!$B$2)^0.8/(MAX('All Distances'!V10,500))^2</f>
        <v>6.098771283973365E-2</v>
      </c>
      <c r="W10" s="2">
        <f>75000*(VLOOKUP($A10,Population!$A$1:$B$10,2,FALSE)/Coefficient!$B$2*HLOOKUP(W$1,Population!$G$15:$W$17,2,FALSE)/Coefficient!$B$2)^0.8/(MAX('All Distances'!W10,500))^2</f>
        <v>3.62039097443222E-2</v>
      </c>
      <c r="X10" s="2">
        <f>75000*(VLOOKUP($A10,Population!$A$1:$B$10,2,FALSE)/Coefficient!$B$2*HLOOKUP(X$1,Population!$G$15:$W$17,2,FALSE)/Coefficient!$B$2)^0.8/(MAX('All Distances'!X10,500))^2</f>
        <v>6.1336893556496547E-2</v>
      </c>
      <c r="Y10" s="2">
        <f>75000*(VLOOKUP($A10,Population!$A$1:$B$10,2,FALSE)/Coefficient!$B$2*HLOOKUP(Y$1,Population!$G$15:$W$17,2,FALSE)/Coefficient!$B$2)^0.8/(MAX('All Distances'!Y10,500))^2</f>
        <v>1.3857610822787924E-2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33E8-7C5F-4FDB-B715-C4B2C43001B8}">
  <dimension ref="A1:Y10"/>
  <sheetViews>
    <sheetView topLeftCell="F1" workbookViewId="0">
      <selection activeCell="T9" sqref="T9"/>
    </sheetView>
  </sheetViews>
  <sheetFormatPr defaultRowHeight="15" x14ac:dyDescent="0.25"/>
  <sheetData>
    <row r="1" spans="1:25" x14ac:dyDescent="0.25">
      <c r="B1" t="s">
        <v>7</v>
      </c>
      <c r="C1" t="s">
        <v>6</v>
      </c>
      <c r="D1" t="s">
        <v>38</v>
      </c>
      <c r="E1" t="s">
        <v>8</v>
      </c>
      <c r="F1" t="s">
        <v>3</v>
      </c>
      <c r="G1" t="s">
        <v>4</v>
      </c>
      <c r="H1" t="s">
        <v>1</v>
      </c>
      <c r="I1" t="s">
        <v>5</v>
      </c>
      <c r="J1" t="s">
        <v>11</v>
      </c>
      <c r="K1" t="s">
        <v>10</v>
      </c>
      <c r="L1" t="s">
        <v>40</v>
      </c>
      <c r="M1" t="s">
        <v>41</v>
      </c>
      <c r="N1" t="s">
        <v>68</v>
      </c>
      <c r="O1" t="s">
        <v>69</v>
      </c>
      <c r="P1" t="s">
        <v>71</v>
      </c>
      <c r="Q1" t="s">
        <v>72</v>
      </c>
      <c r="R1" t="s">
        <v>73</v>
      </c>
      <c r="S1" t="s">
        <v>75</v>
      </c>
      <c r="T1" t="s">
        <v>76</v>
      </c>
      <c r="U1" t="s">
        <v>78</v>
      </c>
      <c r="V1" t="s">
        <v>80</v>
      </c>
      <c r="W1" t="s">
        <v>81</v>
      </c>
      <c r="X1" t="s">
        <v>70</v>
      </c>
      <c r="Y1" t="s">
        <v>90</v>
      </c>
    </row>
    <row r="2" spans="1:25" x14ac:dyDescent="0.25">
      <c r="A2" t="s">
        <v>0</v>
      </c>
      <c r="B2" s="2">
        <f>75000*(VLOOKUP($A2,Population!$A$1:$C$10,3,FALSE)*HLOOKUP(B$1,Population!$G$1:$P$3,3,FALSE))^0.8/(MAX('All Distances'!B2,500))^2</f>
        <v>5.1410155114422471</v>
      </c>
      <c r="C2" s="2">
        <f>75000*(VLOOKUP($A2,Population!$A$1:$C$10,3,FALSE)*HLOOKUP(C$1,Population!$G$1:$P$3,3,FALSE))^0.8/(MAX('All Distances'!C2,500))^2</f>
        <v>3.163181671121619</v>
      </c>
      <c r="D2" s="2"/>
      <c r="E2" s="2">
        <f>75000*(VLOOKUP($A2,Population!$A$1:$C$10,3,FALSE)*HLOOKUP(E$1,Population!$G$1:$P$3,3,FALSE))^0.8/(MAX('All Distances'!E2,500))^2</f>
        <v>0.57466767090718285</v>
      </c>
      <c r="F2" s="2">
        <f>75000*(VLOOKUP($A2,Population!$A$1:$C$10,3,FALSE)*HLOOKUP(F$1,Population!$G$1:$P$3,3,FALSE))^0.8/(MAX('All Distances'!F2,500))^2</f>
        <v>1.4229829181410101</v>
      </c>
      <c r="G2" s="2">
        <f>75000*(VLOOKUP($A2,Population!$A$1:$C$10,3,FALSE)*HLOOKUP(G$1,Population!$G$1:$P$3,3,FALSE))^0.8/(MAX('All Distances'!G2,500))^2</f>
        <v>1.2578888137888429</v>
      </c>
      <c r="H2" s="2">
        <f>75000*(VLOOKUP($A2,Population!$A$1:$C$10,3,FALSE)*HLOOKUP(H$1,Population!$G$1:$P$3,3,FALSE))^0.8/(MAX('All Distances'!H2,500))^2</f>
        <v>1.0871694955165432</v>
      </c>
      <c r="I2" s="2">
        <f>75000*(VLOOKUP($A2,Population!$A$1:$C$10,3,FALSE)*HLOOKUP(I$1,Population!$G$1:$P$3,3,FALSE))^0.8/(MAX('All Distances'!I2,500))^2</f>
        <v>1.0871694955165432</v>
      </c>
      <c r="J2" s="2">
        <f>75000*(VLOOKUP($A2,Population!$A$1:$C$10,3,FALSE)/Coefficient!$B$2*HLOOKUP(J$1,Population!$G$15:$W$17,3,FALSE)/Coefficient!$B$2)^0.8/(MAX('All Distances'!J2,500))^2</f>
        <v>1.4765313233600472</v>
      </c>
      <c r="K2" s="2">
        <f>75000*(VLOOKUP($A2,Population!$A$1:$C$10,3,FALSE)/Coefficient!$B$2*HLOOKUP(K$1,Population!$G$15:$W$17,3,FALSE)/Coefficient!$B$2)^0.8/(MAX('All Distances'!K2,500))^2</f>
        <v>1.9682157100817717</v>
      </c>
      <c r="L2" s="2">
        <f>75000*(VLOOKUP($A2,Population!$A$1:$C$10,3,FALSE)/Coefficient!$B$2*HLOOKUP(L$1,Population!$G$15:$W$17,3,FALSE)/Coefficient!$B$2)^0.8/(MAX('All Distances'!L2,500))^2</f>
        <v>1.3410715213204645</v>
      </c>
      <c r="M2" s="2">
        <f>75000*(VLOOKUP($A2,Population!$A$1:$C$10,3,FALSE)/Coefficient!$B$2*HLOOKUP(M$1,Population!$G$15:$W$17,3,FALSE)/Coefficient!$B$2)^0.8/(MAX('All Distances'!M2,500))^2</f>
        <v>0.41494856016677745</v>
      </c>
      <c r="N2" s="2">
        <f>75000*(VLOOKUP($A2,Population!$A$1:$C$10,3,FALSE)/Coefficient!$B$2*HLOOKUP(N$1,Population!$G$15:$W$17,3,FALSE)/Coefficient!$B$2)^0.8/(MAX('All Distances'!N2,500))^2</f>
        <v>0.65732131246860337</v>
      </c>
      <c r="O2" s="2">
        <f>75000*(VLOOKUP($A2,Population!$A$1:$C$10,3,FALSE)/Coefficient!$B$2*HLOOKUP(O$1,Population!$G$15:$W$17,3,FALSE)/Coefficient!$B$2)^0.8/(MAX('All Distances'!O2,500))^2</f>
        <v>0.69776256860762664</v>
      </c>
      <c r="P2" s="2">
        <f>75000*(VLOOKUP($A2,Population!$A$1:$C$10,3,FALSE)/Coefficient!$B$2*HLOOKUP(P$1,Population!$G$15:$W$17,3,FALSE)/Coefficient!$B$2)^0.8/(MAX('All Distances'!P2,500))^2</f>
        <v>0.62441490555140478</v>
      </c>
      <c r="Q2" s="2">
        <f>75000*(VLOOKUP($A2,Population!$A$1:$C$10,3,FALSE)/Coefficient!$B$2*HLOOKUP(Q$1,Population!$G$15:$W$17,3,FALSE)/Coefficient!$B$2)^0.8/(MAX('All Distances'!Q2,500))^2</f>
        <v>0.62441490555140478</v>
      </c>
      <c r="R2" s="2">
        <f>75000*(VLOOKUP($A2,Population!$A$1:$C$10,3,FALSE)/Coefficient!$B$2*HLOOKUP(R$1,Population!$G$15:$W$17,3,FALSE)/Coefficient!$B$2)^0.8/(MAX('All Distances'!R2,500))^2</f>
        <v>0.57394102528160584</v>
      </c>
      <c r="S2" s="2">
        <f>75000*(VLOOKUP($A2,Population!$A$1:$C$10,3,FALSE)/Coefficient!$B$2*HLOOKUP(S$1,Population!$G$15:$W$17,3,FALSE)/Coefficient!$B$2)^0.8/(MAX('All Distances'!S2,500))^2</f>
        <v>0.36732225618022779</v>
      </c>
      <c r="T2" s="2">
        <f>75000*(VLOOKUP($A2,Population!$A$1:$C$10,3,FALSE)/Coefficient!$B$2*HLOOKUP(T$1,Population!$G$15:$W$17,3,FALSE)/Coefficient!$B$2)^0.8/(MAX('All Distances'!T2,500))^2</f>
        <v>1.10423591792571</v>
      </c>
      <c r="U2" s="2">
        <f>75000*(VLOOKUP($A2,Population!$A$1:$C$10,3,FALSE)/Coefficient!$B$2*HLOOKUP(U$1,Population!$G$15:$W$17,3,FALSE)/Coefficient!$B$2)^0.8/(MAX('All Distances'!U2,500))^2</f>
        <v>2.620256113071691</v>
      </c>
      <c r="V2" s="2">
        <f>75000*(VLOOKUP($A2,Population!$A$1:$C$10,3,FALSE)/Coefficient!$B$2*HLOOKUP(V$1,Population!$G$15:$W$17,3,FALSE)/Coefficient!$B$2)^0.8/(MAX('All Distances'!V2,500))^2</f>
        <v>0.70865288334380017</v>
      </c>
      <c r="W2" s="2">
        <f>75000*(VLOOKUP($A2,Population!$A$1:$C$10,3,FALSE)/Coefficient!$B$2*HLOOKUP(W$1,Population!$G$15:$W$17,3,FALSE)/Coefficient!$B$2)^0.8/(MAX('All Distances'!W2,500))^2</f>
        <v>0.33457889582727507</v>
      </c>
      <c r="X2" s="2">
        <f>75000*(VLOOKUP($A2,Population!$A$1:$C$10,3,FALSE)/Coefficient!$B$2*HLOOKUP(X$1,Population!$G$15:$W$17,3,FALSE)/Coefficient!$B$2)^0.8/(MAX('All Distances'!X2,500))^2</f>
        <v>0.63041726544994003</v>
      </c>
      <c r="Y2" s="2">
        <f>75000*(VLOOKUP($A2,Population!$A$1:$C$10,3,FALSE)/Coefficient!$B$2*HLOOKUP(Y$1,Population!$G$15:$W$17,3,FALSE)/Coefficient!$B$2)^0.8/(MAX('All Distances'!Y2,500))^2</f>
        <v>0.11494419949218213</v>
      </c>
    </row>
    <row r="3" spans="1:25" x14ac:dyDescent="0.25">
      <c r="A3" t="s">
        <v>7</v>
      </c>
      <c r="B3" s="2"/>
      <c r="C3" s="2">
        <f>75000*(VLOOKUP($A3,Population!$A$1:$C$10,3,FALSE)*HLOOKUP(C$1,Population!$G$1:$P$3,3,FALSE))^0.8/(MAX('All Distances'!C3,500))^2</f>
        <v>1.9607141681938574</v>
      </c>
      <c r="D3" s="2">
        <f>75000*(VLOOKUP($A3,Population!$A$1:$C$10,3,FALSE)*HLOOKUP(D$1,Population!$G$1:$P$3,3,FALSE))^0.8/(MAX('All Distances'!D3,500))^2</f>
        <v>0.86465584028213094</v>
      </c>
      <c r="E3" s="2">
        <f>75000*(VLOOKUP($A3,Population!$A$1:$C$10,3,FALSE)*HLOOKUP(E$1,Population!$G$1:$P$3,3,FALSE))^0.8/(MAX('All Distances'!E3,500))^2</f>
        <v>1.0784634072144481</v>
      </c>
      <c r="F3" s="2">
        <f>75000*(VLOOKUP($A3,Population!$A$1:$C$10,3,FALSE)*HLOOKUP(F$1,Population!$G$1:$P$3,3,FALSE))^0.8/(MAX('All Distances'!F3,500))^2</f>
        <v>0.44366136700628361</v>
      </c>
      <c r="G3" s="2">
        <f>75000*(VLOOKUP($A3,Population!$A$1:$C$10,3,FALSE)*HLOOKUP(G$1,Population!$G$1:$P$3,3,FALSE))^0.8/(MAX('All Distances'!G3,500))^2</f>
        <v>0.31632469779538241</v>
      </c>
      <c r="H3" s="2">
        <f>75000*(VLOOKUP($A3,Population!$A$1:$C$10,3,FALSE)*HLOOKUP(H$1,Population!$G$1:$P$3,3,FALSE))^0.8/(MAX('All Distances'!H3,500))^2</f>
        <v>0.55693182985786527</v>
      </c>
      <c r="I3" s="2">
        <f>75000*(VLOOKUP($A3,Population!$A$1:$C$10,3,FALSE)*HLOOKUP(I$1,Population!$G$1:$P$3,3,FALSE))^0.8/(MAX('All Distances'!I3,500))^2</f>
        <v>0.18280368764323379</v>
      </c>
      <c r="J3" s="2">
        <f>75000*(VLOOKUP($A3,Population!$A$1:$C$10,3,FALSE)/(Coefficient!$B$2*Coefficient!$B$3)*HLOOKUP(J$1,Population!$G$15:$W$17,3,FALSE)/(Coefficient!$B$2*Coefficient!$B$3))^0.8/(MAX('All Distances'!J3,500))^2</f>
        <v>0.15952832956957336</v>
      </c>
      <c r="K3" s="2">
        <f>75000*(VLOOKUP($A3,Population!$A$1:$C$10,3,FALSE)/(Coefficient!$B$2*Coefficient!$B$3)*HLOOKUP(K$1,Population!$G$15:$W$17,3,FALSE)/(Coefficient!$B$2*Coefficient!$B$3))^0.8/(MAX('All Distances'!K3,500))^2</f>
        <v>0.17119939006140134</v>
      </c>
      <c r="L3" s="2">
        <f>75000*(VLOOKUP($A3,Population!$A$1:$C$10,3,FALSE)/(Coefficient!$B$2*Coefficient!$B$3)*HLOOKUP(L$1,Population!$G$15:$W$17,3,FALSE)/(Coefficient!$B$2*Coefficient!$B$3))^0.8/(MAX('All Distances'!L3,500))^2</f>
        <v>9.0595754755073948E-2</v>
      </c>
      <c r="M3" s="2">
        <f>75000*(VLOOKUP($A3,Population!$A$1:$C$10,3,FALSE)/(Coefficient!$B$2*Coefficient!$B$3)*HLOOKUP(M$1,Population!$G$15:$W$17,3,FALSE)/(Coefficient!$B$2*Coefficient!$B$3))^0.8/(MAX('All Distances'!M3,500))^2</f>
        <v>2.9913461910616907E-2</v>
      </c>
      <c r="N3" s="2">
        <f>75000*(VLOOKUP($A3,Population!$A$1:$C$10,3,FALSE)/(Coefficient!$B$2*Coefficient!$B$3)*HLOOKUP(N$1,Population!$G$15:$W$17,3,FALSE)/(Coefficient!$B$2*Coefficient!$B$3))^0.8/(MAX('All Distances'!N3,500))^2</f>
        <v>5.7825400967997619E-2</v>
      </c>
      <c r="O3" s="2">
        <f>75000*(VLOOKUP($A3,Population!$A$1:$C$10,3,FALSE)/(Coefficient!$B$2*Coefficient!$B$3)*HLOOKUP(O$1,Population!$G$15:$W$17,3,FALSE)/(Coefficient!$B$2*Coefficient!$B$3))^0.8/(MAX('All Distances'!O3,500))^2</f>
        <v>7.4463594316464377E-2</v>
      </c>
      <c r="P3" s="2">
        <f>75000*(VLOOKUP($A3,Population!$A$1:$C$10,3,FALSE)/(Coefficient!$B$2*Coefficient!$B$3)*HLOOKUP(P$1,Population!$G$15:$W$17,3,FALSE)/(Coefficient!$B$2*Coefficient!$B$3))^0.8/(MAX('All Distances'!P3,500))^2</f>
        <v>7.902735260806823E-2</v>
      </c>
      <c r="Q3" s="2">
        <f>75000*(VLOOKUP($A3,Population!$A$1:$C$10,3,FALSE)/(Coefficient!$B$2*Coefficient!$B$3)*HLOOKUP(Q$1,Population!$G$15:$W$17,3,FALSE)/(Coefficient!$B$2*Coefficient!$B$3))^0.8/(MAX('All Distances'!Q3,500))^2</f>
        <v>0.10321939932482382</v>
      </c>
      <c r="R3" s="2">
        <f>75000*(VLOOKUP($A3,Population!$A$1:$C$10,3,FALSE)/(Coefficient!$B$2*Coefficient!$B$3)*HLOOKUP(R$1,Population!$G$15:$W$17,3,FALSE)/(Coefficient!$B$2*Coefficient!$B$3))^0.8/(MAX('All Distances'!R3,500))^2</f>
        <v>0.14308750257475969</v>
      </c>
      <c r="S3" s="2">
        <f>75000*(VLOOKUP($A3,Population!$A$1:$C$10,3,FALSE)/(Coefficient!$B$2*Coefficient!$B$3)*HLOOKUP(S$1,Population!$G$15:$W$17,3,FALSE)/(Coefficient!$B$2*Coefficient!$B$3))^0.8/(MAX('All Distances'!S3,500))^2</f>
        <v>0.18595651834615767</v>
      </c>
      <c r="T3" s="2">
        <f>75000*(VLOOKUP($A3,Population!$A$1:$C$10,3,FALSE)/(Coefficient!$B$2*Coefficient!$B$3)*HLOOKUP(T$1,Population!$G$15:$W$17,3,FALSE)/(Coefficient!$B$2*Coefficient!$B$3))^0.8/(MAX('All Distances'!T3,500))^2</f>
        <v>0.75306571874748751</v>
      </c>
      <c r="U3" s="2">
        <f>75000*(VLOOKUP($A3,Population!$A$1:$C$10,3,FALSE)/(Coefficient!$B$2*Coefficient!$B$3)*HLOOKUP(U$1,Population!$G$15:$W$17,3,FALSE)/(Coefficient!$B$2*Coefficient!$B$3))^0.8/(MAX('All Distances'!U3,500))^2</f>
        <v>1.8657419932005344</v>
      </c>
      <c r="V3" s="2">
        <f>75000*(VLOOKUP($A3,Population!$A$1:$C$10,3,FALSE)/(Coefficient!$B$2*Coefficient!$B$3)*HLOOKUP(V$1,Population!$G$15:$W$17,3,FALSE)/(Coefficient!$B$2*Coefficient!$B$3))^0.8/(MAX('All Distances'!V3,500))^2</f>
        <v>0.44366136700628361</v>
      </c>
      <c r="W3" s="2">
        <f>75000*(VLOOKUP($A3,Population!$A$1:$C$10,3,FALSE)/(Coefficient!$B$2*Coefficient!$B$3)*HLOOKUP(W$1,Population!$G$15:$W$17,3,FALSE)/(Coefficient!$B$2*Coefficient!$B$3))^0.8/(MAX('All Distances'!W3,500))^2</f>
        <v>0.16468631378096824</v>
      </c>
      <c r="X3" s="2">
        <f>75000*(VLOOKUP($A3,Population!$A$1:$C$10,3,FALSE)/(Coefficient!$B$2*Coefficient!$B$3)*HLOOKUP(X$1,Population!$G$15:$W$17,3,FALSE)/(Coefficient!$B$2*Coefficient!$B$3))^0.8/(MAX('All Distances'!X3,500))^2</f>
        <v>0.30271408348819973</v>
      </c>
      <c r="Y3" s="2">
        <f>75000*(VLOOKUP($A3,Population!$A$1:$C$10,3,FALSE)/(Coefficient!$B$2*Coefficient!$B$3)*HLOOKUP(Y$1,Population!$G$15:$W$17,3,FALSE)/(Coefficient!$B$2*Coefficient!$B$3))^0.8/(MAX('All Distances'!Y3,500))^2</f>
        <v>4.5444518392062136E-2</v>
      </c>
    </row>
    <row r="4" spans="1:25" x14ac:dyDescent="0.25">
      <c r="A4" t="s">
        <v>6</v>
      </c>
      <c r="B4" s="2"/>
      <c r="C4" s="2"/>
      <c r="D4" s="2">
        <f>75000*(VLOOKUP($A4,Population!$A$1:$C$10,3,FALSE)*HLOOKUP(D$1,Population!$G$1:$P$3,3,FALSE))^0.8/(MAX('All Distances'!D4,500))^2</f>
        <v>0.66649485188692115</v>
      </c>
      <c r="E4" s="2">
        <f>75000*(VLOOKUP($A4,Population!$A$1:$C$10,3,FALSE)*HLOOKUP(E$1,Population!$G$1:$P$3,3,FALSE))^0.8/(MAX('All Distances'!E4,500))^2</f>
        <v>0.46080601886429728</v>
      </c>
      <c r="F4" s="2">
        <f>75000*(VLOOKUP($A4,Population!$A$1:$C$10,3,FALSE)*HLOOKUP(F$1,Population!$G$1:$P$3,3,FALSE))^0.8/(MAX('All Distances'!F4,500))^2</f>
        <v>0.33542145381127181</v>
      </c>
      <c r="G4" s="2">
        <f>75000*(VLOOKUP($A4,Population!$A$1:$C$10,3,FALSE)*HLOOKUP(G$1,Population!$G$1:$P$3,3,FALSE))^0.8/(MAX('All Distances'!G4,500))^2</f>
        <v>0.22383370037459668</v>
      </c>
      <c r="H4" s="2">
        <f>75000*(VLOOKUP($A4,Population!$A$1:$C$10,3,FALSE)*HLOOKUP(H$1,Population!$G$1:$P$3,3,FALSE))^0.8/(MAX('All Distances'!H4,500))^2</f>
        <v>0.28793876590561179</v>
      </c>
      <c r="I4" s="2">
        <f>75000*(VLOOKUP($A4,Population!$A$1:$C$10,3,FALSE)*HLOOKUP(I$1,Population!$G$1:$P$3,3,FALSE))^0.8/(MAX('All Distances'!I4,500))^2</f>
        <v>0.11681559734902502</v>
      </c>
      <c r="J4" s="2">
        <f>75000*(VLOOKUP($A4,Population!$A$1:$C$10,3,FALSE)/Coefficient!$B$2*HLOOKUP(J$1,Population!$G$15:$W$17,3,FALSE)/Coefficient!$B$2)^0.8/(MAX('All Distances'!J4,500))^2</f>
        <v>0.16964245440597747</v>
      </c>
      <c r="K4" s="2">
        <f>75000*(VLOOKUP($A4,Population!$A$1:$C$10,3,FALSE)/Coefficient!$B$2*HLOOKUP(K$1,Population!$G$15:$W$17,3,FALSE)/Coefficient!$B$2)^0.8/(MAX('All Distances'!K4,500))^2</f>
        <v>0.20881485974804731</v>
      </c>
      <c r="L4" s="2">
        <f>75000*(VLOOKUP($A4,Population!$A$1:$C$10,3,FALSE)/Coefficient!$B$2*HLOOKUP(L$1,Population!$G$15:$W$17,3,FALSE)/Coefficient!$B$2)^0.8/(MAX('All Distances'!L4,500))^2</f>
        <v>0.11085333385861781</v>
      </c>
      <c r="M4" s="2">
        <f>75000*(VLOOKUP($A4,Population!$A$1:$C$10,3,FALSE)/Coefficient!$B$2*HLOOKUP(M$1,Population!$G$15:$W$17,3,FALSE)/Coefficient!$B$2)^0.8/(MAX('All Distances'!M4,500))^2</f>
        <v>3.5079275079639448E-2</v>
      </c>
      <c r="N4" s="2">
        <f>75000*(VLOOKUP($A4,Population!$A$1:$C$10,3,FALSE)/Coefficient!$B$2*HLOOKUP(N$1,Population!$G$15:$W$17,3,FALSE)/Coefficient!$B$2)^0.8/(MAX('All Distances'!N4,500))^2</f>
        <v>6.5928601564486849E-2</v>
      </c>
      <c r="O4" s="2">
        <f>75000*(VLOOKUP($A4,Population!$A$1:$C$10,3,FALSE)/Coefficient!$B$2*HLOOKUP(O$1,Population!$G$15:$W$17,3,FALSE)/Coefficient!$B$2)^0.8/(MAX('All Distances'!O4,500))^2</f>
        <v>6.8381550447261616E-2</v>
      </c>
      <c r="P4" s="2">
        <f>75000*(VLOOKUP($A4,Population!$A$1:$C$10,3,FALSE)/Coefficient!$B$2*HLOOKUP(P$1,Population!$G$15:$W$17,3,FALSE)/Coefficient!$B$2)^0.8/(MAX('All Distances'!P4,500))^2</f>
        <v>0.11484541206099048</v>
      </c>
      <c r="Q4" s="2">
        <f>75000*(VLOOKUP($A4,Population!$A$1:$C$10,3,FALSE)/Coefficient!$B$2*HLOOKUP(Q$1,Population!$G$15:$W$17,3,FALSE)/Coefficient!$B$2)^0.8/(MAX('All Distances'!Q4,500))^2</f>
        <v>8.4376221106033822E-2</v>
      </c>
      <c r="R4" s="2"/>
      <c r="S4" s="2">
        <f>75000*(VLOOKUP($A4,Population!$A$1:$C$10,3,FALSE)/Coefficient!$B$2*HLOOKUP(S$1,Population!$G$15:$W$17,3,FALSE)/Coefficient!$B$2)^0.8/(MAX('All Distances'!S4,500))^2</f>
        <v>0.13787691320254053</v>
      </c>
      <c r="T4" s="2">
        <f>75000*(VLOOKUP($A4,Population!$A$1:$C$10,3,FALSE)/Coefficient!$B$2*HLOOKUP(T$1,Population!$G$15:$W$17,3,FALSE)/Coefficient!$B$2)^0.8/(MAX('All Distances'!T4,500))^2</f>
        <v>0.37171661888209462</v>
      </c>
      <c r="U4" s="2">
        <f>75000*(VLOOKUP($A4,Population!$A$1:$C$10,3,FALSE)/Coefficient!$B$2*HLOOKUP(U$1,Population!$G$15:$W$17,3,FALSE)/Coefficient!$B$2)^0.8/(MAX('All Distances'!U4,500))^2</f>
        <v>0.89278625627944808</v>
      </c>
      <c r="V4" s="2">
        <f>75000*(VLOOKUP($A4,Population!$A$1:$C$10,3,FALSE)/Coefficient!$B$2*HLOOKUP(V$1,Population!$G$15:$W$17,3,FALSE)/Coefficient!$B$2)^0.8/(MAX('All Distances'!V4,500))^2</f>
        <v>0.23276798462603476</v>
      </c>
      <c r="W4" s="2">
        <f>75000*(VLOOKUP($A4,Population!$A$1:$C$10,3,FALSE)/Coefficient!$B$2*HLOOKUP(W$1,Population!$G$15:$W$17,3,FALSE)/Coefficient!$B$2)^0.8/(MAX('All Distances'!W4,500))^2</f>
        <v>9.2946374733546805E-2</v>
      </c>
      <c r="X4" s="2">
        <f>75000*(VLOOKUP($A4,Population!$A$1:$C$10,3,FALSE)/Coefficient!$B$2*HLOOKUP(X$1,Population!$G$15:$W$17,3,FALSE)/Coefficient!$B$2)^0.8/(MAX('All Distances'!X4,500))^2</f>
        <v>0.17467823159367332</v>
      </c>
      <c r="Y4" s="2">
        <f>75000*(VLOOKUP($A4,Population!$A$1:$C$10,3,FALSE)/Coefficient!$B$2*HLOOKUP(Y$1,Population!$G$15:$W$17,3,FALSE)/Coefficient!$B$2)^0.8/(MAX('All Distances'!Y4,500))^2</f>
        <v>2.8032818308591577E-2</v>
      </c>
    </row>
    <row r="5" spans="1:25" x14ac:dyDescent="0.25">
      <c r="A5" t="s">
        <v>38</v>
      </c>
      <c r="B5" s="2"/>
      <c r="C5" s="2"/>
      <c r="D5" s="2"/>
      <c r="E5" s="2">
        <f>75000*(VLOOKUP($A5,Population!$A$1:$C$10,3,FALSE)*HLOOKUP(E$1,Population!$G$1:$P$3,3,FALSE))^0.8/(MAX('All Distances'!E5,500))^2</f>
        <v>0.10454939764995301</v>
      </c>
      <c r="F5" s="2"/>
      <c r="G5" s="2"/>
      <c r="H5" s="2">
        <f>75000*(VLOOKUP($A5,Population!$A$1:$C$10,3,FALSE)*HLOOKUP(H$1,Population!$G$1:$P$3,3,FALSE))^0.8/(MAX('All Distances'!H5,500))^2</f>
        <v>0.23832536423598277</v>
      </c>
      <c r="I5" s="2">
        <f>75000*(VLOOKUP($A5,Population!$A$1:$C$10,3,FALSE)*HLOOKUP(I$1,Population!$G$1:$P$3,3,FALSE))^0.8/(MAX('All Distances'!I5,500))^2</f>
        <v>0.23832536423598277</v>
      </c>
      <c r="J5" s="2">
        <f>75000*(VLOOKUP($A5,Population!$A$1:$C$10,3,FALSE)/Coefficient!$B$2*HLOOKUP(J$1,Population!$G$15:$W$17,3,FALSE)/Coefficient!$B$2)^0.8/(MAX('All Distances'!J5,500))^2</f>
        <v>0.25995680370532998</v>
      </c>
      <c r="K5" s="2">
        <f>75000*(VLOOKUP($A5,Population!$A$1:$C$10,3,FALSE)/Coefficient!$B$2*HLOOKUP(K$1,Population!$G$15:$W$17,3,FALSE)/Coefficient!$B$2)^0.8/(MAX('All Distances'!K5,500))^2</f>
        <v>0.43146512842263968</v>
      </c>
      <c r="L5" s="2">
        <f>75000*(VLOOKUP($A5,Population!$A$1:$C$10,3,FALSE)/Coefficient!$B$2*HLOOKUP(L$1,Population!$G$15:$W$17,3,FALSE)/Coefficient!$B$2)^0.8/(MAX('All Distances'!L5,500))^2</f>
        <v>0.29398484790391155</v>
      </c>
      <c r="M5" s="2">
        <f>75000*(VLOOKUP($A5,Population!$A$1:$C$10,3,FALSE)/Coefficient!$B$2*HLOOKUP(M$1,Population!$G$15:$W$17,3,FALSE)/Coefficient!$B$2)^0.8/(MAX('All Distances'!M5,500))^2</f>
        <v>7.3828035373993101E-2</v>
      </c>
      <c r="N5" s="2">
        <f>75000*(VLOOKUP($A5,Population!$A$1:$C$10,3,FALSE)/Coefficient!$B$2*HLOOKUP(N$1,Population!$G$15:$W$17,3,FALSE)/Coefficient!$B$2)^0.8/(MAX('All Distances'!N5,500))^2</f>
        <v>0.18820649850702142</v>
      </c>
      <c r="O5" s="2">
        <f>75000*(VLOOKUP($A5,Population!$A$1:$C$10,3,FALSE)/Coefficient!$B$2*HLOOKUP(O$1,Population!$G$15:$W$17,3,FALSE)/Coefficient!$B$2)^0.8/(MAX('All Distances'!O5,500))^2</f>
        <v>0.20152682233330285</v>
      </c>
      <c r="P5" s="2">
        <f>75000*(VLOOKUP($A5,Population!$A$1:$C$10,3,FALSE)/Coefficient!$B$2*HLOOKUP(P$1,Population!$G$15:$W$17,3,FALSE)/Coefficient!$B$2)^0.8/(MAX('All Distances'!P5,500))^2</f>
        <v>0.13688197692597129</v>
      </c>
      <c r="Q5" s="2">
        <f>75000*(VLOOKUP($A5,Population!$A$1:$C$10,3,FALSE)/Coefficient!$B$2*HLOOKUP(Q$1,Population!$G$15:$W$17,3,FALSE)/Coefficient!$B$2)^0.8/(MAX('All Distances'!Q5,500))^2</f>
        <v>0.13688197692597129</v>
      </c>
      <c r="R5" s="2">
        <f>75000*(VLOOKUP($A5,Population!$A$1:$C$10,3,FALSE)/Coefficient!$B$2*HLOOKUP(R$1,Population!$G$15:$W$17,3,FALSE)/Coefficient!$B$2)^0.8/(MAX('All Distances'!R5,500))^2</f>
        <v>0.1258172754702081</v>
      </c>
      <c r="S5" s="2">
        <f>75000*(VLOOKUP($A5,Population!$A$1:$C$10,3,FALSE)/Coefficient!$B$2*HLOOKUP(S$1,Population!$G$15:$W$17,3,FALSE)/Coefficient!$B$2)^0.8/(MAX('All Distances'!S5,500))^2</f>
        <v>0.10786803452521271</v>
      </c>
      <c r="T5" s="2">
        <f>75000*(VLOOKUP($A5,Population!$A$1:$C$10,3,FALSE)/Coefficient!$B$2*HLOOKUP(T$1,Population!$G$15:$W$17,3,FALSE)/Coefficient!$B$2)^0.8/(MAX('All Distances'!T5,500))^2</f>
        <v>0.29623846191021469</v>
      </c>
      <c r="U5" s="2">
        <f>75000*(VLOOKUP($A5,Population!$A$1:$C$10,3,FALSE)/Coefficient!$B$2*HLOOKUP(U$1,Population!$G$15:$W$17,3,FALSE)/Coefficient!$B$2)^0.8/(MAX('All Distances'!U5,500))^2</f>
        <v>0.71007297419014936</v>
      </c>
      <c r="V5" s="2">
        <f>75000*(VLOOKUP($A5,Population!$A$1:$C$10,3,FALSE)/Coefficient!$B$2*HLOOKUP(V$1,Population!$G$15:$W$17,3,FALSE)/Coefficient!$B$2)^0.8/(MAX('All Distances'!V5,500))^2</f>
        <v>0.18625701840469819</v>
      </c>
      <c r="W5" s="2">
        <f>75000*(VLOOKUP($A5,Population!$A$1:$C$10,3,FALSE)/Coefficient!$B$2*HLOOKUP(W$1,Population!$G$15:$W$17,3,FALSE)/Coefficient!$B$2)^0.8/(MAX('All Distances'!W5,500))^2</f>
        <v>8.6691007443299467E-2</v>
      </c>
      <c r="X5" s="2">
        <f>75000*(VLOOKUP($A5,Population!$A$1:$C$10,3,FALSE)/Coefficient!$B$2*HLOOKUP(X$1,Population!$G$15:$W$17,3,FALSE)/Coefficient!$B$2)^0.8/(MAX('All Distances'!X5,500))^2</f>
        <v>0.14725758540278042</v>
      </c>
      <c r="Y5" s="2">
        <f>75000*(VLOOKUP($A5,Population!$A$1:$C$10,3,FALSE)/Coefficient!$B$2*HLOOKUP(Y$1,Population!$G$15:$W$17,3,FALSE)/Coefficient!$B$2)^0.8/(MAX('All Distances'!Y5,500))^2</f>
        <v>3.0393104475357313E-2</v>
      </c>
    </row>
    <row r="6" spans="1:25" x14ac:dyDescent="0.25">
      <c r="A6" t="s">
        <v>8</v>
      </c>
      <c r="B6" s="2"/>
      <c r="C6" s="2"/>
      <c r="D6" s="2"/>
      <c r="E6" s="2"/>
      <c r="F6" s="2">
        <f>75000*(VLOOKUP($A6,Population!$A$1:$C$10,3,FALSE)*HLOOKUP(F$1,Population!$G$1:$P$3,3,FALSE))^0.8/(MAX('All Distances'!F6,500))^2</f>
        <v>5.4516061344838239E-2</v>
      </c>
      <c r="G6" s="2">
        <f>75000*(VLOOKUP($A6,Population!$A$1:$C$10,3,FALSE)*HLOOKUP(G$1,Population!$G$1:$P$3,3,FALSE))^0.8/(MAX('All Distances'!G6,500))^2</f>
        <v>4.1159619567095476E-2</v>
      </c>
      <c r="H6" s="2">
        <f>75000*(VLOOKUP($A6,Population!$A$1:$C$10,3,FALSE)*HLOOKUP(H$1,Population!$G$1:$P$3,3,FALSE))^0.8/(MAX('All Distances'!H6,500))^2</f>
        <v>5.8884849532309082E-2</v>
      </c>
      <c r="I6" s="2">
        <f>75000*(VLOOKUP($A6,Population!$A$1:$C$10,3,FALSE)*HLOOKUP(I$1,Population!$G$1:$P$3,3,FALSE))^0.8/(MAX('All Distances'!I6,500))^2</f>
        <v>2.6171044236581814E-2</v>
      </c>
      <c r="J6" s="2">
        <f>75000*(VLOOKUP($A6,Population!$A$1:$C$10,3,FALSE)/(Coefficient!$B$2*Coefficient!$B$3)*HLOOKUP(J$1,Population!$G$15:$W$17,3,FALSE)/(Coefficient!$B$2*Coefficient!$B$3))^0.8/(MAX('All Distances'!J6,500))^2</f>
        <v>2.646945218545705E-2</v>
      </c>
      <c r="K6" s="2">
        <f>75000*(VLOOKUP($A6,Population!$A$1:$C$10,3,FALSE)/(Coefficient!$B$2*Coefficient!$B$3)*HLOOKUP(K$1,Population!$G$15:$W$17,3,FALSE)/(Coefficient!$B$2*Coefficient!$B$3))^0.8/(MAX('All Distances'!K6,500))^2</f>
        <v>2.4565566318016253E-2</v>
      </c>
      <c r="L6" s="2">
        <f>75000*(VLOOKUP($A6,Population!$A$1:$C$10,3,FALSE)/(Coefficient!$B$2*Coefficient!$B$3)*HLOOKUP(L$1,Population!$G$15:$W$17,3,FALSE)/(Coefficient!$B$2*Coefficient!$B$3))^0.8/(MAX('All Distances'!L6,500))^2</f>
        <v>1.3701705825444581E-2</v>
      </c>
      <c r="M6" s="2">
        <f>75000*(VLOOKUP($A6,Population!$A$1:$C$10,3,FALSE)/(Coefficient!$B$2*Coefficient!$B$3)*HLOOKUP(M$1,Population!$G$15:$W$17,3,FALSE)/(Coefficient!$B$2*Coefficient!$B$3))^0.8/(MAX('All Distances'!M6,500))^2</f>
        <v>4.4655913897109429E-3</v>
      </c>
      <c r="N6" s="2">
        <f>75000*(VLOOKUP($A6,Population!$A$1:$C$10,3,FALSE)/(Coefficient!$B$2*Coefficient!$B$3)*HLOOKUP(N$1,Population!$G$15:$W$17,3,FALSE)/(Coefficient!$B$2*Coefficient!$B$3))^0.8/(MAX('All Distances'!N6,500))^2</f>
        <v>9.3300165894518103E-3</v>
      </c>
      <c r="O6" s="2">
        <f>75000*(VLOOKUP($A6,Population!$A$1:$C$10,3,FALSE)/(Coefficient!$B$2*Coefficient!$B$3)*HLOOKUP(O$1,Population!$G$15:$W$17,3,FALSE)/(Coefficient!$B$2*Coefficient!$B$3))^0.8/(MAX('All Distances'!O6,500))^2</f>
        <v>1.4463136372828131E-2</v>
      </c>
      <c r="P6" s="2">
        <f>75000*(VLOOKUP($A6,Population!$A$1:$C$10,3,FALSE)/(Coefficient!$B$2*Coefficient!$B$3)*HLOOKUP(P$1,Population!$G$15:$W$17,3,FALSE)/(Coefficient!$B$2*Coefficient!$B$3))^0.8/(MAX('All Distances'!P6,500))^2</f>
        <v>1.0382303208540786E-2</v>
      </c>
      <c r="Q6" s="2">
        <f>75000*(VLOOKUP($A6,Population!$A$1:$C$10,3,FALSE)/(Coefficient!$B$2*Coefficient!$B$3)*HLOOKUP(Q$1,Population!$G$15:$W$17,3,FALSE)/(Coefficient!$B$2*Coefficient!$B$3))^0.8/(MAX('All Distances'!Q6,500))^2</f>
        <v>1.2633328667720637E-2</v>
      </c>
      <c r="R6" s="2">
        <f>75000*(VLOOKUP($A6,Population!$A$1:$C$10,3,FALSE)/(Coefficient!$B$2*Coefficient!$B$3)*HLOOKUP(R$1,Population!$G$15:$W$17,3,FALSE)/(Coefficient!$B$2*Coefficient!$B$3))^0.8/(MAX('All Distances'!R6,500))^2</f>
        <v>1.5484482615759049E-2</v>
      </c>
      <c r="S6" s="2">
        <f>75000*(VLOOKUP($A6,Population!$A$1:$C$10,3,FALSE)/(Coefficient!$B$2*Coefficient!$B$3)*HLOOKUP(S$1,Population!$G$15:$W$17,3,FALSE)/(Coefficient!$B$2*Coefficient!$B$3))^0.8/(MAX('All Distances'!S6,500))^2</f>
        <v>2.8423129380019733E-2</v>
      </c>
      <c r="T6" s="2">
        <f>75000*(VLOOKUP($A6,Population!$A$1:$C$10,3,FALSE)/(Coefficient!$B$2*Coefficient!$B$3)*HLOOKUP(T$1,Population!$G$15:$W$17,3,FALSE)/(Coefficient!$B$2*Coefficient!$B$3))^0.8/(MAX('All Distances'!T6,500))^2</f>
        <v>8.5041528941455558E-2</v>
      </c>
      <c r="U6" s="2">
        <f>75000*(VLOOKUP($A6,Population!$A$1:$C$10,3,FALSE)/(Coefficient!$B$2*Coefficient!$B$3)*HLOOKUP(U$1,Population!$G$15:$W$17,3,FALSE)/(Coefficient!$B$2*Coefficient!$B$3))^0.8/(MAX('All Distances'!U6,500))^2</f>
        <v>0.20190477113199296</v>
      </c>
      <c r="V6" s="2">
        <f>75000*(VLOOKUP($A6,Population!$A$1:$C$10,3,FALSE)/(Coefficient!$B$2*Coefficient!$B$3)*HLOOKUP(V$1,Population!$G$15:$W$17,3,FALSE)/(Coefficient!$B$2*Coefficient!$B$3))^0.8/(MAX('All Distances'!V6,500))^2</f>
        <v>5.4516061344838239E-2</v>
      </c>
      <c r="W6" s="2">
        <f>75000*(VLOOKUP($A6,Population!$A$1:$C$10,3,FALSE)/(Coefficient!$B$2*Coefficient!$B$3)*HLOOKUP(W$1,Population!$G$15:$W$17,3,FALSE)/(Coefficient!$B$2*Coefficient!$B$3))^0.8/(MAX('All Distances'!W6,500))^2</f>
        <v>2.2418233081788953E-2</v>
      </c>
      <c r="X6" s="2">
        <f>75000*(VLOOKUP($A6,Population!$A$1:$C$10,3,FALSE)/(Coefficient!$B$2*Coefficient!$B$3)*HLOOKUP(X$1,Population!$G$15:$W$17,3,FALSE)/(Coefficient!$B$2*Coefficient!$B$3))^0.8/(MAX('All Distances'!X6,500))^2</f>
        <v>4.2522443662909006E-2</v>
      </c>
      <c r="Y6" s="2">
        <f>75000*(VLOOKUP($A6,Population!$A$1:$C$10,3,FALSE)/(Coefficient!$B$2*Coefficient!$B$3)*HLOOKUP(Y$1,Population!$G$15:$W$17,3,FALSE)/(Coefficient!$B$2*Coefficient!$B$3))^0.8/(MAX('All Distances'!Y6,500))^2</f>
        <v>8.3094644147373425E-3</v>
      </c>
    </row>
    <row r="7" spans="1:25" x14ac:dyDescent="0.25">
      <c r="A7" t="s">
        <v>3</v>
      </c>
      <c r="B7" s="2"/>
      <c r="C7" s="2"/>
      <c r="D7" s="2"/>
      <c r="E7" s="2"/>
      <c r="F7" s="2"/>
      <c r="G7" s="2">
        <f>75000*(VLOOKUP($A7,Population!$A$1:$C$10,3,FALSE)*HLOOKUP(G$1,Population!$G$1:$P$3,3,FALSE))^0.8/(MAX('All Distances'!G7,500))^2</f>
        <v>0.14987206354958535</v>
      </c>
      <c r="H7" s="2">
        <f>75000*(VLOOKUP($A7,Population!$A$1:$C$10,3,FALSE)*HLOOKUP(H$1,Population!$G$1:$P$3,3,FALSE))^0.8/(MAX('All Distances'!H7,500))^2</f>
        <v>0.12953158811425566</v>
      </c>
      <c r="I7" s="2">
        <f>75000*(VLOOKUP($A7,Population!$A$1:$C$10,3,FALSE)*HLOOKUP(I$1,Population!$G$1:$P$3,3,FALSE))^0.8/(MAX('All Distances'!I7,500))^2</f>
        <v>0.12953158811425566</v>
      </c>
      <c r="J7" s="2">
        <f>75000*(VLOOKUP($A7,Population!$A$1:$C$10,3,FALSE)/Coefficient!$B$2*HLOOKUP(J$1,Population!$G$15:$W$17,3,FALSE)/Coefficient!$B$2)^0.8/(MAX('All Distances'!J7,500))^2</f>
        <v>0.23138580783645929</v>
      </c>
      <c r="K7" s="2">
        <f>75000*(VLOOKUP($A7,Population!$A$1:$C$10,3,FALSE)/Coefficient!$B$2*HLOOKUP(K$1,Population!$G$15:$W$17,3,FALSE)/Coefficient!$B$2)^0.8/(MAX('All Distances'!K7,500))^2</f>
        <v>0.23450447030542151</v>
      </c>
      <c r="L7" s="2">
        <f>75000*(VLOOKUP($A7,Population!$A$1:$C$10,3,FALSE)/Coefficient!$B$2*HLOOKUP(L$1,Population!$G$15:$W$17,3,FALSE)/Coefficient!$B$2)^0.8/(MAX('All Distances'!L7,500))^2</f>
        <v>0.14220623603534696</v>
      </c>
      <c r="M7" s="2">
        <f>75000*(VLOOKUP($A7,Population!$A$1:$C$10,3,FALSE)/Coefficient!$B$2*HLOOKUP(M$1,Population!$G$15:$W$17,3,FALSE)/Coefficient!$B$2)^0.8/(MAX('All Distances'!M7,500))^2</f>
        <v>4.9439343364383943E-2</v>
      </c>
      <c r="N7" s="2">
        <f>75000*(VLOOKUP($A7,Population!$A$1:$C$10,3,FALSE)/Coefficient!$B$2*HLOOKUP(N$1,Population!$G$15:$W$17,3,FALSE)/Coefficient!$B$2)^0.8/(MAX('All Distances'!N7,500))^2</f>
        <v>6.6131828633444398E-2</v>
      </c>
      <c r="O7" s="2">
        <f>75000*(VLOOKUP($A7,Population!$A$1:$C$10,3,FALSE)/Coefficient!$B$2*HLOOKUP(O$1,Population!$G$15:$W$17,3,FALSE)/Coefficient!$B$2)^0.8/(MAX('All Distances'!O7,500))^2</f>
        <v>6.98568467586307E-2</v>
      </c>
      <c r="P7" s="2">
        <f>75000*(VLOOKUP($A7,Population!$A$1:$C$10,3,FALSE)/Coefficient!$B$2*HLOOKUP(P$1,Population!$G$15:$W$17,3,FALSE)/Coefficient!$B$2)^0.8/(MAX('All Distances'!P7,500))^2</f>
        <v>7.4396361093499494E-2</v>
      </c>
      <c r="Q7" s="2">
        <f>75000*(VLOOKUP($A7,Population!$A$1:$C$10,3,FALSE)/Coefficient!$B$2*HLOOKUP(Q$1,Population!$G$15:$W$17,3,FALSE)/Coefficient!$B$2)^0.8/(MAX('All Distances'!Q7,500))^2</f>
        <v>7.4396361093499494E-2</v>
      </c>
      <c r="R7" s="2">
        <f>75000*(VLOOKUP($A7,Population!$A$1:$C$10,3,FALSE)/Coefficient!$B$2*HLOOKUP(R$1,Population!$G$15:$W$17,3,FALSE)/Coefficient!$B$2)^0.8/(MAX('All Distances'!R7,500))^2</f>
        <v>6.5727234219665656E-2</v>
      </c>
      <c r="S7" s="2">
        <f>75000*(VLOOKUP($A7,Population!$A$1:$C$10,3,FALSE)/Coefficient!$B$2*HLOOKUP(S$1,Population!$G$15:$W$17,3,FALSE)/Coefficient!$B$2)^0.8/(MAX('All Distances'!S7,500))^2</f>
        <v>3.2080415876402778E-2</v>
      </c>
      <c r="T7" s="2">
        <f>75000*(VLOOKUP($A7,Population!$A$1:$C$10,3,FALSE)/Coefficient!$B$2*HLOOKUP(T$1,Population!$G$15:$W$17,3,FALSE)/Coefficient!$B$2)^0.8/(MAX('All Distances'!T7,500))^2</f>
        <v>0.10513721136693006</v>
      </c>
      <c r="U7" s="2">
        <f>75000*(VLOOKUP($A7,Population!$A$1:$C$10,3,FALSE)/Coefficient!$B$2*HLOOKUP(U$1,Population!$G$15:$W$17,3,FALSE)/Coefficient!$B$2)^0.8/(MAX('All Distances'!U7,500))^2</f>
        <v>0.24699512535722257</v>
      </c>
      <c r="V7" s="2">
        <f>75000*(VLOOKUP($A7,Population!$A$1:$C$10,3,FALSE)/Coefficient!$B$2*HLOOKUP(V$1,Population!$G$15:$W$17,3,FALSE)/Coefficient!$B$2)^0.8/(MAX('All Distances'!V7,500))^2</f>
        <v>6.888182824432279E-2</v>
      </c>
      <c r="W7" s="2">
        <f>75000*(VLOOKUP($A7,Population!$A$1:$C$10,3,FALSE)/Coefficient!$B$2*HLOOKUP(W$1,Population!$G$15:$W$17,3,FALSE)/Coefficient!$B$2)^0.8/(MAX('All Distances'!W7,500))^2</f>
        <v>3.5706942219471766E-2</v>
      </c>
      <c r="X7" s="2">
        <f>75000*(VLOOKUP($A7,Population!$A$1:$C$10,3,FALSE)/Coefficient!$B$2*HLOOKUP(X$1,Population!$G$15:$W$17,3,FALSE)/Coefficient!$B$2)^0.8/(MAX('All Distances'!X7,500))^2</f>
        <v>7.5111516562170161E-2</v>
      </c>
      <c r="Y7" s="2">
        <f>75000*(VLOOKUP($A7,Population!$A$1:$C$10,3,FALSE)/Coefficient!$B$2*HLOOKUP(Y$1,Population!$G$15:$W$17,3,FALSE)/Coefficient!$B$2)^0.8/(MAX('All Distances'!Y7,500))^2</f>
        <v>1.2116298246344463E-2</v>
      </c>
    </row>
    <row r="8" spans="1:25" x14ac:dyDescent="0.25">
      <c r="A8" t="s">
        <v>4</v>
      </c>
      <c r="B8" s="2"/>
      <c r="C8" s="2"/>
      <c r="D8" s="2"/>
      <c r="E8" s="2"/>
      <c r="F8" s="2"/>
      <c r="G8" s="2"/>
      <c r="H8" s="2">
        <f>75000*(VLOOKUP($A8,Population!$A$1:$C$10,3,FALSE)*HLOOKUP(H$1,Population!$G$1:$P$3,3,FALSE))^0.8/(MAX('All Distances'!H8,500))^2</f>
        <v>0.11450336728854525</v>
      </c>
      <c r="I8" s="2">
        <f>75000*(VLOOKUP($A8,Population!$A$1:$C$10,3,FALSE)*HLOOKUP(I$1,Population!$G$1:$P$3,3,FALSE))^0.8/(MAX('All Distances'!I8,500))^2</f>
        <v>0.11450336728854525</v>
      </c>
      <c r="J8" s="2">
        <f>75000*(VLOOKUP($A8,Population!$A$1:$C$10,3,FALSE)/Coefficient!$B$2*HLOOKUP(J$1,Population!$G$15:$W$17,3,FALSE)/Coefficient!$B$2)^0.8/(MAX('All Distances'!J8,500))^2</f>
        <v>0.25932472085400055</v>
      </c>
      <c r="K8" s="2">
        <f>75000*(VLOOKUP($A8,Population!$A$1:$C$10,3,FALSE)/Coefficient!$B$2*HLOOKUP(K$1,Population!$G$15:$W$17,3,FALSE)/Coefficient!$B$2)^0.8/(MAX('All Distances'!K8,500))^2</f>
        <v>0.20729732326374742</v>
      </c>
      <c r="L8" s="2">
        <f>75000*(VLOOKUP($A8,Population!$A$1:$C$10,3,FALSE)/Coefficient!$B$2*HLOOKUP(L$1,Population!$G$15:$W$17,3,FALSE)/Coefficient!$B$2)^0.8/(MAX('All Distances'!L8,500))^2</f>
        <v>0.14124495361508116</v>
      </c>
      <c r="M8" s="2">
        <f>75000*(VLOOKUP($A8,Population!$A$1:$C$10,3,FALSE)/Coefficient!$B$2*HLOOKUP(M$1,Population!$G$15:$W$17,3,FALSE)/Coefficient!$B$2)^0.8/(MAX('All Distances'!M8,500))^2</f>
        <v>4.3703403734718323E-2</v>
      </c>
      <c r="N8" s="2">
        <f>75000*(VLOOKUP($A8,Population!$A$1:$C$10,3,FALSE)/Coefficient!$B$2*HLOOKUP(N$1,Population!$G$15:$W$17,3,FALSE)/Coefficient!$B$2)^0.8/(MAX('All Distances'!N8,500))^2</f>
        <v>7.3490071238171611E-2</v>
      </c>
      <c r="O8" s="2">
        <f>75000*(VLOOKUP($A8,Population!$A$1:$C$10,3,FALSE)/Coefficient!$B$2*HLOOKUP(O$1,Population!$G$15:$W$17,3,FALSE)/Coefficient!$B$2)^0.8/(MAX('All Distances'!O8,500))^2</f>
        <v>7.8154968338250863E-2</v>
      </c>
      <c r="P8" s="2">
        <f>75000*(VLOOKUP($A8,Population!$A$1:$C$10,3,FALSE)/Coefficient!$B$2*HLOOKUP(P$1,Population!$G$15:$W$17,3,FALSE)/Coefficient!$B$2)^0.8/(MAX('All Distances'!P8,500))^2</f>
        <v>6.5764914822986645E-2</v>
      </c>
      <c r="Q8" s="2">
        <f>75000*(VLOOKUP($A8,Population!$A$1:$C$10,3,FALSE)/Coefficient!$B$2*HLOOKUP(Q$1,Population!$G$15:$W$17,3,FALSE)/Coefficient!$B$2)^0.8/(MAX('All Distances'!Q8,500))^2</f>
        <v>6.5764914822986645E-2</v>
      </c>
      <c r="R8" s="2">
        <f>75000*(VLOOKUP($A8,Population!$A$1:$C$10,3,FALSE)/Coefficient!$B$2*HLOOKUP(R$1,Population!$G$15:$W$17,3,FALSE)/Coefficient!$B$2)^0.8/(MAX('All Distances'!R8,500))^2</f>
        <v>4.1978389940066529E-2</v>
      </c>
      <c r="S8" s="2">
        <f>75000*(VLOOKUP($A8,Population!$A$1:$C$10,3,FALSE)/Coefficient!$B$2*HLOOKUP(S$1,Population!$G$15:$W$17,3,FALSE)/Coefficient!$B$2)^0.8/(MAX('All Distances'!S8,500))^2</f>
        <v>2.2475045179095706E-2</v>
      </c>
      <c r="T8" s="2">
        <f>75000*(VLOOKUP($A8,Population!$A$1:$C$10,3,FALSE)/Coefficient!$B$2*HLOOKUP(T$1,Population!$G$15:$W$17,3,FALSE)/Coefficient!$B$2)^0.8/(MAX('All Distances'!T8,500))^2</f>
        <v>7.8094761017379721E-2</v>
      </c>
      <c r="U8" s="2">
        <f>75000*(VLOOKUP($A8,Population!$A$1:$C$10,3,FALSE)/Coefficient!$B$2*HLOOKUP(U$1,Population!$G$15:$W$17,3,FALSE)/Coefficient!$B$2)^0.8/(MAX('All Distances'!U8,500))^2</f>
        <v>0.1821845240915298</v>
      </c>
      <c r="V8" s="2">
        <f>75000*(VLOOKUP($A8,Population!$A$1:$C$10,3,FALSE)/Coefficient!$B$2*HLOOKUP(V$1,Population!$G$15:$W$17,3,FALSE)/Coefficient!$B$2)^0.8/(MAX('All Distances'!V8,500))^2</f>
        <v>0.19264025310113547</v>
      </c>
      <c r="W8" s="2">
        <f>75000*(VLOOKUP($A8,Population!$A$1:$C$10,3,FALSE)/Coefficient!$B$2*HLOOKUP(W$1,Population!$G$15:$W$17,3,FALSE)/Coefficient!$B$2)^0.8/(MAX('All Distances'!W8,500))^2</f>
        <v>0.12403218051695396</v>
      </c>
      <c r="X8" s="2">
        <f>75000*(VLOOKUP($A8,Population!$A$1:$C$10,3,FALSE)/Coefficient!$B$2*HLOOKUP(X$1,Population!$G$15:$W$17,3,FALSE)/Coefficient!$B$2)^0.8/(MAX('All Distances'!X8,500))^2</f>
        <v>0.25191234755202246</v>
      </c>
      <c r="Y8" s="2">
        <f>75000*(VLOOKUP($A8,Population!$A$1:$C$10,3,FALSE)/Coefficient!$B$2*HLOOKUP(Y$1,Population!$G$15:$W$17,3,FALSE)/Coefficient!$B$2)^0.8/(MAX('All Distances'!Y8,500))^2</f>
        <v>4.3703403734718323E-2</v>
      </c>
    </row>
    <row r="9" spans="1:25" x14ac:dyDescent="0.25">
      <c r="A9" t="s">
        <v>1</v>
      </c>
      <c r="B9" s="2"/>
      <c r="C9" s="2"/>
      <c r="D9" s="2"/>
      <c r="E9" s="2"/>
      <c r="F9" s="2"/>
      <c r="G9" s="2"/>
      <c r="H9" s="2"/>
      <c r="I9" s="2">
        <f>75000*(VLOOKUP($A9,Population!$A$1:$C$10,3,FALSE)*HLOOKUP(I$1,Population!$G$1:$P$3,3,FALSE))^0.8/(MAX('All Distances'!I9,500))^2</f>
        <v>9.8963093307967084E-2</v>
      </c>
      <c r="J9" s="2">
        <f>75000*(VLOOKUP($A9,Population!$A$1:$C$10,3,FALSE)/Coefficient!$B$2*HLOOKUP(J$1,Population!$G$15:$W$17,3,FALSE)/Coefficient!$B$2)^0.8/(MAX('All Distances'!J9,500))^2</f>
        <v>0.11940097346962826</v>
      </c>
      <c r="K9" s="2">
        <f>75000*(VLOOKUP($A9,Population!$A$1:$C$10,3,FALSE)/Coefficient!$B$2*HLOOKUP(K$1,Population!$G$15:$W$17,3,FALSE)/Coefficient!$B$2)^0.8/(MAX('All Distances'!K9,500))^2</f>
        <v>0.17916315328042157</v>
      </c>
      <c r="L9" s="2">
        <f>75000*(VLOOKUP($A9,Population!$A$1:$C$10,3,FALSE)/Coefficient!$B$2*HLOOKUP(L$1,Population!$G$15:$W$17,3,FALSE)/Coefficient!$B$2)^0.8/(MAX('All Distances'!L9,500))^2</f>
        <v>0.11286551430352092</v>
      </c>
      <c r="M9" s="2">
        <f>75000*(VLOOKUP($A9,Population!$A$1:$C$10,3,FALSE)/Coefficient!$B$2*HLOOKUP(M$1,Population!$G$15:$W$17,3,FALSE)/Coefficient!$B$2)^0.8/(MAX('All Distances'!M9,500))^2</f>
        <v>3.6305290981201867E-2</v>
      </c>
      <c r="N9" s="2">
        <f>75000*(VLOOKUP($A9,Population!$A$1:$C$10,3,FALSE)/Coefficient!$B$2*HLOOKUP(N$1,Population!$G$15:$W$17,3,FALSE)/Coefficient!$B$2)^0.8/(MAX('All Distances'!N9,500))^2</f>
        <v>5.1918940625994656E-2</v>
      </c>
      <c r="O9" s="2">
        <f>75000*(VLOOKUP($A9,Population!$A$1:$C$10,3,FALSE)/Coefficient!$B$2*HLOOKUP(O$1,Population!$G$15:$W$17,3,FALSE)/Coefficient!$B$2)^0.8/(MAX('All Distances'!O9,500))^2</f>
        <v>5.4885148699846363E-2</v>
      </c>
      <c r="P9" s="2">
        <f>75000*(VLOOKUP($A9,Population!$A$1:$C$10,3,FALSE)/Coefficient!$B$2*HLOOKUP(P$1,Population!$G$15:$W$17,3,FALSE)/Coefficient!$B$2)^0.8/(MAX('All Distances'!P9,500))^2</f>
        <v>5.6839371244139923E-2</v>
      </c>
      <c r="Q9" s="2">
        <f>75000*(VLOOKUP($A9,Population!$A$1:$C$10,3,FALSE)/Coefficient!$B$2*HLOOKUP(Q$1,Population!$G$15:$W$17,3,FALSE)/Coefficient!$B$2)^0.8/(MAX('All Distances'!Q9,500))^2</f>
        <v>5.6839371244139923E-2</v>
      </c>
      <c r="R9" s="2">
        <f>75000*(VLOOKUP($A9,Population!$A$1:$C$10,3,FALSE)/Coefficient!$B$2*HLOOKUP(R$1,Population!$G$15:$W$17,3,FALSE)/Coefficient!$B$2)^0.8/(MAX('All Distances'!R9,500))^2</f>
        <v>5.2244824263788903E-2</v>
      </c>
      <c r="S9" s="2">
        <f>75000*(VLOOKUP($A9,Population!$A$1:$C$10,3,FALSE)/Coefficient!$B$2*HLOOKUP(S$1,Population!$G$15:$W$17,3,FALSE)/Coefficient!$B$2)^0.8/(MAX('All Distances'!S9,500))^2</f>
        <v>2.8666570240762086E-2</v>
      </c>
      <c r="T9" s="2">
        <f>75000*(VLOOKUP($A9,Population!$A$1:$C$10,3,FALSE)/Coefficient!$B$2*HLOOKUP(T$1,Population!$G$15:$W$17,3,FALSE)/Coefficient!$B$2)^0.8/(MAX('All Distances'!T9,500))^2</f>
        <v>9.0053623572736663E-2</v>
      </c>
      <c r="U9" s="2">
        <f>75000*(VLOOKUP($A9,Population!$A$1:$C$10,3,FALSE)/Coefficient!$B$2*HLOOKUP(U$1,Population!$G$15:$W$17,3,FALSE)/Coefficient!$B$2)^0.8/(MAX('All Distances'!U9,500))^2</f>
        <v>0.21261166748329455</v>
      </c>
      <c r="V9" s="2">
        <f>75000*(VLOOKUP($A9,Population!$A$1:$C$10,3,FALSE)/Coefficient!$B$2*HLOOKUP(V$1,Population!$G$15:$W$17,3,FALSE)/Coefficient!$B$2)^0.8/(MAX('All Distances'!V9,500))^2</f>
        <v>5.8396559908765029E-2</v>
      </c>
      <c r="W9" s="2">
        <f>75000*(VLOOKUP($A9,Population!$A$1:$C$10,3,FALSE)/Coefficient!$B$2*HLOOKUP(W$1,Population!$G$15:$W$17,3,FALSE)/Coefficient!$B$2)^0.8/(MAX('All Distances'!W9,500))^2</f>
        <v>2.7774120794978346E-2</v>
      </c>
      <c r="X9" s="2">
        <f>75000*(VLOOKUP($A9,Population!$A$1:$C$10,3,FALSE)/Coefficient!$B$2*HLOOKUP(X$1,Population!$G$15:$W$17,3,FALSE)/Coefficient!$B$2)^0.8/(MAX('All Distances'!X9,500))^2</f>
        <v>5.8424390452400742E-2</v>
      </c>
      <c r="Y9" s="2">
        <f>75000*(VLOOKUP($A9,Population!$A$1:$C$10,3,FALSE)/Coefficient!$B$2*HLOOKUP(Y$1,Population!$G$15:$W$17,3,FALSE)/Coefficient!$B$2)^0.8/(MAX('All Distances'!Y9,500))^2</f>
        <v>9.4430061842106054E-3</v>
      </c>
    </row>
    <row r="10" spans="1:25" x14ac:dyDescent="0.25">
      <c r="A10" t="s">
        <v>5</v>
      </c>
      <c r="J10" s="2">
        <f>75000*(VLOOKUP($A10,Population!$A$1:$C$10,3,FALSE)/Coefficient!$B$2*HLOOKUP(J$1,Population!$G$15:$W$17,3,FALSE)/Coefficient!$B$2)^0.8/(MAX('All Distances'!J10,500))^2</f>
        <v>0.36149838727664652</v>
      </c>
      <c r="K10" s="2">
        <f>75000*(VLOOKUP($A10,Population!$A$1:$C$10,3,FALSE)/Coefficient!$B$2*HLOOKUP(K$1,Population!$G$15:$W$17,3,FALSE)/Coefficient!$B$2)^0.8/(MAX('All Distances'!K10,500))^2</f>
        <v>0.17916315328042157</v>
      </c>
      <c r="L10" s="2">
        <f>75000*(VLOOKUP($A10,Population!$A$1:$C$10,3,FALSE)/Coefficient!$B$2*HLOOKUP(L$1,Population!$G$15:$W$17,3,FALSE)/Coefficient!$B$2)^0.8/(MAX('All Distances'!L10,500))^2</f>
        <v>0.12207534027068821</v>
      </c>
      <c r="M10" s="2">
        <f>75000*(VLOOKUP($A10,Population!$A$1:$C$10,3,FALSE)/Coefficient!$B$2*HLOOKUP(M$1,Population!$G$15:$W$17,3,FALSE)/Coefficient!$B$2)^0.8/(MAX('All Distances'!M10,500))^2</f>
        <v>3.7772024736842422E-2</v>
      </c>
      <c r="N10" s="2">
        <f>75000*(VLOOKUP($A10,Population!$A$1:$C$10,3,FALSE)/Coefficient!$B$2*HLOOKUP(N$1,Population!$G$15:$W$17,3,FALSE)/Coefficient!$B$2)^0.8/(MAX('All Distances'!N10,500))^2</f>
        <v>0.1106704138383702</v>
      </c>
      <c r="O10" s="2">
        <f>75000*(VLOOKUP($A10,Population!$A$1:$C$10,3,FALSE)/Coefficient!$B$2*HLOOKUP(O$1,Population!$G$15:$W$17,3,FALSE)/Coefficient!$B$2)^0.8/(MAX('All Distances'!O10,500))^2</f>
        <v>0.1106704138383702</v>
      </c>
      <c r="P10" s="2">
        <f>75000*(VLOOKUP($A10,Population!$A$1:$C$10,3,FALSE)/Coefficient!$B$2*HLOOKUP(P$1,Population!$G$15:$W$17,3,FALSE)/Coefficient!$B$2)^0.8/(MAX('All Distances'!P10,500))^2</f>
        <v>4.3736050511034109E-2</v>
      </c>
      <c r="Q10" s="2">
        <f>75000*(VLOOKUP($A10,Population!$A$1:$C$10,3,FALSE)/Coefficient!$B$2*HLOOKUP(Q$1,Population!$G$15:$W$17,3,FALSE)/Coefficient!$B$2)^0.8/(MAX('All Distances'!Q10,500))^2</f>
        <v>3.1654806885798581E-2</v>
      </c>
      <c r="R10" s="2">
        <f>75000*(VLOOKUP($A10,Population!$A$1:$C$10,3,FALSE)/Coefficient!$B$2*HLOOKUP(R$1,Population!$G$15:$W$17,3,FALSE)/Coefficient!$B$2)^0.8/(MAX('All Distances'!R10,500))^2</f>
        <v>2.0408134478042541E-2</v>
      </c>
      <c r="S10" s="2">
        <f>75000*(VLOOKUP($A10,Population!$A$1:$C$10,3,FALSE)/Coefficient!$B$2*HLOOKUP(S$1,Population!$G$15:$W$17,3,FALSE)/Coefficient!$B$2)^0.8/(MAX('All Distances'!S10,500))^2</f>
        <v>1.2554023515904678E-2</v>
      </c>
      <c r="T10" s="2">
        <f>75000*(VLOOKUP($A10,Population!$A$1:$C$10,3,FALSE)/Coefficient!$B$2*HLOOKUP(T$1,Population!$G$15:$W$17,3,FALSE)/Coefficient!$B$2)^0.8/(MAX('All Distances'!T10,500))^2</f>
        <v>4.8051226237717105E-2</v>
      </c>
      <c r="U10" s="2">
        <f>75000*(VLOOKUP($A10,Population!$A$1:$C$10,3,FALSE)/Coefficient!$B$2*HLOOKUP(U$1,Population!$G$15:$W$17,3,FALSE)/Coefficient!$B$2)^0.8/(MAX('All Distances'!U10,500))^2</f>
        <v>0.1559554597612747</v>
      </c>
      <c r="V10" s="2">
        <f>75000*(VLOOKUP($A10,Population!$A$1:$C$10,3,FALSE)/Coefficient!$B$2*HLOOKUP(V$1,Population!$G$15:$W$17,3,FALSE)/Coefficient!$B$2)^0.8/(MAX('All Distances'!V10,500))^2</f>
        <v>7.4813320139124284E-2</v>
      </c>
      <c r="W10" s="2">
        <f>75000*(VLOOKUP($A10,Population!$A$1:$C$10,3,FALSE)/Coefficient!$B$2*HLOOKUP(W$1,Population!$G$15:$W$17,3,FALSE)/Coefficient!$B$2)^0.8/(MAX('All Distances'!W10,500))^2</f>
        <v>4.5735566482666072E-2</v>
      </c>
      <c r="X10" s="2">
        <f>75000*(VLOOKUP($A10,Population!$A$1:$C$10,3,FALSE)/Coefficient!$B$2*HLOOKUP(X$1,Population!$G$15:$W$17,3,FALSE)/Coefficient!$B$2)^0.8/(MAX('All Distances'!X10,500))^2</f>
        <v>8.4131122251457066E-2</v>
      </c>
      <c r="Y10" s="2">
        <f>75000*(VLOOKUP($A10,Population!$A$1:$C$10,3,FALSE)/Coefficient!$B$2*HLOOKUP(Y$1,Population!$G$15:$W$17,3,FALSE)/Coefficient!$B$2)^0.8/(MAX('All Distances'!Y10,500))^2</f>
        <v>1.6565950939363371E-2</v>
      </c>
    </row>
  </sheetData>
  <conditionalFormatting sqref="B2:Y10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D195-5AE8-44D2-AC46-BBCD0FD5423C}">
  <dimension ref="A1:D6"/>
  <sheetViews>
    <sheetView workbookViewId="0">
      <selection activeCell="B2" sqref="B2"/>
    </sheetView>
  </sheetViews>
  <sheetFormatPr defaultRowHeight="15" x14ac:dyDescent="0.25"/>
  <sheetData>
    <row r="1" spans="1:4" x14ac:dyDescent="0.25">
      <c r="B1" t="s">
        <v>1</v>
      </c>
      <c r="C1" t="s">
        <v>6</v>
      </c>
      <c r="D1" t="s">
        <v>7</v>
      </c>
    </row>
    <row r="2" spans="1:4" x14ac:dyDescent="0.25">
      <c r="A2" t="s">
        <v>3</v>
      </c>
      <c r="B2">
        <f t="shared" ref="B2:C2" si="0">B4</f>
        <v>50</v>
      </c>
      <c r="C2">
        <f t="shared" si="0"/>
        <v>425</v>
      </c>
      <c r="D2">
        <f>D4</f>
        <v>600</v>
      </c>
    </row>
    <row r="3" spans="1:4" x14ac:dyDescent="0.25">
      <c r="A3" t="s">
        <v>38</v>
      </c>
      <c r="B3">
        <f t="shared" ref="B3:C3" si="1">B4</f>
        <v>50</v>
      </c>
      <c r="C3">
        <f t="shared" si="1"/>
        <v>425</v>
      </c>
      <c r="D3">
        <f>D4</f>
        <v>600</v>
      </c>
    </row>
    <row r="4" spans="1:4" x14ac:dyDescent="0.25">
      <c r="A4" t="s">
        <v>0</v>
      </c>
      <c r="B4">
        <f>'All Distances'!H2</f>
        <v>50</v>
      </c>
      <c r="C4">
        <f>'All Distances'!C2</f>
        <v>425</v>
      </c>
      <c r="D4">
        <f>'All Distances'!B2</f>
        <v>600</v>
      </c>
    </row>
    <row r="5" spans="1:4" x14ac:dyDescent="0.25">
      <c r="A5" t="s">
        <v>1</v>
      </c>
      <c r="C5">
        <f>'All Distances'!H4</f>
        <v>375</v>
      </c>
      <c r="D5">
        <f>'All Distances'!H3</f>
        <v>550</v>
      </c>
    </row>
    <row r="6" spans="1:4" x14ac:dyDescent="0.25">
      <c r="A6" t="s">
        <v>6</v>
      </c>
      <c r="D6">
        <f>'All Distances'!C3</f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5DE5-1714-4139-8104-F27782AFCFBB}">
  <dimension ref="A1:D17"/>
  <sheetViews>
    <sheetView topLeftCell="A4" workbookViewId="0">
      <selection activeCell="C15" sqref="C15"/>
    </sheetView>
  </sheetViews>
  <sheetFormatPr defaultRowHeight="15" x14ac:dyDescent="0.25"/>
  <sheetData>
    <row r="1" spans="1:4" x14ac:dyDescent="0.25">
      <c r="A1">
        <v>2021</v>
      </c>
    </row>
    <row r="2" spans="1:4" x14ac:dyDescent="0.25">
      <c r="A2" t="s">
        <v>46</v>
      </c>
      <c r="B2" t="s">
        <v>1</v>
      </c>
      <c r="C2" t="s">
        <v>6</v>
      </c>
      <c r="D2" t="s">
        <v>7</v>
      </c>
    </row>
    <row r="3" spans="1:4" x14ac:dyDescent="0.25">
      <c r="A3" t="s">
        <v>3</v>
      </c>
      <c r="B3" s="2">
        <f>'All Ridership 2021'!H7</f>
        <v>9.5783399793430979E-2</v>
      </c>
      <c r="C3" s="2">
        <f>'All Ridership 2021'!F4</f>
        <v>0.24541637206482414</v>
      </c>
      <c r="D3" s="2">
        <f>'All Ridership 2021'!F3</f>
        <v>0.3280697373321721</v>
      </c>
    </row>
    <row r="4" spans="1:4" x14ac:dyDescent="0.25">
      <c r="A4" t="s">
        <v>38</v>
      </c>
      <c r="B4" s="2">
        <f>'All Ridership 2021'!H5</f>
        <v>0.1667685852891784</v>
      </c>
      <c r="C4" s="2">
        <f>'All Ridership 2021'!D4</f>
        <v>0.46146515716204151</v>
      </c>
      <c r="D4" s="2">
        <f>'All Ridership 2021'!D3</f>
        <v>0.6050444177779446</v>
      </c>
    </row>
    <row r="5" spans="1:4" x14ac:dyDescent="0.25">
      <c r="A5" t="s">
        <v>0</v>
      </c>
      <c r="B5" s="2">
        <f>'All Ridership 2021'!H2</f>
        <v>0.65223544479009132</v>
      </c>
      <c r="C5" s="2">
        <f>'All Ridership 2021'!C2</f>
        <v>1.8777138532895898</v>
      </c>
      <c r="D5" s="2">
        <f>'All Ridership 2021'!B2</f>
        <v>3.084296011437591</v>
      </c>
    </row>
    <row r="6" spans="1:4" x14ac:dyDescent="0.25">
      <c r="A6" t="s">
        <v>1</v>
      </c>
      <c r="C6" s="2">
        <f>'All Ridership 2021'!H4</f>
        <v>0.19936194178469219</v>
      </c>
      <c r="D6" s="2">
        <f>'All Ridership 2021'!H3</f>
        <v>0.38971400994458916</v>
      </c>
    </row>
    <row r="7" spans="1:4" x14ac:dyDescent="0.25">
      <c r="A7" t="s">
        <v>6</v>
      </c>
      <c r="D7" s="2">
        <f>'All Ridership 2021'!C3</f>
        <v>1.3575517788529452</v>
      </c>
    </row>
    <row r="11" spans="1:4" x14ac:dyDescent="0.25">
      <c r="A11">
        <v>2041</v>
      </c>
    </row>
    <row r="12" spans="1:4" x14ac:dyDescent="0.25">
      <c r="A12" t="s">
        <v>46</v>
      </c>
      <c r="B12" t="s">
        <v>1</v>
      </c>
      <c r="C12" t="s">
        <v>6</v>
      </c>
      <c r="D12" t="s">
        <v>7</v>
      </c>
    </row>
    <row r="13" spans="1:4" x14ac:dyDescent="0.25">
      <c r="A13" t="s">
        <v>3</v>
      </c>
      <c r="B13" s="2">
        <f>'All Ridership 2041'!H7</f>
        <v>0.12953158811425566</v>
      </c>
      <c r="C13" s="2">
        <f>'All Ridership 2041'!F4</f>
        <v>0.33542145381127181</v>
      </c>
      <c r="D13" s="2">
        <f>'All Ridership 2041'!F3</f>
        <v>0.44366136700628361</v>
      </c>
    </row>
    <row r="14" spans="1:4" x14ac:dyDescent="0.25">
      <c r="A14" t="s">
        <v>38</v>
      </c>
      <c r="B14" s="2">
        <f>'All Ridership 2041'!H5</f>
        <v>0.23832536423598277</v>
      </c>
      <c r="C14" s="2">
        <f>'All Ridership 2041'!D4</f>
        <v>0.66649485188692115</v>
      </c>
      <c r="D14" s="2">
        <f>'All Ridership 2041'!D3</f>
        <v>0.86465584028213094</v>
      </c>
    </row>
    <row r="15" spans="1:4" x14ac:dyDescent="0.25">
      <c r="A15" t="s">
        <v>0</v>
      </c>
      <c r="B15" s="2">
        <f>'All Ridership 2041'!H2</f>
        <v>1.0871694955165432</v>
      </c>
      <c r="C15" s="2">
        <f>'All Ridership 2041'!C2</f>
        <v>3.163181671121619</v>
      </c>
      <c r="D15" s="2">
        <f>'All Ridership 2041'!B2</f>
        <v>5.1410155114422471</v>
      </c>
    </row>
    <row r="16" spans="1:4" x14ac:dyDescent="0.25">
      <c r="A16" t="s">
        <v>1</v>
      </c>
      <c r="C16" s="2">
        <f>'All Ridership 2041'!H4</f>
        <v>0.28793876590561179</v>
      </c>
      <c r="D16" s="2">
        <f>'All Ridership 2041'!H3</f>
        <v>0.55693182985786527</v>
      </c>
    </row>
    <row r="17" spans="1:4" x14ac:dyDescent="0.25">
      <c r="A17" t="s">
        <v>6</v>
      </c>
      <c r="D17" s="2">
        <f>'All Ridership 2041'!C3</f>
        <v>1.9607141681938574</v>
      </c>
    </row>
  </sheetData>
  <conditionalFormatting sqref="B3:D7 B13:D17">
    <cfRule type="colorScale" priority="1">
      <colorScale>
        <cfvo type="min"/>
        <cfvo type="max"/>
        <color rgb="FFFCFCFF"/>
        <color rgb="FFF8696B"/>
      </colorScale>
    </cfRule>
  </conditionalFormatting>
  <conditionalFormatting sqref="B5:D7 B15:D1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ED85-FFE4-4187-AC88-D222F2D7F59E}">
  <dimension ref="A1:D25"/>
  <sheetViews>
    <sheetView topLeftCell="A7" workbookViewId="0">
      <selection activeCell="G13" sqref="G13"/>
    </sheetView>
  </sheetViews>
  <sheetFormatPr defaultRowHeight="15" x14ac:dyDescent="0.25"/>
  <cols>
    <col min="2" max="2" width="11.5703125" bestFit="1" customWidth="1"/>
  </cols>
  <sheetData>
    <row r="1" spans="1:4" x14ac:dyDescent="0.25">
      <c r="A1">
        <v>2021</v>
      </c>
    </row>
    <row r="2" spans="1:4" x14ac:dyDescent="0.25">
      <c r="A2" t="s">
        <v>46</v>
      </c>
      <c r="B2" t="s">
        <v>1</v>
      </c>
      <c r="C2" t="s">
        <v>6</v>
      </c>
      <c r="D2" t="s">
        <v>7</v>
      </c>
    </row>
    <row r="3" spans="1:4" x14ac:dyDescent="0.25">
      <c r="A3" t="s">
        <v>3</v>
      </c>
      <c r="B3" s="4">
        <f>'Ridership Phase 1'!B3*'Distances Phase 1'!B$4*Coefficient!$B$4</f>
        <v>0.41506139910486761</v>
      </c>
      <c r="C3" s="4">
        <f>'Ridership Phase 1'!C3*'Distances Phase 1'!C$4*Coefficient!$B$4</f>
        <v>9.0395030377210226</v>
      </c>
      <c r="D3" s="4">
        <f>'Ridership Phase 1'!D3*'Distances Phase 1'!D$4*Coefficient!$B$4</f>
        <v>17.059626341272949</v>
      </c>
    </row>
    <row r="4" spans="1:4" x14ac:dyDescent="0.25">
      <c r="A4" t="s">
        <v>38</v>
      </c>
      <c r="B4" s="4">
        <f>'Ridership Phase 1'!B4*'Distances Phase 1'!B$4*Coefficient!$B$4</f>
        <v>0.7226638695864398</v>
      </c>
      <c r="C4" s="4">
        <f>'Ridership Phase 1'!C4*'Distances Phase 1'!C$4*Coefficient!$B$4</f>
        <v>16.997299955468527</v>
      </c>
      <c r="D4" s="4">
        <f>'Ridership Phase 1'!D4*'Distances Phase 1'!D$4*Coefficient!$B$4</f>
        <v>31.462309724453121</v>
      </c>
    </row>
    <row r="5" spans="1:4" x14ac:dyDescent="0.25">
      <c r="A5" t="s">
        <v>0</v>
      </c>
      <c r="B5" s="4">
        <f>'Ridership Phase 1'!B5*'Distances Phase 1'!B4*Coefficient!$B$4</f>
        <v>2.8263535940903961</v>
      </c>
      <c r="C5" s="4">
        <f>'Ridership Phase 1'!C5*'Distances Phase 1'!C4*Coefficient!$B$4</f>
        <v>69.162460262833221</v>
      </c>
      <c r="D5" s="4">
        <f>'Ridership Phase 1'!D5*'Distances Phase 1'!D4*Coefficient!$B$4</f>
        <v>160.38339259475472</v>
      </c>
    </row>
    <row r="6" spans="1:4" x14ac:dyDescent="0.25">
      <c r="A6" t="s">
        <v>1</v>
      </c>
      <c r="B6" s="4"/>
      <c r="C6" s="4">
        <f>'Ridership Phase 1'!C6*'Distances Phase 1'!C5*Coefficient!$B$4</f>
        <v>6.4792631080024963</v>
      </c>
      <c r="D6" s="4">
        <f>'Ridership Phase 1'!D6*'Distances Phase 1'!D5*Coefficient!$B$4</f>
        <v>18.57636780735875</v>
      </c>
    </row>
    <row r="7" spans="1:4" x14ac:dyDescent="0.25">
      <c r="A7" t="s">
        <v>6</v>
      </c>
      <c r="B7" s="4"/>
      <c r="C7" s="4"/>
      <c r="D7" s="4">
        <f>'Ridership Phase 1'!D7*'Distances Phase 1'!D6*Coefficient!$B$4</f>
        <v>20.589535312603001</v>
      </c>
    </row>
    <row r="9" spans="1:4" x14ac:dyDescent="0.25">
      <c r="A9" t="s">
        <v>26</v>
      </c>
      <c r="B9" s="6">
        <f>SUM(B5:D7)</f>
        <v>278.01737267964256</v>
      </c>
    </row>
    <row r="10" spans="1:4" x14ac:dyDescent="0.25">
      <c r="B10" s="6"/>
    </row>
    <row r="11" spans="1:4" x14ac:dyDescent="0.25">
      <c r="A11">
        <v>2041</v>
      </c>
      <c r="B11" s="6"/>
    </row>
    <row r="12" spans="1:4" x14ac:dyDescent="0.25">
      <c r="A12" t="s">
        <v>46</v>
      </c>
      <c r="B12" t="s">
        <v>1</v>
      </c>
      <c r="C12" t="s">
        <v>6</v>
      </c>
      <c r="D12" t="s">
        <v>7</v>
      </c>
    </row>
    <row r="13" spans="1:4" x14ac:dyDescent="0.25">
      <c r="A13" t="s">
        <v>3</v>
      </c>
      <c r="B13" s="4">
        <f>'Ridership Phase 1'!B13*'Distances Phase 1'!B$4*Coefficient!$B$4</f>
        <v>0.56130354849510788</v>
      </c>
      <c r="C13" s="4">
        <f>'Ridership Phase 1'!C13*'Distances Phase 1'!C$4*Coefficient!$B$4</f>
        <v>12.354690215381847</v>
      </c>
      <c r="D13" s="4">
        <f>'Ridership Phase 1'!D13*'Distances Phase 1'!D$4*Coefficient!$B$4</f>
        <v>23.070391084326751</v>
      </c>
    </row>
    <row r="14" spans="1:4" x14ac:dyDescent="0.25">
      <c r="A14" t="s">
        <v>38</v>
      </c>
      <c r="B14" s="4">
        <f>'Ridership Phase 1'!B14*'Distances Phase 1'!B$4*Coefficient!$B$4</f>
        <v>1.032743245022592</v>
      </c>
      <c r="C14" s="4">
        <f>'Ridership Phase 1'!C14*'Distances Phase 1'!C$4*Coefficient!$B$4</f>
        <v>24.549227044501595</v>
      </c>
      <c r="D14" s="4">
        <f>'Ridership Phase 1'!D14*'Distances Phase 1'!D$4*Coefficient!$B$4</f>
        <v>44.962103694670809</v>
      </c>
    </row>
    <row r="15" spans="1:4" x14ac:dyDescent="0.25">
      <c r="A15" t="s">
        <v>0</v>
      </c>
      <c r="B15" s="4">
        <f>'Ridership Phase 1'!B15*'Distances Phase 1'!B4*Coefficient!$B$4</f>
        <v>4.7110678139050206</v>
      </c>
      <c r="C15" s="4">
        <f>'Ridership Phase 1'!C15*'Distances Phase 1'!C4*Coefficient!$B$4</f>
        <v>116.51052488631298</v>
      </c>
      <c r="D15" s="4">
        <f>'Ridership Phase 1'!D15*'Distances Phase 1'!D4*Coefficient!$B$4</f>
        <v>267.33280659499684</v>
      </c>
    </row>
    <row r="16" spans="1:4" x14ac:dyDescent="0.25">
      <c r="A16" t="s">
        <v>1</v>
      </c>
      <c r="B16" s="4"/>
      <c r="C16" s="4">
        <f>'Ridership Phase 1'!C16*'Distances Phase 1'!C5*Coefficient!$B$4</f>
        <v>9.3580098919323831</v>
      </c>
      <c r="D16" s="4">
        <f>'Ridership Phase 1'!D16*'Distances Phase 1'!D5*Coefficient!$B$4</f>
        <v>26.547083889891578</v>
      </c>
    </row>
    <row r="17" spans="1:4" x14ac:dyDescent="0.25">
      <c r="A17" t="s">
        <v>6</v>
      </c>
      <c r="B17" s="4"/>
      <c r="C17" s="4"/>
      <c r="D17" s="4">
        <f>'Ridership Phase 1'!D17*'Distances Phase 1'!D6*Coefficient!$B$4</f>
        <v>29.737498217606838</v>
      </c>
    </row>
    <row r="18" spans="1:4" x14ac:dyDescent="0.25">
      <c r="B18" s="6"/>
    </row>
    <row r="19" spans="1:4" x14ac:dyDescent="0.25">
      <c r="A19" t="s">
        <v>26</v>
      </c>
      <c r="B19" s="6">
        <f>SUM(B15:D17)</f>
        <v>454.19699129464561</v>
      </c>
    </row>
    <row r="20" spans="1:4" x14ac:dyDescent="0.25">
      <c r="B20" s="6"/>
    </row>
    <row r="21" spans="1:4" x14ac:dyDescent="0.25">
      <c r="A21" t="s">
        <v>27</v>
      </c>
      <c r="B21" s="4">
        <f>'Construction Costs'!C10+'Construction Costs'!C11</f>
        <v>20600</v>
      </c>
    </row>
    <row r="22" spans="1:4" x14ac:dyDescent="0.25">
      <c r="B22" s="4"/>
    </row>
    <row r="23" spans="1:4" x14ac:dyDescent="0.25">
      <c r="B23" s="4" t="s">
        <v>28</v>
      </c>
      <c r="C23" t="s">
        <v>29</v>
      </c>
    </row>
    <row r="24" spans="1:4" x14ac:dyDescent="0.25">
      <c r="A24">
        <v>2021</v>
      </c>
      <c r="B24" s="7">
        <f>B9/B21</f>
        <v>1.3495988965031193E-2</v>
      </c>
      <c r="C24" s="8">
        <f>1/B24</f>
        <v>74.096089037346715</v>
      </c>
    </row>
    <row r="25" spans="1:4" x14ac:dyDescent="0.25">
      <c r="A25">
        <v>2041</v>
      </c>
      <c r="B25" s="7">
        <f>B19/B21</f>
        <v>2.2048397635662409E-2</v>
      </c>
      <c r="C25" s="8">
        <f>1/B25</f>
        <v>45.354769835180207</v>
      </c>
    </row>
  </sheetData>
  <conditionalFormatting sqref="B3:D7 B13:D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Population</vt:lpstr>
      <vt:lpstr>All Distances</vt:lpstr>
      <vt:lpstr>Segments</vt:lpstr>
      <vt:lpstr>Coefficient</vt:lpstr>
      <vt:lpstr>All Ridership 2021</vt:lpstr>
      <vt:lpstr>All Ridership 2041</vt:lpstr>
      <vt:lpstr>Distances Phase 1</vt:lpstr>
      <vt:lpstr>Ridership Phase 1</vt:lpstr>
      <vt:lpstr>Profit Phase 1</vt:lpstr>
      <vt:lpstr>Distances Phase 2 OLD</vt:lpstr>
      <vt:lpstr>Ridership Phase 2 OLD</vt:lpstr>
      <vt:lpstr>Revenue Phase 2 OLD</vt:lpstr>
      <vt:lpstr>Phase 2Q</vt:lpstr>
      <vt:lpstr>Windsor</vt:lpstr>
      <vt:lpstr>Distances Phase 2S</vt:lpstr>
      <vt:lpstr>Ridership Phase 2S</vt:lpstr>
      <vt:lpstr>Profit Phase 2S</vt:lpstr>
      <vt:lpstr>Phase 2 Summary</vt:lpstr>
      <vt:lpstr>Distances Phase 3W</vt:lpstr>
      <vt:lpstr>Ridership Phase 3W</vt:lpstr>
      <vt:lpstr>Profit Phase 3W</vt:lpstr>
      <vt:lpstr>Distances Phase 3N</vt:lpstr>
      <vt:lpstr>Ridership Phase 3N</vt:lpstr>
      <vt:lpstr>Profit Phase 3N</vt:lpstr>
      <vt:lpstr>Distances Phase 3M</vt:lpstr>
      <vt:lpstr>Ridership Phase 3M</vt:lpstr>
      <vt:lpstr>Profit Phase 3M</vt:lpstr>
      <vt:lpstr>Phase 3 Summary</vt:lpstr>
      <vt:lpstr>Construction Costs</vt:lpstr>
      <vt:lpstr>Financial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Ding</dc:creator>
  <cp:lastModifiedBy>Ethan Ding</cp:lastModifiedBy>
  <dcterms:created xsi:type="dcterms:W3CDTF">2023-08-20T21:22:09Z</dcterms:created>
  <dcterms:modified xsi:type="dcterms:W3CDTF">2023-09-18T06:28:53Z</dcterms:modified>
</cp:coreProperties>
</file>