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Maestría\TFM\Resultados experimento\Experimento 2\"/>
    </mc:Choice>
  </mc:AlternateContent>
  <bookViews>
    <workbookView xWindow="0" yWindow="990" windowWidth="13860" windowHeight="5760" tabRatio="760" firstSheet="1" activeTab="1"/>
  </bookViews>
  <sheets>
    <sheet name="Datos" sheetId="3" state="hidden" r:id="rId1"/>
    <sheet name="Datos de la evaluación" sheetId="2" r:id="rId2"/>
    <sheet name="H1. Visibilidad y estado" sheetId="1" r:id="rId3"/>
    <sheet name="H2. Relacion sistema-mundo-real" sheetId="21" r:id="rId4"/>
    <sheet name="H3. Control y libertad usuario" sheetId="22" r:id="rId5"/>
    <sheet name="H4. Consistencias y estándares" sheetId="23" r:id="rId6"/>
    <sheet name="H5. Recon, Ayuda, Recup. error" sheetId="24" r:id="rId7"/>
    <sheet name="H6. Prevención de errores" sheetId="25" r:id="rId8"/>
    <sheet name="H7. Reconoc. antes que memor." sheetId="26" r:id="rId9"/>
    <sheet name="H8. Flexibilidad y eficiencia" sheetId="27" r:id="rId10"/>
    <sheet name="H9. Diseno minimalista" sheetId="28" r:id="rId11"/>
    <sheet name="H10. Documentación" sheetId="29" r:id="rId12"/>
    <sheet name="H11. Contenido" sheetId="30" r:id="rId13"/>
    <sheet name="H12. Confiabilidad y eficiencia" sheetId="31" r:id="rId14"/>
    <sheet name="H13. Búsqueda" sheetId="32" r:id="rId15"/>
    <sheet name="Tabla dinamica resultados" sheetId="43" r:id="rId16"/>
    <sheet name="Resultados Generales" sheetId="20" r:id="rId17"/>
    <sheet name="Resultados de cumplimiento" sheetId="33" r:id="rId18"/>
    <sheet name="Result. porc. cumplimiento" sheetId="38" r:id="rId19"/>
    <sheet name="Resul. porc. cump. individual" sheetId="36" r:id="rId20"/>
    <sheet name="Resultados de impacto " sheetId="35" r:id="rId21"/>
    <sheet name="Result. porc. impacto" sheetId="39" r:id="rId22"/>
    <sheet name="Result. porc. impac individual" sheetId="40" r:id="rId23"/>
    <sheet name="Consolidado heuristicas" sheetId="42" r:id="rId24"/>
  </sheets>
  <externalReferences>
    <externalReference r:id="rId25"/>
  </externalReferences>
  <definedNames>
    <definedName name="Tipos">[1]Valores!$E$5:$E$20</definedName>
  </definedNames>
  <calcPr calcId="162913"/>
  <pivotCaches>
    <pivotCache cacheId="0"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32" l="1"/>
  <c r="F14" i="32"/>
  <c r="C117" i="42" l="1"/>
  <c r="D117" i="42"/>
  <c r="F117" i="42"/>
  <c r="H117" i="42"/>
  <c r="J117" i="42"/>
  <c r="M117" i="42"/>
  <c r="D116" i="42"/>
  <c r="F116" i="42"/>
  <c r="H116" i="42"/>
  <c r="J116" i="42"/>
  <c r="M116" i="42"/>
  <c r="C116" i="42"/>
  <c r="C111" i="42"/>
  <c r="D111" i="42"/>
  <c r="F111" i="42"/>
  <c r="H111" i="42"/>
  <c r="J111" i="42"/>
  <c r="M111" i="42"/>
  <c r="C112" i="42"/>
  <c r="D112" i="42"/>
  <c r="F112" i="42"/>
  <c r="H112" i="42"/>
  <c r="J112" i="42"/>
  <c r="M112" i="42"/>
  <c r="C113" i="42"/>
  <c r="D113" i="42"/>
  <c r="F113" i="42"/>
  <c r="H113" i="42"/>
  <c r="J113" i="42"/>
  <c r="M113" i="42"/>
  <c r="C114" i="42"/>
  <c r="D114" i="42"/>
  <c r="F114" i="42"/>
  <c r="H114" i="42"/>
  <c r="J114" i="42"/>
  <c r="M114" i="42"/>
  <c r="C115" i="42"/>
  <c r="D115" i="42"/>
  <c r="F115" i="42"/>
  <c r="H115" i="42"/>
  <c r="J115" i="42"/>
  <c r="M115" i="42"/>
  <c r="D110" i="42"/>
  <c r="F110" i="42"/>
  <c r="H110" i="42"/>
  <c r="J110" i="42"/>
  <c r="M110" i="42"/>
  <c r="C110" i="42"/>
  <c r="C106" i="42"/>
  <c r="D106" i="42"/>
  <c r="F106" i="42"/>
  <c r="H106" i="42"/>
  <c r="J106" i="42"/>
  <c r="M106" i="42"/>
  <c r="C107" i="42"/>
  <c r="D107" i="42"/>
  <c r="F107" i="42"/>
  <c r="H107" i="42"/>
  <c r="J107" i="42"/>
  <c r="M107" i="42"/>
  <c r="C108" i="42"/>
  <c r="D108" i="42"/>
  <c r="F108" i="42"/>
  <c r="H108" i="42"/>
  <c r="J108" i="42"/>
  <c r="M108" i="42"/>
  <c r="C109" i="42"/>
  <c r="D109" i="42"/>
  <c r="F109" i="42"/>
  <c r="H109" i="42"/>
  <c r="J109" i="42"/>
  <c r="M109" i="42"/>
  <c r="D105" i="42"/>
  <c r="F105" i="42"/>
  <c r="H105" i="42"/>
  <c r="J105" i="42"/>
  <c r="M105" i="42"/>
  <c r="C105" i="42"/>
  <c r="D104" i="42"/>
  <c r="F104" i="42"/>
  <c r="H104" i="42"/>
  <c r="J104" i="42"/>
  <c r="M104" i="42"/>
  <c r="C104" i="42"/>
  <c r="C96" i="42"/>
  <c r="D96" i="42"/>
  <c r="F96" i="42"/>
  <c r="H96" i="42"/>
  <c r="J96" i="42"/>
  <c r="M96" i="42"/>
  <c r="C97" i="42"/>
  <c r="D97" i="42"/>
  <c r="F97" i="42"/>
  <c r="H97" i="42"/>
  <c r="J97" i="42"/>
  <c r="M97" i="42"/>
  <c r="C98" i="42"/>
  <c r="D98" i="42"/>
  <c r="F98" i="42"/>
  <c r="H98" i="42"/>
  <c r="J98" i="42"/>
  <c r="M98" i="42"/>
  <c r="C99" i="42"/>
  <c r="D99" i="42"/>
  <c r="F99" i="42"/>
  <c r="H99" i="42"/>
  <c r="J99" i="42"/>
  <c r="M99" i="42"/>
  <c r="C100" i="42"/>
  <c r="D100" i="42"/>
  <c r="F100" i="42"/>
  <c r="H100" i="42"/>
  <c r="J100" i="42"/>
  <c r="M100" i="42"/>
  <c r="C101" i="42"/>
  <c r="D101" i="42"/>
  <c r="F101" i="42"/>
  <c r="H101" i="42"/>
  <c r="J101" i="42"/>
  <c r="M101" i="42"/>
  <c r="C102" i="42"/>
  <c r="D102" i="42"/>
  <c r="F102" i="42"/>
  <c r="H102" i="42"/>
  <c r="J102" i="42"/>
  <c r="M102" i="42"/>
  <c r="C103" i="42"/>
  <c r="D103" i="42"/>
  <c r="F103" i="42"/>
  <c r="H103" i="42"/>
  <c r="J103" i="42"/>
  <c r="M103" i="42"/>
  <c r="D95" i="42"/>
  <c r="F95" i="42"/>
  <c r="H95" i="42"/>
  <c r="J95" i="42"/>
  <c r="M95" i="42"/>
  <c r="C95" i="42"/>
  <c r="C93" i="42"/>
  <c r="D93" i="42"/>
  <c r="F93" i="42"/>
  <c r="H93" i="42"/>
  <c r="J93" i="42"/>
  <c r="M93" i="42"/>
  <c r="C94" i="42"/>
  <c r="D94" i="42"/>
  <c r="F94" i="42"/>
  <c r="H94" i="42"/>
  <c r="J94" i="42"/>
  <c r="M94" i="42"/>
  <c r="D92" i="42"/>
  <c r="F92" i="42"/>
  <c r="H92" i="42"/>
  <c r="J92" i="42"/>
  <c r="M92" i="42"/>
  <c r="C92" i="42"/>
  <c r="C90" i="42"/>
  <c r="D90" i="42"/>
  <c r="F90" i="42"/>
  <c r="H90" i="42"/>
  <c r="J90" i="42"/>
  <c r="M90" i="42"/>
  <c r="C91" i="42"/>
  <c r="D91" i="42"/>
  <c r="F91" i="42"/>
  <c r="H91" i="42"/>
  <c r="J91" i="42"/>
  <c r="M91" i="42"/>
  <c r="C85" i="42"/>
  <c r="D85" i="42"/>
  <c r="F85" i="42"/>
  <c r="H85" i="42"/>
  <c r="J85" i="42"/>
  <c r="M85" i="42"/>
  <c r="C86" i="42"/>
  <c r="D86" i="42"/>
  <c r="F86" i="42"/>
  <c r="H86" i="42"/>
  <c r="J86" i="42"/>
  <c r="M86" i="42"/>
  <c r="C87" i="42"/>
  <c r="D87" i="42"/>
  <c r="F87" i="42"/>
  <c r="H87" i="42"/>
  <c r="J87" i="42"/>
  <c r="M87" i="42"/>
  <c r="C88" i="42"/>
  <c r="D88" i="42"/>
  <c r="F88" i="42"/>
  <c r="H88" i="42"/>
  <c r="J88" i="42"/>
  <c r="M88" i="42"/>
  <c r="C89" i="42"/>
  <c r="D89" i="42"/>
  <c r="F89" i="42"/>
  <c r="H89" i="42"/>
  <c r="J89" i="42"/>
  <c r="M89" i="42"/>
  <c r="C81" i="42"/>
  <c r="D81" i="42"/>
  <c r="F81" i="42"/>
  <c r="H81" i="42"/>
  <c r="J81" i="42"/>
  <c r="M81" i="42"/>
  <c r="C82" i="42"/>
  <c r="D82" i="42"/>
  <c r="F82" i="42"/>
  <c r="H82" i="42"/>
  <c r="J82" i="42"/>
  <c r="M82" i="42"/>
  <c r="C83" i="42"/>
  <c r="D83" i="42"/>
  <c r="F83" i="42"/>
  <c r="H83" i="42"/>
  <c r="J83" i="42"/>
  <c r="M83" i="42"/>
  <c r="C84" i="42"/>
  <c r="D84" i="42"/>
  <c r="F84" i="42"/>
  <c r="H84" i="42"/>
  <c r="J84" i="42"/>
  <c r="M84" i="42"/>
  <c r="C74" i="42"/>
  <c r="D74" i="42"/>
  <c r="F74" i="42"/>
  <c r="H74" i="42"/>
  <c r="J74" i="42"/>
  <c r="M74" i="42"/>
  <c r="C75" i="42"/>
  <c r="D75" i="42"/>
  <c r="F75" i="42"/>
  <c r="H75" i="42"/>
  <c r="J75" i="42"/>
  <c r="M75" i="42"/>
  <c r="C76" i="42"/>
  <c r="D76" i="42"/>
  <c r="F76" i="42"/>
  <c r="H76" i="42"/>
  <c r="J76" i="42"/>
  <c r="M76" i="42"/>
  <c r="C77" i="42"/>
  <c r="D77" i="42"/>
  <c r="F77" i="42"/>
  <c r="H77" i="42"/>
  <c r="J77" i="42"/>
  <c r="M77" i="42"/>
  <c r="C78" i="42"/>
  <c r="D78" i="42"/>
  <c r="F78" i="42"/>
  <c r="H78" i="42"/>
  <c r="J78" i="42"/>
  <c r="M78" i="42"/>
  <c r="C79" i="42"/>
  <c r="D79" i="42"/>
  <c r="F79" i="42"/>
  <c r="H79" i="42"/>
  <c r="J79" i="42"/>
  <c r="M79" i="42"/>
  <c r="C80" i="42"/>
  <c r="D80" i="42"/>
  <c r="F80" i="42"/>
  <c r="H80" i="42"/>
  <c r="J80" i="42"/>
  <c r="M80" i="42"/>
  <c r="D73" i="42"/>
  <c r="F73" i="42"/>
  <c r="H73" i="42"/>
  <c r="J73" i="42"/>
  <c r="M73" i="42"/>
  <c r="C73" i="42"/>
  <c r="C69" i="42"/>
  <c r="D69" i="42"/>
  <c r="F69" i="42"/>
  <c r="H69" i="42"/>
  <c r="J69" i="42"/>
  <c r="M69" i="42"/>
  <c r="C70" i="42"/>
  <c r="D70" i="42"/>
  <c r="F70" i="42"/>
  <c r="H70" i="42"/>
  <c r="J70" i="42"/>
  <c r="M70" i="42"/>
  <c r="C71" i="42"/>
  <c r="D71" i="42"/>
  <c r="F71" i="42"/>
  <c r="H71" i="42"/>
  <c r="J71" i="42"/>
  <c r="M71" i="42"/>
  <c r="C72" i="42"/>
  <c r="D72" i="42"/>
  <c r="F72" i="42"/>
  <c r="H72" i="42"/>
  <c r="J72" i="42"/>
  <c r="M72" i="42"/>
  <c r="D68" i="42"/>
  <c r="F68" i="42"/>
  <c r="H68" i="42"/>
  <c r="J68" i="42"/>
  <c r="M68" i="42"/>
  <c r="C68" i="42"/>
  <c r="C64" i="42"/>
  <c r="D64" i="42"/>
  <c r="F64" i="42"/>
  <c r="H64" i="42"/>
  <c r="J64" i="42"/>
  <c r="M64" i="42"/>
  <c r="C65" i="42"/>
  <c r="D65" i="42"/>
  <c r="F65" i="42"/>
  <c r="H65" i="42"/>
  <c r="J65" i="42"/>
  <c r="M65" i="42"/>
  <c r="C66" i="42"/>
  <c r="D66" i="42"/>
  <c r="F66" i="42"/>
  <c r="H66" i="42"/>
  <c r="J66" i="42"/>
  <c r="M66" i="42"/>
  <c r="C67" i="42"/>
  <c r="D67" i="42"/>
  <c r="F67" i="42"/>
  <c r="H67" i="42"/>
  <c r="J67" i="42"/>
  <c r="M67" i="42"/>
  <c r="D63" i="42"/>
  <c r="F63" i="42"/>
  <c r="H63" i="42"/>
  <c r="J63" i="42"/>
  <c r="M63" i="42"/>
  <c r="C63" i="42"/>
  <c r="C58" i="42"/>
  <c r="D58" i="42"/>
  <c r="F58" i="42"/>
  <c r="H58" i="42"/>
  <c r="J58" i="42"/>
  <c r="M58" i="42"/>
  <c r="C59" i="42"/>
  <c r="D59" i="42"/>
  <c r="F59" i="42"/>
  <c r="H59" i="42"/>
  <c r="J59" i="42"/>
  <c r="M59" i="42"/>
  <c r="C60" i="42"/>
  <c r="D60" i="42"/>
  <c r="F60" i="42"/>
  <c r="H60" i="42"/>
  <c r="J60" i="42"/>
  <c r="M60" i="42"/>
  <c r="C61" i="42"/>
  <c r="D61" i="42"/>
  <c r="F61" i="42"/>
  <c r="H61" i="42"/>
  <c r="J61" i="42"/>
  <c r="M61" i="42"/>
  <c r="C62" i="42"/>
  <c r="D62" i="42"/>
  <c r="F62" i="42"/>
  <c r="H62" i="42"/>
  <c r="J62" i="42"/>
  <c r="M62" i="42"/>
  <c r="C46" i="42"/>
  <c r="D46" i="42"/>
  <c r="F46" i="42"/>
  <c r="H46" i="42"/>
  <c r="J46" i="42"/>
  <c r="M46" i="42"/>
  <c r="C47" i="42"/>
  <c r="D47" i="42"/>
  <c r="F47" i="42"/>
  <c r="H47" i="42"/>
  <c r="J47" i="42"/>
  <c r="M47" i="42"/>
  <c r="C48" i="42"/>
  <c r="D48" i="42"/>
  <c r="F48" i="42"/>
  <c r="H48" i="42"/>
  <c r="J48" i="42"/>
  <c r="M48" i="42"/>
  <c r="C49" i="42"/>
  <c r="D49" i="42"/>
  <c r="F49" i="42"/>
  <c r="H49" i="42"/>
  <c r="J49" i="42"/>
  <c r="M49" i="42"/>
  <c r="C50" i="42"/>
  <c r="D50" i="42"/>
  <c r="F50" i="42"/>
  <c r="H50" i="42"/>
  <c r="J50" i="42"/>
  <c r="M50" i="42"/>
  <c r="C51" i="42"/>
  <c r="D51" i="42"/>
  <c r="F51" i="42"/>
  <c r="H51" i="42"/>
  <c r="J51" i="42"/>
  <c r="M51" i="42"/>
  <c r="C52" i="42"/>
  <c r="D52" i="42"/>
  <c r="F52" i="42"/>
  <c r="H52" i="42"/>
  <c r="J52" i="42"/>
  <c r="M52" i="42"/>
  <c r="C53" i="42"/>
  <c r="D53" i="42"/>
  <c r="F53" i="42"/>
  <c r="H53" i="42"/>
  <c r="J53" i="42"/>
  <c r="M53" i="42"/>
  <c r="C54" i="42"/>
  <c r="D54" i="42"/>
  <c r="F54" i="42"/>
  <c r="H54" i="42"/>
  <c r="J54" i="42"/>
  <c r="M54" i="42"/>
  <c r="C55" i="42"/>
  <c r="D55" i="42"/>
  <c r="F55" i="42"/>
  <c r="H55" i="42"/>
  <c r="J55" i="42"/>
  <c r="M55" i="42"/>
  <c r="C56" i="42"/>
  <c r="D56" i="42"/>
  <c r="F56" i="42"/>
  <c r="H56" i="42"/>
  <c r="J56" i="42"/>
  <c r="M56" i="42"/>
  <c r="C57" i="42"/>
  <c r="D57" i="42"/>
  <c r="F57" i="42"/>
  <c r="H57" i="42"/>
  <c r="J57" i="42"/>
  <c r="M57" i="42"/>
  <c r="D45" i="42"/>
  <c r="F45" i="42"/>
  <c r="H45" i="42"/>
  <c r="J45" i="42"/>
  <c r="M45" i="42"/>
  <c r="C45" i="42"/>
  <c r="C34" i="42"/>
  <c r="D34" i="42"/>
  <c r="F34" i="42"/>
  <c r="H34" i="42"/>
  <c r="J34" i="42"/>
  <c r="M34" i="42"/>
  <c r="C35" i="42"/>
  <c r="D35" i="42"/>
  <c r="F35" i="42"/>
  <c r="H35" i="42"/>
  <c r="J35" i="42"/>
  <c r="M35" i="42"/>
  <c r="C36" i="42"/>
  <c r="D36" i="42"/>
  <c r="F36" i="42"/>
  <c r="H36" i="42"/>
  <c r="J36" i="42"/>
  <c r="M36" i="42"/>
  <c r="C37" i="42"/>
  <c r="D37" i="42"/>
  <c r="F37" i="42"/>
  <c r="H37" i="42"/>
  <c r="J37" i="42"/>
  <c r="M37" i="42"/>
  <c r="C38" i="42"/>
  <c r="D38" i="42"/>
  <c r="F38" i="42"/>
  <c r="H38" i="42"/>
  <c r="J38" i="42"/>
  <c r="M38" i="42"/>
  <c r="C39" i="42"/>
  <c r="D39" i="42"/>
  <c r="F39" i="42"/>
  <c r="H39" i="42"/>
  <c r="J39" i="42"/>
  <c r="M39" i="42"/>
  <c r="C40" i="42"/>
  <c r="D40" i="42"/>
  <c r="F40" i="42"/>
  <c r="H40" i="42"/>
  <c r="J40" i="42"/>
  <c r="M40" i="42"/>
  <c r="C41" i="42"/>
  <c r="D41" i="42"/>
  <c r="F41" i="42"/>
  <c r="H41" i="42"/>
  <c r="J41" i="42"/>
  <c r="M41" i="42"/>
  <c r="C42" i="42"/>
  <c r="D42" i="42"/>
  <c r="F42" i="42"/>
  <c r="H42" i="42"/>
  <c r="J42" i="42"/>
  <c r="M42" i="42"/>
  <c r="C43" i="42"/>
  <c r="D43" i="42"/>
  <c r="F43" i="42"/>
  <c r="H43" i="42"/>
  <c r="J43" i="42"/>
  <c r="M43" i="42"/>
  <c r="C44" i="42"/>
  <c r="D44" i="42"/>
  <c r="F44" i="42"/>
  <c r="H44" i="42"/>
  <c r="J44" i="42"/>
  <c r="M44" i="42"/>
  <c r="D33" i="42"/>
  <c r="F33" i="42"/>
  <c r="H33" i="42"/>
  <c r="J33" i="42"/>
  <c r="M33" i="42"/>
  <c r="C33" i="42"/>
  <c r="C32" i="42"/>
  <c r="D32" i="42"/>
  <c r="F32" i="42"/>
  <c r="H32" i="42"/>
  <c r="J32" i="42"/>
  <c r="M32" i="42"/>
  <c r="C19" i="42"/>
  <c r="D19" i="42"/>
  <c r="F19" i="42"/>
  <c r="H19" i="42"/>
  <c r="J19" i="42"/>
  <c r="M19" i="42"/>
  <c r="C20" i="42"/>
  <c r="D20" i="42"/>
  <c r="F20" i="42"/>
  <c r="H20" i="42"/>
  <c r="J20" i="42"/>
  <c r="M20" i="42"/>
  <c r="C21" i="42"/>
  <c r="D21" i="42"/>
  <c r="F21" i="42"/>
  <c r="H21" i="42"/>
  <c r="J21" i="42"/>
  <c r="M21" i="42"/>
  <c r="C22" i="42"/>
  <c r="D22" i="42"/>
  <c r="F22" i="42"/>
  <c r="H22" i="42"/>
  <c r="J22" i="42"/>
  <c r="M22" i="42"/>
  <c r="C23" i="42"/>
  <c r="D23" i="42"/>
  <c r="F23" i="42"/>
  <c r="H23" i="42"/>
  <c r="J23" i="42"/>
  <c r="M23" i="42"/>
  <c r="C24" i="42"/>
  <c r="D24" i="42"/>
  <c r="F24" i="42"/>
  <c r="H24" i="42"/>
  <c r="J24" i="42"/>
  <c r="M24" i="42"/>
  <c r="C25" i="42"/>
  <c r="D25" i="42"/>
  <c r="F25" i="42"/>
  <c r="H25" i="42"/>
  <c r="J25" i="42"/>
  <c r="M25" i="42"/>
  <c r="C26" i="42"/>
  <c r="D26" i="42"/>
  <c r="F26" i="42"/>
  <c r="H26" i="42"/>
  <c r="J26" i="42"/>
  <c r="M26" i="42"/>
  <c r="C27" i="42"/>
  <c r="D27" i="42"/>
  <c r="F27" i="42"/>
  <c r="H27" i="42"/>
  <c r="J27" i="42"/>
  <c r="M27" i="42"/>
  <c r="C28" i="42"/>
  <c r="D28" i="42"/>
  <c r="F28" i="42"/>
  <c r="H28" i="42"/>
  <c r="J28" i="42"/>
  <c r="M28" i="42"/>
  <c r="C29" i="42"/>
  <c r="D29" i="42"/>
  <c r="F29" i="42"/>
  <c r="H29" i="42"/>
  <c r="J29" i="42"/>
  <c r="M29" i="42"/>
  <c r="C30" i="42"/>
  <c r="D30" i="42"/>
  <c r="F30" i="42"/>
  <c r="H30" i="42"/>
  <c r="J30" i="42"/>
  <c r="M30" i="42"/>
  <c r="C31" i="42"/>
  <c r="D31" i="42"/>
  <c r="F31" i="42"/>
  <c r="H31" i="42"/>
  <c r="J31" i="42"/>
  <c r="M31" i="42"/>
  <c r="D18" i="42"/>
  <c r="F18" i="42"/>
  <c r="H18" i="42"/>
  <c r="J18" i="42"/>
  <c r="M18" i="42"/>
  <c r="C18" i="42"/>
  <c r="C17" i="42"/>
  <c r="D17" i="42"/>
  <c r="F17" i="42"/>
  <c r="H17" i="42"/>
  <c r="J17" i="42"/>
  <c r="M17" i="42"/>
  <c r="C5" i="42"/>
  <c r="D5" i="42"/>
  <c r="F5" i="42"/>
  <c r="H5" i="42"/>
  <c r="J5" i="42"/>
  <c r="M5" i="42"/>
  <c r="C6" i="42"/>
  <c r="D6" i="42"/>
  <c r="F6" i="42"/>
  <c r="H6" i="42"/>
  <c r="J6" i="42"/>
  <c r="M6" i="42"/>
  <c r="C7" i="42"/>
  <c r="D7" i="42"/>
  <c r="F7" i="42"/>
  <c r="H7" i="42"/>
  <c r="J7" i="42"/>
  <c r="M7" i="42"/>
  <c r="C8" i="42"/>
  <c r="D8" i="42"/>
  <c r="F8" i="42"/>
  <c r="H8" i="42"/>
  <c r="J8" i="42"/>
  <c r="M8" i="42"/>
  <c r="C9" i="42"/>
  <c r="D9" i="42"/>
  <c r="F9" i="42"/>
  <c r="H9" i="42"/>
  <c r="J9" i="42"/>
  <c r="M9" i="42"/>
  <c r="C10" i="42"/>
  <c r="D10" i="42"/>
  <c r="F10" i="42"/>
  <c r="H10" i="42"/>
  <c r="J10" i="42"/>
  <c r="M10" i="42"/>
  <c r="C11" i="42"/>
  <c r="D11" i="42"/>
  <c r="F11" i="42"/>
  <c r="H11" i="42"/>
  <c r="J11" i="42"/>
  <c r="M11" i="42"/>
  <c r="C12" i="42"/>
  <c r="D12" i="42"/>
  <c r="F12" i="42"/>
  <c r="H12" i="42"/>
  <c r="J12" i="42"/>
  <c r="M12" i="42"/>
  <c r="C13" i="42"/>
  <c r="D13" i="42"/>
  <c r="F13" i="42"/>
  <c r="H13" i="42"/>
  <c r="J13" i="42"/>
  <c r="M13" i="42"/>
  <c r="C14" i="42"/>
  <c r="D14" i="42"/>
  <c r="F14" i="42"/>
  <c r="H14" i="42"/>
  <c r="J14" i="42"/>
  <c r="M14" i="42"/>
  <c r="C15" i="42"/>
  <c r="D15" i="42"/>
  <c r="F15" i="42"/>
  <c r="H15" i="42"/>
  <c r="J15" i="42"/>
  <c r="M15" i="42"/>
  <c r="C16" i="42"/>
  <c r="D16" i="42"/>
  <c r="F16" i="42"/>
  <c r="H16" i="42"/>
  <c r="J16" i="42"/>
  <c r="M16" i="42"/>
  <c r="D4" i="42"/>
  <c r="F4" i="42"/>
  <c r="H4" i="42"/>
  <c r="J4" i="42"/>
  <c r="M4" i="42"/>
  <c r="C4" i="42"/>
  <c r="K15" i="40"/>
  <c r="K14" i="40"/>
  <c r="K13" i="40"/>
  <c r="K12" i="40"/>
  <c r="K11" i="40"/>
  <c r="K10" i="40"/>
  <c r="K9" i="40"/>
  <c r="K8" i="40"/>
  <c r="K7" i="40"/>
  <c r="K6" i="40"/>
  <c r="K5" i="40"/>
  <c r="K4" i="40"/>
  <c r="K3" i="40"/>
  <c r="K15" i="39"/>
  <c r="K14" i="39"/>
  <c r="K13" i="39"/>
  <c r="K12" i="39"/>
  <c r="K11" i="39"/>
  <c r="K10" i="39"/>
  <c r="K9" i="39"/>
  <c r="K8" i="39"/>
  <c r="K7" i="39"/>
  <c r="K6" i="39"/>
  <c r="K5" i="39"/>
  <c r="K4" i="39"/>
  <c r="K3" i="39"/>
  <c r="K15" i="38"/>
  <c r="K14" i="38"/>
  <c r="K13" i="38"/>
  <c r="K12" i="38"/>
  <c r="K11" i="38"/>
  <c r="K10" i="38"/>
  <c r="K9" i="38"/>
  <c r="K8" i="38"/>
  <c r="K7" i="38"/>
  <c r="K6" i="38"/>
  <c r="K5" i="38"/>
  <c r="K4" i="38"/>
  <c r="K3" i="38"/>
  <c r="K15" i="36"/>
  <c r="K14" i="36"/>
  <c r="K13" i="36"/>
  <c r="K12" i="36"/>
  <c r="K11" i="36"/>
  <c r="K10" i="36"/>
  <c r="K9" i="36"/>
  <c r="K8" i="36"/>
  <c r="K7" i="36"/>
  <c r="K6" i="36"/>
  <c r="K5" i="36"/>
  <c r="K4" i="36"/>
  <c r="K3" i="36"/>
  <c r="L15" i="35"/>
  <c r="L14" i="35"/>
  <c r="L13" i="35"/>
  <c r="L12" i="35"/>
  <c r="L11" i="35"/>
  <c r="L10" i="35"/>
  <c r="L9" i="35"/>
  <c r="L8" i="35"/>
  <c r="L7" i="35"/>
  <c r="L6" i="35"/>
  <c r="L5" i="35"/>
  <c r="L4" i="35"/>
  <c r="L3" i="35"/>
  <c r="H17" i="35"/>
  <c r="H17" i="33"/>
  <c r="L15" i="33"/>
  <c r="L14" i="33"/>
  <c r="L13" i="33"/>
  <c r="L12" i="33"/>
  <c r="L11" i="33"/>
  <c r="L10" i="33"/>
  <c r="L9" i="33"/>
  <c r="L8" i="33"/>
  <c r="L7" i="33"/>
  <c r="L6" i="33"/>
  <c r="L5" i="33"/>
  <c r="L4" i="33"/>
  <c r="L3" i="33"/>
  <c r="D16" i="31"/>
  <c r="E113" i="42" s="1"/>
  <c r="D17" i="31"/>
  <c r="E114" i="42" s="1"/>
  <c r="D18" i="31"/>
  <c r="E115" i="42" s="1"/>
  <c r="G113" i="42"/>
  <c r="G114" i="42"/>
  <c r="G115" i="42"/>
  <c r="I113" i="42"/>
  <c r="I114" i="42"/>
  <c r="I115" i="42"/>
  <c r="D16" i="30"/>
  <c r="E108" i="42" s="1"/>
  <c r="D17" i="30"/>
  <c r="E109" i="42" s="1"/>
  <c r="G108" i="42"/>
  <c r="G109" i="42"/>
  <c r="I108" i="42"/>
  <c r="I109" i="42"/>
  <c r="D16" i="28"/>
  <c r="E98" i="42" s="1"/>
  <c r="D17" i="28"/>
  <c r="E99" i="42" s="1"/>
  <c r="D18" i="28"/>
  <c r="E100" i="42" s="1"/>
  <c r="D19" i="28"/>
  <c r="E101" i="42" s="1"/>
  <c r="D20" i="28"/>
  <c r="E102" i="42" s="1"/>
  <c r="D21" i="28"/>
  <c r="E103" i="42" s="1"/>
  <c r="G98" i="42"/>
  <c r="G99" i="42"/>
  <c r="G100" i="42"/>
  <c r="G101" i="42"/>
  <c r="G102" i="42"/>
  <c r="G103" i="42"/>
  <c r="I98" i="42"/>
  <c r="I99" i="42"/>
  <c r="I100" i="42"/>
  <c r="I101" i="42"/>
  <c r="I102" i="42"/>
  <c r="I103" i="42"/>
  <c r="D16" i="26"/>
  <c r="E76" i="42" s="1"/>
  <c r="D17" i="26"/>
  <c r="E77" i="42" s="1"/>
  <c r="D18" i="26"/>
  <c r="E78" i="42" s="1"/>
  <c r="D19" i="26"/>
  <c r="E79" i="42" s="1"/>
  <c r="D20" i="26"/>
  <c r="E80" i="42" s="1"/>
  <c r="D21" i="26"/>
  <c r="E81" i="42" s="1"/>
  <c r="D22" i="26"/>
  <c r="E82" i="42" s="1"/>
  <c r="D23" i="26"/>
  <c r="E83" i="42" s="1"/>
  <c r="D24" i="26"/>
  <c r="E84" i="42" s="1"/>
  <c r="D25" i="26"/>
  <c r="E85" i="42" s="1"/>
  <c r="D26" i="26"/>
  <c r="E86" i="42" s="1"/>
  <c r="D27" i="26"/>
  <c r="E87" i="42" s="1"/>
  <c r="D28" i="26"/>
  <c r="E88" i="42" s="1"/>
  <c r="D29" i="26"/>
  <c r="E89" i="42" s="1"/>
  <c r="D30" i="26"/>
  <c r="E90" i="42" s="1"/>
  <c r="D31" i="26"/>
  <c r="E91" i="42" s="1"/>
  <c r="G76" i="42"/>
  <c r="G77" i="42"/>
  <c r="G78" i="42"/>
  <c r="G79" i="42"/>
  <c r="G80" i="42"/>
  <c r="G81" i="42"/>
  <c r="G82" i="42"/>
  <c r="G83" i="42"/>
  <c r="G84" i="42"/>
  <c r="G85" i="42"/>
  <c r="G86" i="42"/>
  <c r="G87" i="42"/>
  <c r="G88" i="42"/>
  <c r="G89" i="42"/>
  <c r="G90" i="42"/>
  <c r="G91" i="42"/>
  <c r="I76" i="42"/>
  <c r="I77" i="42"/>
  <c r="I78" i="42"/>
  <c r="I79" i="42"/>
  <c r="I80" i="42"/>
  <c r="I81" i="42"/>
  <c r="I82" i="42"/>
  <c r="I83" i="42"/>
  <c r="I84" i="42"/>
  <c r="I85" i="42"/>
  <c r="I86" i="42"/>
  <c r="I87" i="42"/>
  <c r="I88" i="42"/>
  <c r="I89" i="42"/>
  <c r="I90" i="42"/>
  <c r="I91" i="42"/>
  <c r="D16" i="25"/>
  <c r="E71" i="42" s="1"/>
  <c r="D17" i="25"/>
  <c r="E72" i="42" s="1"/>
  <c r="G71" i="42"/>
  <c r="G72" i="42"/>
  <c r="I71" i="42"/>
  <c r="I72" i="42"/>
  <c r="D16" i="24"/>
  <c r="E66" i="42" s="1"/>
  <c r="D17" i="24"/>
  <c r="E67" i="42" s="1"/>
  <c r="G66" i="42"/>
  <c r="G67" i="42"/>
  <c r="I66" i="42"/>
  <c r="I67" i="42"/>
  <c r="D16" i="23"/>
  <c r="E48" i="42" s="1"/>
  <c r="D17" i="23"/>
  <c r="E49" i="42" s="1"/>
  <c r="D18" i="23"/>
  <c r="E50" i="42" s="1"/>
  <c r="D19" i="23"/>
  <c r="E51" i="42" s="1"/>
  <c r="D20" i="23"/>
  <c r="E52" i="42" s="1"/>
  <c r="D21" i="23"/>
  <c r="E53" i="42" s="1"/>
  <c r="D22" i="23"/>
  <c r="E54" i="42" s="1"/>
  <c r="D23" i="23"/>
  <c r="E55" i="42" s="1"/>
  <c r="D24" i="23"/>
  <c r="E56" i="42" s="1"/>
  <c r="D25" i="23"/>
  <c r="E57" i="42" s="1"/>
  <c r="D26" i="23"/>
  <c r="E58" i="42" s="1"/>
  <c r="D27" i="23"/>
  <c r="E59" i="42" s="1"/>
  <c r="D28" i="23"/>
  <c r="E60" i="42" s="1"/>
  <c r="D29" i="23"/>
  <c r="E61" i="42" s="1"/>
  <c r="D30" i="23"/>
  <c r="E62" i="42" s="1"/>
  <c r="G48" i="42"/>
  <c r="G49" i="42"/>
  <c r="G50" i="42"/>
  <c r="G51" i="42"/>
  <c r="G52" i="42"/>
  <c r="G53" i="42"/>
  <c r="G54" i="42"/>
  <c r="G55" i="42"/>
  <c r="G56" i="42"/>
  <c r="G57" i="42"/>
  <c r="G58" i="42"/>
  <c r="G59" i="42"/>
  <c r="G60" i="42"/>
  <c r="G61" i="42"/>
  <c r="G62" i="42"/>
  <c r="I48" i="42"/>
  <c r="I49" i="42"/>
  <c r="I50" i="42"/>
  <c r="I51" i="42"/>
  <c r="I52" i="42"/>
  <c r="I53" i="42"/>
  <c r="I54" i="42"/>
  <c r="I55" i="42"/>
  <c r="I56" i="42"/>
  <c r="I57" i="42"/>
  <c r="I58" i="42"/>
  <c r="I59" i="42"/>
  <c r="I60" i="42"/>
  <c r="I61" i="42"/>
  <c r="I62" i="42"/>
  <c r="D16" i="22"/>
  <c r="E36" i="42" s="1"/>
  <c r="D17" i="22"/>
  <c r="E37" i="42" s="1"/>
  <c r="D18" i="22"/>
  <c r="E38" i="42" s="1"/>
  <c r="D19" i="22"/>
  <c r="E39" i="42" s="1"/>
  <c r="D20" i="22"/>
  <c r="E40" i="42" s="1"/>
  <c r="D21" i="22"/>
  <c r="E41" i="42" s="1"/>
  <c r="D22" i="22"/>
  <c r="E42" i="42" s="1"/>
  <c r="D23" i="22"/>
  <c r="E43" i="42" s="1"/>
  <c r="D24" i="22"/>
  <c r="E44" i="42" s="1"/>
  <c r="G36" i="42"/>
  <c r="G37" i="42"/>
  <c r="G38" i="42"/>
  <c r="G39" i="42"/>
  <c r="G40" i="42"/>
  <c r="G41" i="42"/>
  <c r="G42" i="42"/>
  <c r="G43" i="42"/>
  <c r="G44" i="42"/>
  <c r="I36" i="42"/>
  <c r="I37" i="42"/>
  <c r="I38" i="42"/>
  <c r="I39" i="42"/>
  <c r="I40" i="42"/>
  <c r="I41" i="42"/>
  <c r="I42" i="42"/>
  <c r="I43" i="42"/>
  <c r="I44" i="42"/>
  <c r="D16" i="21"/>
  <c r="E21" i="42" s="1"/>
  <c r="D17" i="21"/>
  <c r="E22" i="42" s="1"/>
  <c r="D18" i="21"/>
  <c r="E23" i="42" s="1"/>
  <c r="D19" i="21"/>
  <c r="E24" i="42" s="1"/>
  <c r="D20" i="21"/>
  <c r="E25" i="42" s="1"/>
  <c r="D21" i="21"/>
  <c r="E26" i="42" s="1"/>
  <c r="D22" i="21"/>
  <c r="E27" i="42" s="1"/>
  <c r="D23" i="21"/>
  <c r="E28" i="42" s="1"/>
  <c r="D24" i="21"/>
  <c r="E29" i="42" s="1"/>
  <c r="D25" i="21"/>
  <c r="E30" i="42" s="1"/>
  <c r="D26" i="21"/>
  <c r="E31" i="42" s="1"/>
  <c r="D27" i="21"/>
  <c r="E32" i="42" s="1"/>
  <c r="G21" i="42"/>
  <c r="G22" i="42"/>
  <c r="G23" i="42"/>
  <c r="G24" i="42"/>
  <c r="G25" i="42"/>
  <c r="G26" i="42"/>
  <c r="G27" i="42"/>
  <c r="G28" i="42"/>
  <c r="G29" i="42"/>
  <c r="G30" i="42"/>
  <c r="G31" i="42"/>
  <c r="G32" i="42"/>
  <c r="I21" i="42"/>
  <c r="I22" i="42"/>
  <c r="I23" i="42"/>
  <c r="I24" i="42"/>
  <c r="I25" i="42"/>
  <c r="I26" i="42"/>
  <c r="I27" i="42"/>
  <c r="I28" i="42"/>
  <c r="I29" i="42"/>
  <c r="I30" i="42"/>
  <c r="I31" i="42"/>
  <c r="I32" i="42"/>
  <c r="D16" i="1"/>
  <c r="E7" i="42" s="1"/>
  <c r="D17" i="1"/>
  <c r="E8" i="42" s="1"/>
  <c r="D18" i="1"/>
  <c r="E9" i="42" s="1"/>
  <c r="D19" i="1"/>
  <c r="E10" i="42" s="1"/>
  <c r="D20" i="1"/>
  <c r="E11" i="42" s="1"/>
  <c r="D21" i="1"/>
  <c r="E12" i="42" s="1"/>
  <c r="D22" i="1"/>
  <c r="E13" i="42" s="1"/>
  <c r="D23" i="1"/>
  <c r="E14" i="42" s="1"/>
  <c r="D24" i="1"/>
  <c r="E15" i="42" s="1"/>
  <c r="D25" i="1"/>
  <c r="E16" i="42" s="1"/>
  <c r="D26" i="1"/>
  <c r="E17" i="42" s="1"/>
  <c r="G7" i="42"/>
  <c r="G8" i="42"/>
  <c r="G9" i="42"/>
  <c r="G10" i="42"/>
  <c r="G11" i="42"/>
  <c r="G12" i="42"/>
  <c r="G13" i="42"/>
  <c r="G14" i="42"/>
  <c r="G15" i="42"/>
  <c r="G16" i="42"/>
  <c r="G17" i="42"/>
  <c r="I7" i="42"/>
  <c r="I8" i="42"/>
  <c r="I9" i="42"/>
  <c r="I10" i="42"/>
  <c r="I11" i="42"/>
  <c r="I12" i="42"/>
  <c r="I13" i="42"/>
  <c r="I14" i="42"/>
  <c r="I15" i="42"/>
  <c r="I16" i="42"/>
  <c r="I17" i="42"/>
  <c r="K17" i="42" l="1"/>
  <c r="L17" i="42" s="1"/>
  <c r="K16" i="42"/>
  <c r="L16" i="42" s="1"/>
  <c r="K15" i="42"/>
  <c r="L15" i="42" s="1"/>
  <c r="K14" i="42"/>
  <c r="L14" i="42" s="1"/>
  <c r="K13" i="42"/>
  <c r="L13" i="42" s="1"/>
  <c r="K12" i="42"/>
  <c r="L12" i="42" s="1"/>
  <c r="K11" i="42"/>
  <c r="L11" i="42" s="1"/>
  <c r="K10" i="42"/>
  <c r="L10" i="42" s="1"/>
  <c r="K9" i="42"/>
  <c r="L9" i="42" s="1"/>
  <c r="K8" i="42"/>
  <c r="L8" i="42" s="1"/>
  <c r="K7" i="42"/>
  <c r="L7" i="42" s="1"/>
  <c r="K32" i="42"/>
  <c r="L32" i="42" s="1"/>
  <c r="K31" i="42"/>
  <c r="L31" i="42" s="1"/>
  <c r="K30" i="42"/>
  <c r="L30" i="42" s="1"/>
  <c r="K29" i="42"/>
  <c r="L29" i="42" s="1"/>
  <c r="K28" i="42"/>
  <c r="L28" i="42" s="1"/>
  <c r="K27" i="42"/>
  <c r="L27" i="42" s="1"/>
  <c r="K26" i="42"/>
  <c r="L26" i="42" s="1"/>
  <c r="K25" i="42"/>
  <c r="L25" i="42" s="1"/>
  <c r="K24" i="42"/>
  <c r="L24" i="42" s="1"/>
  <c r="K23" i="42"/>
  <c r="L23" i="42" s="1"/>
  <c r="K22" i="42"/>
  <c r="L22" i="42" s="1"/>
  <c r="K21" i="42"/>
  <c r="L21" i="42" s="1"/>
  <c r="K44" i="42"/>
  <c r="L44" i="42" s="1"/>
  <c r="K43" i="42"/>
  <c r="L43" i="42" s="1"/>
  <c r="K42" i="42"/>
  <c r="L42" i="42" s="1"/>
  <c r="K41" i="42"/>
  <c r="L41" i="42" s="1"/>
  <c r="K40" i="42"/>
  <c r="L40" i="42" s="1"/>
  <c r="K39" i="42"/>
  <c r="L39" i="42" s="1"/>
  <c r="K38" i="42"/>
  <c r="L38" i="42" s="1"/>
  <c r="K37" i="42"/>
  <c r="L37" i="42" s="1"/>
  <c r="K36" i="42"/>
  <c r="L36" i="42" s="1"/>
  <c r="K62" i="42"/>
  <c r="L62" i="42" s="1"/>
  <c r="K61" i="42"/>
  <c r="L61" i="42" s="1"/>
  <c r="K60" i="42"/>
  <c r="L60" i="42" s="1"/>
  <c r="K59" i="42"/>
  <c r="L59" i="42" s="1"/>
  <c r="K58" i="42"/>
  <c r="L58" i="42" s="1"/>
  <c r="K57" i="42"/>
  <c r="L57" i="42" s="1"/>
  <c r="K56" i="42"/>
  <c r="L56" i="42" s="1"/>
  <c r="K55" i="42"/>
  <c r="L55" i="42" s="1"/>
  <c r="K54" i="42"/>
  <c r="L54" i="42" s="1"/>
  <c r="K53" i="42"/>
  <c r="L53" i="42" s="1"/>
  <c r="K52" i="42"/>
  <c r="L52" i="42" s="1"/>
  <c r="K51" i="42"/>
  <c r="L51" i="42" s="1"/>
  <c r="K50" i="42"/>
  <c r="L50" i="42" s="1"/>
  <c r="K49" i="42"/>
  <c r="L49" i="42" s="1"/>
  <c r="K48" i="42"/>
  <c r="L48" i="42" s="1"/>
  <c r="K67" i="42"/>
  <c r="L67" i="42" s="1"/>
  <c r="K66" i="42"/>
  <c r="L66" i="42" s="1"/>
  <c r="K72" i="42"/>
  <c r="L72" i="42" s="1"/>
  <c r="K71" i="42"/>
  <c r="L71" i="42" s="1"/>
  <c r="K91" i="42"/>
  <c r="L91" i="42" s="1"/>
  <c r="K90" i="42"/>
  <c r="L90" i="42" s="1"/>
  <c r="K89" i="42"/>
  <c r="L89" i="42" s="1"/>
  <c r="K88" i="42"/>
  <c r="L88" i="42" s="1"/>
  <c r="K87" i="42"/>
  <c r="L87" i="42" s="1"/>
  <c r="K86" i="42"/>
  <c r="L86" i="42" s="1"/>
  <c r="K85" i="42"/>
  <c r="L85" i="42" s="1"/>
  <c r="K84" i="42"/>
  <c r="L84" i="42" s="1"/>
  <c r="K83" i="42"/>
  <c r="L83" i="42" s="1"/>
  <c r="K82" i="42"/>
  <c r="L82" i="42" s="1"/>
  <c r="K81" i="42"/>
  <c r="L81" i="42" s="1"/>
  <c r="K80" i="42"/>
  <c r="L80" i="42" s="1"/>
  <c r="K79" i="42"/>
  <c r="L79" i="42" s="1"/>
  <c r="K78" i="42"/>
  <c r="L78" i="42" s="1"/>
  <c r="K77" i="42"/>
  <c r="L77" i="42" s="1"/>
  <c r="K76" i="42"/>
  <c r="L76" i="42" s="1"/>
  <c r="K103" i="42"/>
  <c r="L103" i="42" s="1"/>
  <c r="K102" i="42"/>
  <c r="L102" i="42" s="1"/>
  <c r="K101" i="42"/>
  <c r="L101" i="42" s="1"/>
  <c r="K100" i="42"/>
  <c r="L100" i="42" s="1"/>
  <c r="K99" i="42"/>
  <c r="L99" i="42" s="1"/>
  <c r="K98" i="42"/>
  <c r="L98" i="42" s="1"/>
  <c r="K109" i="42"/>
  <c r="L109" i="42" s="1"/>
  <c r="K108" i="42"/>
  <c r="L108" i="42" s="1"/>
  <c r="K115" i="42"/>
  <c r="L115" i="42" s="1"/>
  <c r="K114" i="42"/>
  <c r="L114" i="42" s="1"/>
  <c r="K113" i="42"/>
  <c r="L113" i="42" s="1"/>
  <c r="I117" i="42"/>
  <c r="G117" i="42"/>
  <c r="D14" i="32"/>
  <c r="E117" i="42" s="1"/>
  <c r="K117" i="42" s="1"/>
  <c r="L117" i="42" s="1"/>
  <c r="H13" i="32"/>
  <c r="I116" i="42" s="1"/>
  <c r="F13" i="32"/>
  <c r="D13" i="32"/>
  <c r="I6" i="32"/>
  <c r="J6" i="32" s="1"/>
  <c r="I5" i="32"/>
  <c r="I4" i="32"/>
  <c r="C16" i="20" s="1"/>
  <c r="I112" i="42"/>
  <c r="G112" i="42"/>
  <c r="D15" i="31"/>
  <c r="E112" i="42" s="1"/>
  <c r="K112" i="42" s="1"/>
  <c r="L112" i="42" s="1"/>
  <c r="I111" i="42"/>
  <c r="G111" i="42"/>
  <c r="D14" i="31"/>
  <c r="E111" i="42" s="1"/>
  <c r="K111" i="42" s="1"/>
  <c r="L111" i="42" s="1"/>
  <c r="I110" i="42"/>
  <c r="D13" i="31"/>
  <c r="I6" i="31"/>
  <c r="J6" i="31" s="1"/>
  <c r="I5" i="31"/>
  <c r="I4" i="31"/>
  <c r="C15" i="20" s="1"/>
  <c r="I107" i="42"/>
  <c r="G107" i="42"/>
  <c r="D15" i="30"/>
  <c r="E107" i="42" s="1"/>
  <c r="K107" i="42" s="1"/>
  <c r="L107" i="42" s="1"/>
  <c r="I106" i="42"/>
  <c r="G106" i="42"/>
  <c r="D14" i="30"/>
  <c r="E106" i="42" s="1"/>
  <c r="K106" i="42" s="1"/>
  <c r="L106" i="42" s="1"/>
  <c r="I105" i="42"/>
  <c r="D13" i="30"/>
  <c r="I5" i="30"/>
  <c r="I4" i="30"/>
  <c r="C14" i="20" s="1"/>
  <c r="I104" i="42"/>
  <c r="D13" i="29"/>
  <c r="I4" i="29" s="1"/>
  <c r="C13" i="20" s="1"/>
  <c r="I6" i="29"/>
  <c r="J6" i="29" s="1"/>
  <c r="I5" i="29"/>
  <c r="I97" i="42"/>
  <c r="G97" i="42"/>
  <c r="D15" i="28"/>
  <c r="E97" i="42" s="1"/>
  <c r="K97" i="42" s="1"/>
  <c r="L97" i="42" s="1"/>
  <c r="I96" i="42"/>
  <c r="G96" i="42"/>
  <c r="D14" i="28"/>
  <c r="E96" i="42" s="1"/>
  <c r="K96" i="42" s="1"/>
  <c r="L96" i="42" s="1"/>
  <c r="I95" i="42"/>
  <c r="D13" i="28"/>
  <c r="I4" i="28" s="1"/>
  <c r="C12" i="20" s="1"/>
  <c r="I94" i="42"/>
  <c r="G94" i="42"/>
  <c r="D15" i="27"/>
  <c r="E94" i="42" s="1"/>
  <c r="K94" i="42" s="1"/>
  <c r="L94" i="42" s="1"/>
  <c r="I93" i="42"/>
  <c r="G93" i="42"/>
  <c r="D14" i="27"/>
  <c r="E93" i="42" s="1"/>
  <c r="K93" i="42" s="1"/>
  <c r="L93" i="42" s="1"/>
  <c r="I92" i="42"/>
  <c r="I5" i="27"/>
  <c r="J5" i="27" s="1"/>
  <c r="D13" i="27"/>
  <c r="I4" i="27" s="1"/>
  <c r="I75" i="42"/>
  <c r="G75" i="42"/>
  <c r="D15" i="26"/>
  <c r="E75" i="42" s="1"/>
  <c r="K75" i="42" s="1"/>
  <c r="L75" i="42" s="1"/>
  <c r="I74" i="42"/>
  <c r="G74" i="42"/>
  <c r="D14" i="26"/>
  <c r="E74" i="42" s="1"/>
  <c r="K74" i="42" s="1"/>
  <c r="L74" i="42" s="1"/>
  <c r="I73" i="42"/>
  <c r="D13" i="26"/>
  <c r="I5" i="26"/>
  <c r="I4" i="26"/>
  <c r="C10" i="20" s="1"/>
  <c r="I70" i="42"/>
  <c r="G70" i="42"/>
  <c r="D15" i="25"/>
  <c r="E70" i="42" s="1"/>
  <c r="I69" i="42"/>
  <c r="G69" i="42"/>
  <c r="D14" i="25"/>
  <c r="E69" i="42" s="1"/>
  <c r="I68" i="42"/>
  <c r="I5" i="25"/>
  <c r="D13" i="25"/>
  <c r="I4" i="25"/>
  <c r="C9" i="20" s="1"/>
  <c r="I65" i="42"/>
  <c r="G65" i="42"/>
  <c r="D15" i="24"/>
  <c r="E65" i="42" s="1"/>
  <c r="K65" i="42" s="1"/>
  <c r="L65" i="42" s="1"/>
  <c r="I64" i="42"/>
  <c r="G64" i="42"/>
  <c r="D14" i="24"/>
  <c r="E64" i="42" s="1"/>
  <c r="K64" i="42" s="1"/>
  <c r="L64" i="42" s="1"/>
  <c r="I63" i="42"/>
  <c r="D13" i="24"/>
  <c r="I6" i="24"/>
  <c r="J6" i="24" s="1"/>
  <c r="I5" i="24"/>
  <c r="I47" i="42"/>
  <c r="G47" i="42"/>
  <c r="D15" i="23"/>
  <c r="E47" i="42" s="1"/>
  <c r="K47" i="42" s="1"/>
  <c r="L47" i="42" s="1"/>
  <c r="I46" i="42"/>
  <c r="G46" i="42"/>
  <c r="D14" i="23"/>
  <c r="E46" i="42" s="1"/>
  <c r="I45" i="42"/>
  <c r="I5" i="23"/>
  <c r="D13" i="23"/>
  <c r="I4" i="23" s="1"/>
  <c r="C7" i="20" s="1"/>
  <c r="I6" i="23"/>
  <c r="J6" i="23" s="1"/>
  <c r="I35" i="42"/>
  <c r="G35" i="42"/>
  <c r="D15" i="22"/>
  <c r="E35" i="42" s="1"/>
  <c r="K35" i="42" s="1"/>
  <c r="L35" i="42" s="1"/>
  <c r="I34" i="42"/>
  <c r="G34" i="42"/>
  <c r="D14" i="22"/>
  <c r="E34" i="42" s="1"/>
  <c r="K34" i="42" s="1"/>
  <c r="L34" i="42" s="1"/>
  <c r="I33" i="42"/>
  <c r="D13" i="22"/>
  <c r="I5" i="22"/>
  <c r="I4" i="22"/>
  <c r="C6" i="20" s="1"/>
  <c r="I20" i="42"/>
  <c r="G20" i="42"/>
  <c r="D15" i="21"/>
  <c r="E20" i="42" s="1"/>
  <c r="K20" i="42" s="1"/>
  <c r="L20" i="42" s="1"/>
  <c r="I19" i="42"/>
  <c r="G19" i="42"/>
  <c r="D14" i="21"/>
  <c r="E19" i="42" s="1"/>
  <c r="K19" i="42" s="1"/>
  <c r="L19" i="42" s="1"/>
  <c r="I18" i="42"/>
  <c r="I5" i="21"/>
  <c r="D13" i="21"/>
  <c r="E18" i="42" s="1"/>
  <c r="I4" i="21"/>
  <c r="J4" i="21" s="1"/>
  <c r="G5" i="42"/>
  <c r="G6" i="42"/>
  <c r="I4" i="42"/>
  <c r="I5" i="42"/>
  <c r="I6" i="42"/>
  <c r="D14" i="1"/>
  <c r="E5" i="42" s="1"/>
  <c r="K5" i="42" s="1"/>
  <c r="L5" i="42" s="1"/>
  <c r="D15" i="1"/>
  <c r="D13" i="1"/>
  <c r="E4" i="42" s="1"/>
  <c r="I6" i="25" l="1"/>
  <c r="J6" i="25" s="1"/>
  <c r="K69" i="42"/>
  <c r="L69" i="42" s="1"/>
  <c r="I5" i="28"/>
  <c r="I4" i="24"/>
  <c r="C8" i="20" s="1"/>
  <c r="K70" i="42"/>
  <c r="L70" i="42" s="1"/>
  <c r="I6" i="22"/>
  <c r="J6" i="22" s="1"/>
  <c r="K46" i="42"/>
  <c r="L46" i="42" s="1"/>
  <c r="I6" i="26"/>
  <c r="J6" i="26" s="1"/>
  <c r="I7" i="29"/>
  <c r="J7" i="29" s="1"/>
  <c r="G13" i="20" s="1"/>
  <c r="I7" i="31"/>
  <c r="J7" i="31" s="1"/>
  <c r="G15" i="20" s="1"/>
  <c r="G18" i="42"/>
  <c r="K18" i="42" s="1"/>
  <c r="L18" i="42" s="1"/>
  <c r="G4" i="35"/>
  <c r="F4" i="35"/>
  <c r="E4" i="35"/>
  <c r="D4" i="35"/>
  <c r="C4" i="35"/>
  <c r="E33" i="42"/>
  <c r="G5" i="33"/>
  <c r="F5" i="33"/>
  <c r="E5" i="33"/>
  <c r="D5" i="33"/>
  <c r="C5" i="33"/>
  <c r="H5" i="33" s="1"/>
  <c r="G33" i="42"/>
  <c r="G5" i="35"/>
  <c r="F5" i="35"/>
  <c r="E5" i="35"/>
  <c r="D5" i="35"/>
  <c r="C5" i="35"/>
  <c r="H5" i="35" s="1"/>
  <c r="E45" i="42"/>
  <c r="G6" i="33"/>
  <c r="F6" i="33"/>
  <c r="E6" i="33"/>
  <c r="D6" i="33"/>
  <c r="C6" i="33"/>
  <c r="G45" i="42"/>
  <c r="G6" i="35"/>
  <c r="F6" i="35"/>
  <c r="E6" i="35"/>
  <c r="D6" i="35"/>
  <c r="C6" i="35"/>
  <c r="E63" i="42"/>
  <c r="G7" i="33"/>
  <c r="F7" i="33"/>
  <c r="E7" i="33"/>
  <c r="D7" i="33"/>
  <c r="C7" i="33"/>
  <c r="G63" i="42"/>
  <c r="G7" i="35"/>
  <c r="F7" i="35"/>
  <c r="E7" i="35"/>
  <c r="D7" i="35"/>
  <c r="C7" i="35"/>
  <c r="H7" i="35" s="1"/>
  <c r="E68" i="42"/>
  <c r="G8" i="33"/>
  <c r="F8" i="33"/>
  <c r="E8" i="33"/>
  <c r="D8" i="33"/>
  <c r="C8" i="33"/>
  <c r="G68" i="42"/>
  <c r="G8" i="35"/>
  <c r="F8" i="35"/>
  <c r="E8" i="35"/>
  <c r="D8" i="35"/>
  <c r="C8" i="35"/>
  <c r="E73" i="42"/>
  <c r="G9" i="33"/>
  <c r="F9" i="33"/>
  <c r="E9" i="33"/>
  <c r="D9" i="33"/>
  <c r="C9" i="33"/>
  <c r="H9" i="33" s="1"/>
  <c r="G73" i="42"/>
  <c r="G9" i="35"/>
  <c r="F9" i="35"/>
  <c r="E9" i="35"/>
  <c r="D9" i="35"/>
  <c r="C9" i="35"/>
  <c r="H9" i="35" s="1"/>
  <c r="C11" i="20"/>
  <c r="J4" i="27"/>
  <c r="E92" i="42"/>
  <c r="G10" i="33"/>
  <c r="F10" i="33"/>
  <c r="E10" i="33"/>
  <c r="D10" i="33"/>
  <c r="C10" i="33"/>
  <c r="H10" i="33" s="1"/>
  <c r="G92" i="42"/>
  <c r="G10" i="35"/>
  <c r="F10" i="35"/>
  <c r="E10" i="35"/>
  <c r="D10" i="35"/>
  <c r="C10" i="35"/>
  <c r="E95" i="42"/>
  <c r="G11" i="33"/>
  <c r="F11" i="33"/>
  <c r="E11" i="33"/>
  <c r="D11" i="33"/>
  <c r="C11" i="33"/>
  <c r="G95" i="42"/>
  <c r="G11" i="35"/>
  <c r="F11" i="35"/>
  <c r="E11" i="35"/>
  <c r="D11" i="35"/>
  <c r="C11" i="35"/>
  <c r="H11" i="35" s="1"/>
  <c r="E104" i="42"/>
  <c r="G12" i="33"/>
  <c r="F12" i="33"/>
  <c r="E12" i="33"/>
  <c r="D12" i="33"/>
  <c r="C12" i="33"/>
  <c r="H12" i="33" s="1"/>
  <c r="G104" i="42"/>
  <c r="G12" i="35"/>
  <c r="F12" i="35"/>
  <c r="E12" i="35"/>
  <c r="D12" i="35"/>
  <c r="C12" i="35"/>
  <c r="E105" i="42"/>
  <c r="G13" i="33"/>
  <c r="F13" i="33"/>
  <c r="E13" i="33"/>
  <c r="D13" i="33"/>
  <c r="C13" i="33"/>
  <c r="H13" i="33" s="1"/>
  <c r="G105" i="42"/>
  <c r="G13" i="35"/>
  <c r="F13" i="35"/>
  <c r="E13" i="35"/>
  <c r="D13" i="35"/>
  <c r="C13" i="35"/>
  <c r="E110" i="42"/>
  <c r="G14" i="33"/>
  <c r="F14" i="33"/>
  <c r="E14" i="33"/>
  <c r="D14" i="33"/>
  <c r="C14" i="33"/>
  <c r="H14" i="33" s="1"/>
  <c r="G110" i="42"/>
  <c r="G14" i="35"/>
  <c r="F14" i="35"/>
  <c r="E14" i="35"/>
  <c r="D14" i="35"/>
  <c r="C14" i="35"/>
  <c r="E116" i="42"/>
  <c r="G15" i="33"/>
  <c r="F15" i="33"/>
  <c r="E15" i="33"/>
  <c r="D15" i="33"/>
  <c r="C15" i="33"/>
  <c r="G116" i="42"/>
  <c r="G15" i="35"/>
  <c r="F15" i="35"/>
  <c r="E15" i="35"/>
  <c r="D15" i="35"/>
  <c r="C15" i="35"/>
  <c r="H15" i="35" s="1"/>
  <c r="I7" i="32"/>
  <c r="J7" i="32" s="1"/>
  <c r="G16" i="20" s="1"/>
  <c r="I6" i="30"/>
  <c r="J6" i="30" s="1"/>
  <c r="I6" i="28"/>
  <c r="J6" i="28" s="1"/>
  <c r="I6" i="27"/>
  <c r="J6" i="27" s="1"/>
  <c r="I7" i="24"/>
  <c r="J7" i="24" s="1"/>
  <c r="G8" i="20" s="1"/>
  <c r="I7" i="23"/>
  <c r="J7" i="23" s="1"/>
  <c r="G7" i="20" s="1"/>
  <c r="I7" i="22"/>
  <c r="J7" i="22" s="1"/>
  <c r="G6" i="20" s="1"/>
  <c r="I6" i="21"/>
  <c r="J6" i="21" s="1"/>
  <c r="I5" i="1"/>
  <c r="J5" i="1" s="1"/>
  <c r="G4" i="42"/>
  <c r="K4" i="42" s="1"/>
  <c r="L4" i="42" s="1"/>
  <c r="G3" i="35"/>
  <c r="F3" i="35"/>
  <c r="E3" i="35"/>
  <c r="D3" i="35"/>
  <c r="C3" i="35"/>
  <c r="E6" i="42"/>
  <c r="K6" i="42" s="1"/>
  <c r="L6" i="42" s="1"/>
  <c r="E3" i="33"/>
  <c r="G3" i="33"/>
  <c r="F3" i="33"/>
  <c r="D3" i="33"/>
  <c r="C3" i="33"/>
  <c r="G4" i="33"/>
  <c r="F4" i="33"/>
  <c r="E4" i="33"/>
  <c r="D4" i="33"/>
  <c r="C4" i="33"/>
  <c r="I4" i="1"/>
  <c r="D16" i="20"/>
  <c r="E16" i="20"/>
  <c r="J4" i="32"/>
  <c r="J5" i="32"/>
  <c r="H16" i="20"/>
  <c r="D15" i="20"/>
  <c r="E15" i="20"/>
  <c r="J4" i="31"/>
  <c r="J5" i="31"/>
  <c r="H15" i="20"/>
  <c r="D14" i="20"/>
  <c r="E14" i="20"/>
  <c r="J4" i="30"/>
  <c r="J5" i="30"/>
  <c r="D13" i="20"/>
  <c r="E13" i="20"/>
  <c r="J4" i="29"/>
  <c r="J5" i="29"/>
  <c r="H13" i="20"/>
  <c r="D12" i="20"/>
  <c r="E12" i="20"/>
  <c r="J4" i="28"/>
  <c r="J5" i="28"/>
  <c r="D10" i="20"/>
  <c r="E10" i="20"/>
  <c r="J4" i="26"/>
  <c r="J5" i="26"/>
  <c r="D9" i="20"/>
  <c r="E9" i="20"/>
  <c r="J4" i="25"/>
  <c r="J5" i="25"/>
  <c r="D8" i="20"/>
  <c r="E8" i="20"/>
  <c r="J4" i="24"/>
  <c r="J5" i="24"/>
  <c r="H8" i="20"/>
  <c r="D7" i="20"/>
  <c r="E7" i="20"/>
  <c r="J4" i="23"/>
  <c r="D6" i="20"/>
  <c r="E6" i="20"/>
  <c r="J4" i="22"/>
  <c r="J5" i="22"/>
  <c r="C5" i="20"/>
  <c r="C4" i="20"/>
  <c r="J5" i="23"/>
  <c r="J5" i="21"/>
  <c r="J4" i="1"/>
  <c r="I6" i="1"/>
  <c r="J6" i="1" s="1"/>
  <c r="H13" i="35" l="1"/>
  <c r="H7" i="33"/>
  <c r="H3" i="33"/>
  <c r="H14" i="35"/>
  <c r="H10" i="35"/>
  <c r="H8" i="33"/>
  <c r="H6" i="35"/>
  <c r="I7" i="26"/>
  <c r="D16" i="35"/>
  <c r="D11" i="39" s="1"/>
  <c r="F7" i="20"/>
  <c r="H7" i="20" s="1"/>
  <c r="E16" i="35"/>
  <c r="E13" i="39" s="1"/>
  <c r="F16" i="35"/>
  <c r="F4" i="39" s="1"/>
  <c r="H12" i="35"/>
  <c r="H6" i="33"/>
  <c r="G16" i="35"/>
  <c r="G3" i="39" s="1"/>
  <c r="G16" i="39" s="1"/>
  <c r="F6" i="20"/>
  <c r="H6" i="20" s="1"/>
  <c r="H15" i="33"/>
  <c r="H11" i="33"/>
  <c r="H8" i="35"/>
  <c r="H4" i="35"/>
  <c r="I7" i="25"/>
  <c r="K116" i="42"/>
  <c r="L116" i="42" s="1"/>
  <c r="K110" i="42"/>
  <c r="L110" i="42" s="1"/>
  <c r="K105" i="42"/>
  <c r="L105" i="42" s="1"/>
  <c r="K104" i="42"/>
  <c r="L104" i="42" s="1"/>
  <c r="K95" i="42"/>
  <c r="L95" i="42" s="1"/>
  <c r="K92" i="42"/>
  <c r="L92" i="42" s="1"/>
  <c r="D11" i="20"/>
  <c r="E11" i="20"/>
  <c r="K73" i="42"/>
  <c r="L73" i="42" s="1"/>
  <c r="K68" i="42"/>
  <c r="L68" i="42" s="1"/>
  <c r="K63" i="42"/>
  <c r="L63" i="42" s="1"/>
  <c r="K45" i="42"/>
  <c r="L45" i="42" s="1"/>
  <c r="K33" i="42"/>
  <c r="L33" i="42" s="1"/>
  <c r="I7" i="30"/>
  <c r="I7" i="28"/>
  <c r="I7" i="27"/>
  <c r="I7" i="21"/>
  <c r="C16" i="35"/>
  <c r="H3" i="35"/>
  <c r="D4" i="39"/>
  <c r="D5" i="39"/>
  <c r="D6" i="39"/>
  <c r="D7" i="39"/>
  <c r="D8" i="39"/>
  <c r="D9" i="39"/>
  <c r="D10" i="39"/>
  <c r="E7" i="39"/>
  <c r="E8" i="39"/>
  <c r="E9" i="39"/>
  <c r="E10" i="39"/>
  <c r="E11" i="39"/>
  <c r="E12" i="39"/>
  <c r="F12" i="39"/>
  <c r="F13" i="39"/>
  <c r="F14" i="39"/>
  <c r="F15" i="39"/>
  <c r="H4" i="33"/>
  <c r="C16" i="33"/>
  <c r="D16" i="33"/>
  <c r="E16" i="33"/>
  <c r="F16" i="33"/>
  <c r="G16" i="33"/>
  <c r="D5" i="20"/>
  <c r="E5" i="20"/>
  <c r="D4" i="20"/>
  <c r="E4" i="20"/>
  <c r="E17" i="20" s="1"/>
  <c r="C17" i="20"/>
  <c r="D17" i="20" s="1"/>
  <c r="I7" i="1"/>
  <c r="G15" i="39" l="1"/>
  <c r="F10" i="39"/>
  <c r="J7" i="26"/>
  <c r="G10" i="20" s="1"/>
  <c r="F10" i="20"/>
  <c r="H10" i="20" s="1"/>
  <c r="G14" i="39"/>
  <c r="F9" i="39"/>
  <c r="G13" i="39"/>
  <c r="G12" i="39"/>
  <c r="E5" i="39"/>
  <c r="F8" i="39"/>
  <c r="D3" i="39"/>
  <c r="F7" i="39"/>
  <c r="G9" i="39"/>
  <c r="J7" i="25"/>
  <c r="G9" i="20" s="1"/>
  <c r="F9" i="20"/>
  <c r="H9" i="20" s="1"/>
  <c r="F11" i="39"/>
  <c r="G10" i="39"/>
  <c r="E4" i="39"/>
  <c r="F5" i="39"/>
  <c r="G6" i="39"/>
  <c r="F3" i="39"/>
  <c r="D14" i="39"/>
  <c r="H16" i="35"/>
  <c r="D3" i="40" s="1"/>
  <c r="E3" i="39"/>
  <c r="G8" i="39"/>
  <c r="D13" i="39"/>
  <c r="H16" i="33"/>
  <c r="E6" i="39"/>
  <c r="F6" i="39"/>
  <c r="F16" i="39" s="1"/>
  <c r="D16" i="39"/>
  <c r="D15" i="39"/>
  <c r="G4" i="39"/>
  <c r="E14" i="39"/>
  <c r="D12" i="39"/>
  <c r="G11" i="39"/>
  <c r="G7" i="39"/>
  <c r="G5" i="39"/>
  <c r="E15" i="39"/>
  <c r="J7" i="30"/>
  <c r="G14" i="20" s="1"/>
  <c r="H14" i="20"/>
  <c r="J7" i="28"/>
  <c r="G12" i="20" s="1"/>
  <c r="H12" i="20"/>
  <c r="J7" i="27"/>
  <c r="G11" i="20" s="1"/>
  <c r="F11" i="20"/>
  <c r="H11" i="20" s="1"/>
  <c r="J7" i="21"/>
  <c r="G5" i="20" s="1"/>
  <c r="F5" i="20"/>
  <c r="H5" i="20" s="1"/>
  <c r="F4" i="40"/>
  <c r="G4" i="40"/>
  <c r="D5" i="40"/>
  <c r="E5" i="40"/>
  <c r="F5" i="40"/>
  <c r="G5" i="40"/>
  <c r="D6" i="40"/>
  <c r="E6" i="40"/>
  <c r="F6" i="40"/>
  <c r="G6" i="40"/>
  <c r="F8" i="40"/>
  <c r="G8" i="40"/>
  <c r="D9" i="40"/>
  <c r="E9" i="40"/>
  <c r="F9" i="40"/>
  <c r="G9" i="40"/>
  <c r="D10" i="40"/>
  <c r="E10" i="40"/>
  <c r="F10" i="40"/>
  <c r="G10" i="40"/>
  <c r="F11" i="40"/>
  <c r="F12" i="40"/>
  <c r="G12" i="40"/>
  <c r="D13" i="40"/>
  <c r="E13" i="40"/>
  <c r="F13" i="40"/>
  <c r="G13" i="40"/>
  <c r="D14" i="40"/>
  <c r="E14" i="40"/>
  <c r="F14" i="40"/>
  <c r="G14" i="40"/>
  <c r="F15" i="40"/>
  <c r="C5" i="40"/>
  <c r="C6" i="40"/>
  <c r="C7" i="40"/>
  <c r="C8" i="40"/>
  <c r="C9" i="40"/>
  <c r="C10" i="40"/>
  <c r="C11" i="40"/>
  <c r="C12" i="40"/>
  <c r="C13" i="40"/>
  <c r="C14" i="40"/>
  <c r="C15" i="40"/>
  <c r="C4" i="39"/>
  <c r="C5" i="39"/>
  <c r="C6" i="39"/>
  <c r="C7" i="39"/>
  <c r="C8" i="39"/>
  <c r="C9" i="39"/>
  <c r="C10" i="39"/>
  <c r="C11" i="39"/>
  <c r="C12" i="39"/>
  <c r="C13" i="39"/>
  <c r="C14" i="39"/>
  <c r="C15" i="39"/>
  <c r="C3" i="39"/>
  <c r="C16" i="39" s="1"/>
  <c r="G16" i="36"/>
  <c r="G15" i="38"/>
  <c r="G14" i="38"/>
  <c r="G13" i="38"/>
  <c r="G12" i="38"/>
  <c r="G11" i="38"/>
  <c r="G10" i="38"/>
  <c r="G9" i="38"/>
  <c r="G8" i="38"/>
  <c r="G7" i="38"/>
  <c r="G6" i="38"/>
  <c r="G3" i="38"/>
  <c r="G5" i="38"/>
  <c r="G4" i="38"/>
  <c r="F16" i="36"/>
  <c r="F15" i="38"/>
  <c r="F14" i="38"/>
  <c r="F13" i="38"/>
  <c r="F12" i="38"/>
  <c r="F11" i="38"/>
  <c r="F10" i="38"/>
  <c r="F9" i="38"/>
  <c r="F8" i="38"/>
  <c r="F7" i="38"/>
  <c r="F6" i="38"/>
  <c r="F3" i="38"/>
  <c r="F5" i="38"/>
  <c r="F4" i="38"/>
  <c r="E16" i="36"/>
  <c r="E15" i="38"/>
  <c r="E14" i="38"/>
  <c r="E13" i="38"/>
  <c r="E12" i="38"/>
  <c r="E11" i="38"/>
  <c r="E10" i="38"/>
  <c r="E9" i="38"/>
  <c r="E8" i="38"/>
  <c r="E7" i="38"/>
  <c r="E6" i="38"/>
  <c r="E3" i="38"/>
  <c r="E5" i="38"/>
  <c r="E4" i="38"/>
  <c r="D15" i="38"/>
  <c r="D14" i="38"/>
  <c r="D13" i="38"/>
  <c r="D12" i="38"/>
  <c r="D11" i="38"/>
  <c r="D10" i="38"/>
  <c r="D9" i="38"/>
  <c r="D8" i="38"/>
  <c r="D7" i="38"/>
  <c r="D6" i="38"/>
  <c r="D3" i="38"/>
  <c r="D5" i="38"/>
  <c r="D4" i="38"/>
  <c r="C15" i="38"/>
  <c r="C14" i="38"/>
  <c r="C13" i="38"/>
  <c r="C12" i="38"/>
  <c r="C11" i="38"/>
  <c r="C10" i="38"/>
  <c r="C9" i="38"/>
  <c r="C8" i="38"/>
  <c r="C7" i="38"/>
  <c r="C6" i="38"/>
  <c r="C3" i="38"/>
  <c r="C5" i="38"/>
  <c r="C4" i="38"/>
  <c r="G12" i="36"/>
  <c r="G13" i="36"/>
  <c r="G14" i="36"/>
  <c r="G15" i="36"/>
  <c r="G3" i="36"/>
  <c r="F6" i="36"/>
  <c r="F7" i="36"/>
  <c r="F8" i="36"/>
  <c r="E6" i="36"/>
  <c r="E7" i="36"/>
  <c r="E8" i="36"/>
  <c r="E9" i="36"/>
  <c r="E10" i="36"/>
  <c r="E11" i="36"/>
  <c r="E12" i="36"/>
  <c r="E13" i="36"/>
  <c r="D10" i="36"/>
  <c r="D9" i="36"/>
  <c r="D8" i="36"/>
  <c r="D7" i="36"/>
  <c r="D6" i="36"/>
  <c r="D3" i="36"/>
  <c r="C6" i="36"/>
  <c r="C7" i="36"/>
  <c r="C3" i="36"/>
  <c r="C5" i="36"/>
  <c r="D5" i="36"/>
  <c r="E5" i="36"/>
  <c r="F5" i="36"/>
  <c r="G5" i="36"/>
  <c r="J7" i="1"/>
  <c r="G4" i="20" s="1"/>
  <c r="F4" i="20"/>
  <c r="H4" i="20" s="1"/>
  <c r="H17" i="20" s="1"/>
  <c r="E16" i="39" l="1"/>
  <c r="D4" i="36"/>
  <c r="G4" i="36"/>
  <c r="E4" i="36"/>
  <c r="F4" i="36"/>
  <c r="C4" i="36"/>
  <c r="F3" i="36"/>
  <c r="F15" i="36"/>
  <c r="F14" i="36"/>
  <c r="E12" i="40"/>
  <c r="E8" i="40"/>
  <c r="E4" i="40"/>
  <c r="G11" i="36"/>
  <c r="G10" i="36"/>
  <c r="D13" i="36"/>
  <c r="F13" i="36"/>
  <c r="C4" i="40"/>
  <c r="D12" i="40"/>
  <c r="D8" i="40"/>
  <c r="D4" i="40"/>
  <c r="D11" i="36"/>
  <c r="C13" i="36"/>
  <c r="G9" i="36"/>
  <c r="C12" i="36"/>
  <c r="D14" i="36"/>
  <c r="G8" i="36"/>
  <c r="C11" i="36"/>
  <c r="D15" i="36"/>
  <c r="F12" i="36"/>
  <c r="G7" i="36"/>
  <c r="G15" i="40"/>
  <c r="G11" i="40"/>
  <c r="G7" i="40"/>
  <c r="G3" i="40"/>
  <c r="D12" i="36"/>
  <c r="C10" i="36"/>
  <c r="F7" i="40"/>
  <c r="F3" i="40"/>
  <c r="C15" i="36"/>
  <c r="E3" i="36"/>
  <c r="G6" i="36"/>
  <c r="E15" i="36"/>
  <c r="F10" i="36"/>
  <c r="E15" i="40"/>
  <c r="E11" i="40"/>
  <c r="E7" i="40"/>
  <c r="E3" i="40"/>
  <c r="E16" i="40" s="1"/>
  <c r="C14" i="36"/>
  <c r="F11" i="36"/>
  <c r="C9" i="36"/>
  <c r="C8" i="36"/>
  <c r="E14" i="36"/>
  <c r="F9" i="36"/>
  <c r="C3" i="40"/>
  <c r="D15" i="40"/>
  <c r="D11" i="40"/>
  <c r="D7" i="40"/>
  <c r="F16" i="38"/>
  <c r="G16" i="38"/>
  <c r="F16" i="40"/>
  <c r="D16" i="40"/>
  <c r="E16" i="38"/>
  <c r="C16" i="36"/>
  <c r="C16" i="38"/>
  <c r="D16" i="38"/>
  <c r="F17" i="20"/>
  <c r="G17" i="20" s="1"/>
  <c r="G16" i="40" l="1"/>
  <c r="D16" i="36"/>
  <c r="C16" i="40"/>
</calcChain>
</file>

<file path=xl/sharedStrings.xml><?xml version="1.0" encoding="utf-8"?>
<sst xmlns="http://schemas.openxmlformats.org/spreadsheetml/2006/main" count="1275" uniqueCount="346">
  <si>
    <t>Valoración</t>
  </si>
  <si>
    <t>Severidad</t>
  </si>
  <si>
    <t>Persistencia</t>
  </si>
  <si>
    <t>IMPACTO</t>
  </si>
  <si>
    <t>Significado</t>
  </si>
  <si>
    <t>Valor cuantitativo</t>
  </si>
  <si>
    <t>Valor Cuantitativo</t>
  </si>
  <si>
    <t>-</t>
  </si>
  <si>
    <t>NA</t>
  </si>
  <si>
    <t>No se cumple</t>
  </si>
  <si>
    <t>Moderada</t>
  </si>
  <si>
    <t>Mínima</t>
  </si>
  <si>
    <t>Problema minimo</t>
  </si>
  <si>
    <t>Probablemente no se cumple</t>
  </si>
  <si>
    <t>Media</t>
  </si>
  <si>
    <t>Problema cosmético</t>
  </si>
  <si>
    <t>Medianamente se cumple</t>
  </si>
  <si>
    <t>Mayor</t>
  </si>
  <si>
    <t>Problema menor, arreglar con el tiempo y que son fáciles de hacerlo</t>
  </si>
  <si>
    <t>Cumplido</t>
  </si>
  <si>
    <t>Critica</t>
  </si>
  <si>
    <t>Crítica</t>
  </si>
  <si>
    <t>Problema mayor, importante arreglar</t>
  </si>
  <si>
    <t>Se cumple totalmente</t>
  </si>
  <si>
    <t>Problema catastrófico, urgencia inmediata de arreglo</t>
  </si>
  <si>
    <t>Criterios de evaluación heurística de sitios web de gestión académica para Institutos Superiores de Educación</t>
  </si>
  <si>
    <t>Datos de la evaluación</t>
  </si>
  <si>
    <t>Nombre del sitio web evaluado</t>
  </si>
  <si>
    <t>URL del sitio web evaluado</t>
  </si>
  <si>
    <t>Navegador usado para la evaluación</t>
  </si>
  <si>
    <t>Modulo evaluado del sitio web de gestión académica</t>
  </si>
  <si>
    <t>Velocidad de internet</t>
  </si>
  <si>
    <t>Fecha de evaluación</t>
  </si>
  <si>
    <t>Detalle de heurística</t>
  </si>
  <si>
    <t>Resultados por heurística</t>
  </si>
  <si>
    <t>Codigo Heuristica</t>
  </si>
  <si>
    <t>H1</t>
  </si>
  <si>
    <t>Promedio de valoración</t>
  </si>
  <si>
    <t>Nombre Heurística</t>
  </si>
  <si>
    <t>Visibilidad y estado del sistema</t>
  </si>
  <si>
    <t>Promedio de Severidad</t>
  </si>
  <si>
    <t>Descripcion de Heurística</t>
  </si>
  <si>
    <t>. El sistema siempre debe mantener al usuario informado de que es lo que está pasando en el sistema</t>
  </si>
  <si>
    <t>Promedio de persistencia del impacto</t>
  </si>
  <si>
    <t>Promedio del Impacto</t>
  </si>
  <si>
    <t>Código Sub-heurística</t>
  </si>
  <si>
    <t>Descripción de Heurística</t>
  </si>
  <si>
    <t>Valoracion Numerica</t>
  </si>
  <si>
    <t>Valoracion numerica severidad impacto</t>
  </si>
  <si>
    <t>Severidad del impacto</t>
  </si>
  <si>
    <t>Valoración numérica de persistencia de impacto</t>
  </si>
  <si>
    <t>Persistencia del impacto</t>
  </si>
  <si>
    <t>Observaciones</t>
  </si>
  <si>
    <t>H1-1</t>
  </si>
  <si>
    <t>Se incluye de forma visible el título en cada página, sección o contenido</t>
  </si>
  <si>
    <t>H1-2</t>
  </si>
  <si>
    <t>Existen feedback todas las acciones u operaciones</t>
  </si>
  <si>
    <t>H1-3</t>
  </si>
  <si>
    <t>Los formularios o menús de la interfaz implementan algún tipo de “feedback” que permite saber si esas acciones se encuentran disponibles o no.</t>
  </si>
  <si>
    <t>H1-4</t>
  </si>
  <si>
    <t>Si hay menús, select , radios o checkbox donde se puedan seleccionar múltiples opciones ,la interfaz muestra algún tipo de "feedback" que indique cuales de las opciones ya han sido seleccionadas</t>
  </si>
  <si>
    <t>H1-5</t>
  </si>
  <si>
    <t>Se  puede identificar claramente el estado de los íconos o elementos que permitan realizar alguna acción.</t>
  </si>
  <si>
    <t>H1-6</t>
  </si>
  <si>
    <t>Los tiempos de respuesta para cada tarea son apropiados</t>
  </si>
  <si>
    <t>H1-7</t>
  </si>
  <si>
    <t>Si el usuario navega en múltiples niveles de pantallas. el sistema brinda información de donde se encuentra ubicado(migas de pan, marcas de navegación)</t>
  </si>
  <si>
    <t>H1-8</t>
  </si>
  <si>
    <t>Existen indicadores en el progreso de una tarea.</t>
  </si>
  <si>
    <t>H1-9</t>
  </si>
  <si>
    <t>Si el sitio tiene actualizaciones constantes, se indica cuando se realizará la actualización</t>
  </si>
  <si>
    <t>H1-10</t>
  </si>
  <si>
    <t>Se indican las fechas de inicio, finalización y tiempo disponible de las actividades y/o tareas que tiene cada usuario en el sistema</t>
  </si>
  <si>
    <t>H1-11</t>
  </si>
  <si>
    <t>Los enlaces son claramente reconocidos al igual en el estado en que se encuentran</t>
  </si>
  <si>
    <t>H1-12</t>
  </si>
  <si>
    <t>El sistema emplea iconos o indicadores visuales o metáforas comprensibles.</t>
  </si>
  <si>
    <t>H1-13</t>
  </si>
  <si>
    <t>Los elementos principales en el área de navegación se encuentran visibles sin realizar ninguna acción extra</t>
  </si>
  <si>
    <t>H1-14</t>
  </si>
  <si>
    <t>El sistema se mantiene actualizado y muestra información actual</t>
  </si>
  <si>
    <t>H2</t>
  </si>
  <si>
    <t>Relación entre el sistema y el mundo real</t>
  </si>
  <si>
    <t>El sistema debe poseer un lenguaje similar a lo de los usuarios, con palabras y frases familiares, en lugar de tecnicismos del sistema.</t>
  </si>
  <si>
    <t>Observaciónes</t>
  </si>
  <si>
    <t>H2-1</t>
  </si>
  <si>
    <t>El sistema utiliza un lenguaje entendible, con palabras, frases o conceptos familiares para el usuario en vez de tecnicismos del sistema o lenguaje complejo difícil de entender</t>
  </si>
  <si>
    <t>H2-2</t>
  </si>
  <si>
    <t>Los contenidos mostrados en cada página tienen un orden lógico y comprensible</t>
  </si>
  <si>
    <t>H2-3</t>
  </si>
  <si>
    <t>La información está estructurada con títulos, negritas y viñetas</t>
  </si>
  <si>
    <t>H2-4</t>
  </si>
  <si>
    <t>Los textos y enunciados de los campos están redactados de forma afirmativa</t>
  </si>
  <si>
    <t>H2-5</t>
  </si>
  <si>
    <t>Se utiliza un lenguaje de forma directa y no impersonal</t>
  </si>
  <si>
    <t>H2-6</t>
  </si>
  <si>
    <t>Las estructuras que poseen las páginas, formularios y/o contenidos están alineados a la estructura de la institución educativa</t>
  </si>
  <si>
    <t>H2-7</t>
  </si>
  <si>
    <t>Los colores aplicados a las páginas concuerdan con la imagen institucional que ofrece el  instituto</t>
  </si>
  <si>
    <t>H2-8</t>
  </si>
  <si>
    <t>Los iconos o imágenes son claros y familiares que permiten al usuario distinguir fácilmente su significado(bien recortadas, resolución y preso óptimo)</t>
  </si>
  <si>
    <t>H2-9</t>
  </si>
  <si>
    <t>Las opciones de los menús están alineados a la estructura organizacional de la institución</t>
  </si>
  <si>
    <t>H2-10</t>
  </si>
  <si>
    <t>El sistema formatea correctamente los números en formato decimal</t>
  </si>
  <si>
    <t>H2-11</t>
  </si>
  <si>
    <t>El sistema ingresa automáticamente símbolos de dólar y decimal cuando se ingresan valores monetarios</t>
  </si>
  <si>
    <t>H2-12</t>
  </si>
  <si>
    <t>El logotipo de la página es significativo e identifica al instituto al  que pertenece y se encuentra correctamente ubicado</t>
  </si>
  <si>
    <t>H2-13</t>
  </si>
  <si>
    <t>Existe una relación directa entre la tarea y la acción necesaria para llevarla a cabo, lo que le permite al usuario comprender de forma rápida lo que el sitio web le permite hacer</t>
  </si>
  <si>
    <t>H2-14</t>
  </si>
  <si>
    <t>La URL del sitio tiene una coherente relación con el nombre del instituto</t>
  </si>
  <si>
    <t>H2-15</t>
  </si>
  <si>
    <t>Las teclas o botones virtuales que implican una acción necesaria incluyen mensajes de acción de acuerdo al contenido</t>
  </si>
  <si>
    <t>H3</t>
  </si>
  <si>
    <t>Control y libertad para el usuario</t>
  </si>
  <si>
    <t>En caso de errores de los usuarios sobre el sitio web o aplicación, el usuario debe disponer de una “salida de emergencia”, con la finalidad de cancelar el proceso que se accionó por accidente. Debe poseer opciones de deshacer y rehacer.</t>
  </si>
  <si>
    <t>H3-1</t>
  </si>
  <si>
    <t>Si el sistema utiliza ventanas modales, es fácil de reubicar o mover esas ventanas</t>
  </si>
  <si>
    <t>H3-2</t>
  </si>
  <si>
    <t>Cuando el usuario completa una tarea, el sistema espera una acción de confirmación para procesar la tarea</t>
  </si>
  <si>
    <t>H3-3</t>
  </si>
  <si>
    <t>Se le pide al usuario que confirme acciones que pueden tener consecuencias drásticas, negativas o destructivas en relación a una tarea en proceso o al sitio web</t>
  </si>
  <si>
    <t>H3-4</t>
  </si>
  <si>
    <t>Posee una función de "deshacer y rehacer" para acciones simples, entrada de datos y grupo de acciones completas</t>
  </si>
  <si>
    <t>H3-5</t>
  </si>
  <si>
    <t>¿El sistema permite que los usuarios cancelen operaciones en progreso?</t>
  </si>
  <si>
    <t>H3-6</t>
  </si>
  <si>
    <t>Se da prioridad a menús anchos (mas ítems) antes que profundos(muchos niveles)</t>
  </si>
  <si>
    <t>H3-7</t>
  </si>
  <si>
    <t>Si existen varios niveles de jerarquía de las páginas, existe elemento virtual(botón, enlace) que permita regresar a una página de nivel superior</t>
  </si>
  <si>
    <t>H3-8</t>
  </si>
  <si>
    <t>Los usuarios pueden trasladarse atrás o hacia delante entre los campos de un formulario o botones virtuales</t>
  </si>
  <si>
    <t>H3-9</t>
  </si>
  <si>
    <t>En caso de que se posean encuestas y necesiten ser calificados en base a una escala, ¿el sistema permite al usuario elegir que campo de entrada(select o radio buttons) usar para calificar las preguntas ?</t>
  </si>
  <si>
    <t>H3-10</t>
  </si>
  <si>
    <t>En caso de que se necesite ingresar gran cantidad de información en alguna tarea, el sistema le permite al usuario otros métodos más rápidos de ingresar esos datos?(archivos csv, archivos de texto)</t>
  </si>
  <si>
    <t>H3-11</t>
  </si>
  <si>
    <t>Los usuarios pueden reducir el tiempo en los campos de entrada copiando y modificando datos existentes</t>
  </si>
  <si>
    <t>H3-12</t>
  </si>
  <si>
    <t>Existe un vínculo en todas las páginas que permite volver a la página inicial</t>
  </si>
  <si>
    <t>H4</t>
  </si>
  <si>
    <t>Consistencias y estándares</t>
  </si>
  <si>
    <t>Los usuarios no deben, ni tienen porque descifrar si diferentes palabras, situaciones, elementos o acciones significan lo mismo.</t>
  </si>
  <si>
    <t>H4-1</t>
  </si>
  <si>
    <t>Se evita abusar el uso de textos en mayúsculas en las pantallas</t>
  </si>
  <si>
    <t>H4-2</t>
  </si>
  <si>
    <t>Los iconos o botones virtuales poseen tooltips o etiquetas que los identifique</t>
  </si>
  <si>
    <t>H4-3</t>
  </si>
  <si>
    <t>Existe algún elemento visual que identifique la ventana que se encuentra activa</t>
  </si>
  <si>
    <t>H4-4</t>
  </si>
  <si>
    <t>Cada ventana(página, ventana modal, pop-up) posee un título que identifique a todo el contenido</t>
  </si>
  <si>
    <t>H4-5</t>
  </si>
  <si>
    <t>La opción de salir en un menú siempre se ubica como último elemento en la navegación</t>
  </si>
  <si>
    <t>H4-6</t>
  </si>
  <si>
    <t>La estructura de los menús coinciden con la estructura de tareas</t>
  </si>
  <si>
    <t>H4-7</t>
  </si>
  <si>
    <t>Las etiquetas de los campos de entrada(inputs) se mantienen de forma consistente en todas las pantallas</t>
  </si>
  <si>
    <t>H4-8</t>
  </si>
  <si>
    <t>Las etiquetas de los campos aparecen a la izquierda en campos sencillos y arriba en la lista de campos</t>
  </si>
  <si>
    <t>H4-9</t>
  </si>
  <si>
    <t>Se utilizan técnicas para atraer la atención del usuario solo para tareas importantes dependientes del tiempo</t>
  </si>
  <si>
    <t>H4-10</t>
  </si>
  <si>
    <t>El usuario experimenta que la interfaz de usuario es consistente en términos de controles(botones, campos de entrada), color, tipografía, fuentes, diseños y diseño de diálogos</t>
  </si>
  <si>
    <t>H4-11</t>
  </si>
  <si>
    <t>Todas las instrucciones de menú, avisos y mensajes de error aparecen en el mismo lugar en cada pantalla y siguen las convenciones estándar</t>
  </si>
  <si>
    <t>H4-12</t>
  </si>
  <si>
    <t>El menú de navegación se encuentra ubicado al principio de todas las páginas web</t>
  </si>
  <si>
    <t>H4-13</t>
  </si>
  <si>
    <t>El logotipo del instituto es significativo, identificable y suficientemente visible</t>
  </si>
  <si>
    <t>H4-14</t>
  </si>
  <si>
    <t>Se mantiene el formato de los enlaces en todas las páginas web</t>
  </si>
  <si>
    <t>H4-15</t>
  </si>
  <si>
    <t>Las imágenes representativas poseen un título que las identifique en el atributo 'alt'</t>
  </si>
  <si>
    <t>H4-16</t>
  </si>
  <si>
    <t>Se mantiene consistente las mismas cosas y los mismos elementos en todo el sistema</t>
  </si>
  <si>
    <t>H4-17</t>
  </si>
  <si>
    <t>Los elementos de enlace poseen el mismo rotulo de la página a donde se va a trasladar</t>
  </si>
  <si>
    <t>H4-18</t>
  </si>
  <si>
    <t>Las URL de las páginas del sitio web tienen la misma estructura y coherencia con el contenido mostrado</t>
  </si>
  <si>
    <t>H5</t>
  </si>
  <si>
    <t>Ayudar a reconocer, diagnosticar y recuperarse de errores</t>
  </si>
  <si>
    <t>Es mejor poseer un diseño adecuado que prevenga la existencia de errores. Eliminar las acciones propensas a dar error o en otro caso mostrar una confirmación al usuario antes de que ejecute la acción.</t>
  </si>
  <si>
    <t>H5-1</t>
  </si>
  <si>
    <t>Los mensajes de error se muestran con un  lenguaje natural y no técnico del sistema</t>
  </si>
  <si>
    <t>H5-2</t>
  </si>
  <si>
    <t>Todos los mensajes de error del sistema utilizan un estilo gramatical, terminología y abreviatura consistentes</t>
  </si>
  <si>
    <t>H5-3</t>
  </si>
  <si>
    <t>Si en campos de formulario se detecta un error de validación, el sistema posiciona el cursor en ese campo, lo resalta de alguna manera o incorpora algún mensaje</t>
  </si>
  <si>
    <t>H5-4</t>
  </si>
  <si>
    <t>Los mensajes de error informan al usuario sobre la gravedad del error cometido</t>
  </si>
  <si>
    <t>H5-5</t>
  </si>
  <si>
    <t>Los mensajes de error indican que acción debe realizar el usuario para corregirlo</t>
  </si>
  <si>
    <t>H6</t>
  </si>
  <si>
    <t>Prevención de errores</t>
  </si>
  <si>
    <t>Los usuarios no deberían porque recordar una información de una parte del diálogo a otra, es mejor mantener a la visa las acciones o datos de forma visible siempre que sean necesarios, para que el usuario no tenga que recordarlos</t>
  </si>
  <si>
    <t>H6-1</t>
  </si>
  <si>
    <t>El sistema previene a los usuarios de cometer errores siempre que esto es posible</t>
  </si>
  <si>
    <t>H6-2</t>
  </si>
  <si>
    <t>El sistema alerta a los usuarios si está a punto de cometer un error potencial</t>
  </si>
  <si>
    <t>H6-3</t>
  </si>
  <si>
    <t>Las entradas de datos y cajas de dialogo indican el número de caracteres o formato requerido  para un campo</t>
  </si>
  <si>
    <t>H6-4</t>
  </si>
  <si>
    <t>Los campos en los formulario de entrada de datos contienen valores por defecto cuando son necesarios</t>
  </si>
  <si>
    <t>H6-5</t>
  </si>
  <si>
    <t>El sistema comprueba los valores de las campos de los formularios en tiempo real</t>
  </si>
  <si>
    <t>H7</t>
  </si>
  <si>
    <t>Reconocimiento antes que memorización</t>
  </si>
  <si>
    <t>Poseer varias formas (aceleradores o atajos de teclado) de realizar un proceso permitirá a usuarios expertos la interacción rápida sobre el sitio web, lo que lo hace más útil tanto para usuarios principiantes como avanzados. Se debe brindar a los usuarios opciones de configuración de acciones que se realizan frecuentemente.</t>
  </si>
  <si>
    <t>H7-1</t>
  </si>
  <si>
    <t>Los datos que el usuario necesita, son mostrados en cada paso de una actividad/tarea o página.</t>
  </si>
  <si>
    <t>H7-2</t>
  </si>
  <si>
    <t>Se han agrupado los ítems en zonas lógicas, utilizando encabezamientos para distinguir dichas zonas</t>
  </si>
  <si>
    <t>H7-3</t>
  </si>
  <si>
    <t>Las etiquetas de los campos de entrada(input) están cerca de los mismos, pero separadas por al menos un espacio</t>
  </si>
  <si>
    <t>H7-4</t>
  </si>
  <si>
    <t>Los campos de los formularios que son obligatorios y no obligatorios están claramente marcados</t>
  </si>
  <si>
    <t>H7-5</t>
  </si>
  <si>
    <t>Se utiliza tamaño de letra, realce de fuente, subrayado, color, sombreado o tipografía especial para mostrar la cantidad relativa o importancia de los diferente elementos en una pantalla</t>
  </si>
  <si>
    <t>H7-6</t>
  </si>
  <si>
    <t>Se usan colores brillantes, suaves y saturados para darle importancia a los datos, y colores opacos y oscuros para des-enfatizarlos</t>
  </si>
  <si>
    <t>H7-7</t>
  </si>
  <si>
    <t>Los ítems inactivos en un menú, tabs o listas aparecen en gris o están omitidos</t>
  </si>
  <si>
    <t>H7-8</t>
  </si>
  <si>
    <t>Existen elecciones por defecto dentro el menú</t>
  </si>
  <si>
    <t>H7-9</t>
  </si>
  <si>
    <t>Existen elementos visuales llamativos para identificar cual es la ventana activa</t>
  </si>
  <si>
    <t>H7-10</t>
  </si>
  <si>
    <t>Se usan iconos relacionados a las acciones u contenidos a los que se asocian</t>
  </si>
  <si>
    <t>H7-11</t>
  </si>
  <si>
    <t>La estructura, orden y lógica es familiar e intuitiva para los usuarios</t>
  </si>
  <si>
    <t>H7-12</t>
  </si>
  <si>
    <t>Las instrucciones de uso del sistema deben son visibles o fácilmente recuperables siempre que es necesario</t>
  </si>
  <si>
    <t>H7-13</t>
  </si>
  <si>
    <t>Las acciones u operaciones importantes son fáciles de identificar</t>
  </si>
  <si>
    <t>H7-14</t>
  </si>
  <si>
    <t>La acción primaria es visualmente distinta de las acciones secundarias</t>
  </si>
  <si>
    <t>H7-15</t>
  </si>
  <si>
    <t>Si en la interfaz es necesario rellenar un campo, existen opciones disponibles que permitan seleccionar en vez de recordar y escribir</t>
  </si>
  <si>
    <t>H7-16</t>
  </si>
  <si>
    <t>Los objetivos de cada página del sitio web son concretos y bien definidos</t>
  </si>
  <si>
    <t>H7-17</t>
  </si>
  <si>
    <t>En caso de existir tareas de varios pasos, se indica al usuario en cual se encuentra y cuantos le faltan para completar la tarea</t>
  </si>
  <si>
    <t>H7-18</t>
  </si>
  <si>
    <t>Los elementos del sitio web están organizados de forma adecuada en base a convenciones</t>
  </si>
  <si>
    <t>H7-19</t>
  </si>
  <si>
    <t>Se evita ocultar elementos, enlaces o acciones importantes</t>
  </si>
  <si>
    <t>H8</t>
  </si>
  <si>
    <t>Flexibilidad y eficiencia de uso</t>
  </si>
  <si>
    <t>Los sitios web no deben poseer páginas cargadas de información innecesaria o irrelevante. Cada elemento de información extra puede disminuir la visibilidad de la información más importante.</t>
  </si>
  <si>
    <t>H8-1</t>
  </si>
  <si>
    <t>En caso de formulario que posean gran cantidad de campos, el usuario tiene la posibilidad de grabar los datos de manera parcial.</t>
  </si>
  <si>
    <t>H8-2</t>
  </si>
  <si>
    <t>En los formularios de datos, los usuarios tienen la opción directamente de hacer clic o utilizar atajos de teclado</t>
  </si>
  <si>
    <t>H8-3</t>
  </si>
  <si>
    <t>Se utiliza el diseño responsivo para que la página se adapte a diferentes resoluciones</t>
  </si>
  <si>
    <t>H9</t>
  </si>
  <si>
    <t>Diseño estético y minimalista</t>
  </si>
  <si>
    <t>Los mensajes de error deben expresarse en un lenguaje natural, no con códigos ni lenguajes técnicos, es necesario indicar con precisión el problema y sugerir una solución.</t>
  </si>
  <si>
    <t>H9-1</t>
  </si>
  <si>
    <t>Solo se muestra información esencial, que permitan tomar decisiones al usuario</t>
  </si>
  <si>
    <t>H9-2</t>
  </si>
  <si>
    <t>Se distinguen visualmente los iconos dependiendo de su significado conceptual</t>
  </si>
  <si>
    <t>H9-3</t>
  </si>
  <si>
    <t>Cada icono se resalta con respecto a su fondo</t>
  </si>
  <si>
    <t>H9-4</t>
  </si>
  <si>
    <t>Las etiquetas de los campos son familiares y descriptivos</t>
  </si>
  <si>
    <t>H9-5</t>
  </si>
  <si>
    <t>El sitio web ofrece una interfaz limpia, sin ruido visual y con un uso correcto del espacio</t>
  </si>
  <si>
    <t>H9-6</t>
  </si>
  <si>
    <t>Cada elemento de información se distingue del resto y no se confunde con otros</t>
  </si>
  <si>
    <t>H9-7</t>
  </si>
  <si>
    <t>El texto es fácil de hojear, está bien organizado y las frases no son muy largas.</t>
  </si>
  <si>
    <t>H9-8</t>
  </si>
  <si>
    <t>Son todos los formularios fáciles de entender y fáciles de llenar</t>
  </si>
  <si>
    <t>H9-9</t>
  </si>
  <si>
    <t>Las tablas con gran cantidad de información poseen paginación</t>
  </si>
  <si>
    <t>H10</t>
  </si>
  <si>
    <t>Documentación</t>
  </si>
  <si>
    <t>. Contar con una documentación fácil de buscar y que se centre en las tareas de los usuarios, enumerando los pasos que se deben llevar a cabo y que estos no sean muy extensos</t>
  </si>
  <si>
    <t>H10-1</t>
  </si>
  <si>
    <t>Proveer una documentación clara, centrada en las tareas del usuario sobre el sistema</t>
  </si>
  <si>
    <t>H11</t>
  </si>
  <si>
    <t>Contenido</t>
  </si>
  <si>
    <t>Evalua si el sistema de gestion academica posee paginas que permiten verificar informacion relevante del instituto, o actividades/tareas primordiales</t>
  </si>
  <si>
    <t>H11-1</t>
  </si>
  <si>
    <t>Existe una zona de soporte al usuario en caso de errores o dudas</t>
  </si>
  <si>
    <t>H11-2</t>
  </si>
  <si>
    <t>Existe información de los calendarios o programación académica</t>
  </si>
  <si>
    <t>H11-3</t>
  </si>
  <si>
    <t>Existe información acerca de las notificas importantes</t>
  </si>
  <si>
    <t>H11-4</t>
  </si>
  <si>
    <t>Existe información de eventos</t>
  </si>
  <si>
    <t>H11-5</t>
  </si>
  <si>
    <t>Existe información académica del usuarios que se identifican en el sistema</t>
  </si>
  <si>
    <t>H12</t>
  </si>
  <si>
    <t>Confiabilidad y eficiencia</t>
  </si>
  <si>
    <t>Los enlaces o elementos enganosos deben ser omitidos totalmente ya que generan desconfianza al momento de realizar una accion en el sitio web</t>
  </si>
  <si>
    <t>H12-1</t>
  </si>
  <si>
    <t>Se evitan los enlaces rotos, enlaces inválidos, nodos web muertos(sin enlaces de retorno)</t>
  </si>
  <si>
    <t>H12-2</t>
  </si>
  <si>
    <t>Se evitan nodos destinos(inesperados) en construcción</t>
  </si>
  <si>
    <t>H12-3</t>
  </si>
  <si>
    <t>Las páginas son cargadas en tiempos óptimos</t>
  </si>
  <si>
    <t>H12-4</t>
  </si>
  <si>
    <t>Se evita el uso de link engañosos</t>
  </si>
  <si>
    <t>H12-5</t>
  </si>
  <si>
    <t>Los enlaces identifican claramente a donde apuntan en base a un título apropiado para que el usuario pueda predecir la respuesta del sistema ante su acción</t>
  </si>
  <si>
    <t>H12-6</t>
  </si>
  <si>
    <t>Se puede ejecutar las tareas sin la necesidad de una documentación?</t>
  </si>
  <si>
    <t>H13</t>
  </si>
  <si>
    <t>Búsqueda</t>
  </si>
  <si>
    <t>La facilidad de contar con un buscador que permite encontar funciones o datos que faciliten al usuario de manera global o restringida</t>
  </si>
  <si>
    <t>H13-1</t>
  </si>
  <si>
    <t>Existe un campo de búsqueda que facilita la ubicación de tareas implementadas en el sistema</t>
  </si>
  <si>
    <t>H13-2</t>
  </si>
  <si>
    <t>Existen campos de búsqueda restringido por secciones, en caso de tener cantidades grande de datos</t>
  </si>
  <si>
    <t>Principio heuristico</t>
  </si>
  <si>
    <t>Resultados de valoracion de nivel de cumplimento</t>
  </si>
  <si>
    <t>Resultados de impacto</t>
  </si>
  <si>
    <t>Promedio de valoracion</t>
  </si>
  <si>
    <t>Descripcion</t>
  </si>
  <si>
    <t>% de Cumplimiento</t>
  </si>
  <si>
    <t>Promedio de impacto</t>
  </si>
  <si>
    <t>% Impacto</t>
  </si>
  <si>
    <t xml:space="preserve"> Visibilidad y estado del sistema</t>
  </si>
  <si>
    <t xml:space="preserve"> Relación entre el sistema y el mundo real</t>
  </si>
  <si>
    <t xml:space="preserve"> Control y libertad para el usuario</t>
  </si>
  <si>
    <t xml:space="preserve"> Consistencias y estándares</t>
  </si>
  <si>
    <t xml:space="preserve"> Ayudar a reconocer, diagnosticar y recuperarse de errores</t>
  </si>
  <si>
    <t xml:space="preserve"> Prevención de errores</t>
  </si>
  <si>
    <t xml:space="preserve"> Reconocimiento antes que memorización</t>
  </si>
  <si>
    <t xml:space="preserve"> Flexibilidad y eficiencia de uso</t>
  </si>
  <si>
    <t xml:space="preserve"> Diseño estético y minimalista</t>
  </si>
  <si>
    <t xml:space="preserve"> Documentación</t>
  </si>
  <si>
    <t xml:space="preserve"> Contenido</t>
  </si>
  <si>
    <t xml:space="preserve"> Confiabilidad y eficiencia</t>
  </si>
  <si>
    <t xml:space="preserve"> Búsqueda</t>
  </si>
  <si>
    <t>Promedio total de evaluación heurística</t>
  </si>
  <si>
    <t>Total de heuristicas evaluadas</t>
  </si>
  <si>
    <t>Total</t>
  </si>
  <si>
    <t>Total de sub-heuristicas evaluadas</t>
  </si>
  <si>
    <t>Codigo de Heuristica</t>
  </si>
  <si>
    <t>Valoracion de impacto</t>
  </si>
  <si>
    <t>Impacto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</si>
</sst>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Times New Roman"/>
      <family val="1"/>
    </font>
    <font>
      <sz val="11"/>
      <color rgb="FF000000"/>
      <name val="Times New Roman"/>
      <family val="1"/>
    </font>
    <font>
      <sz val="11"/>
      <color theme="1"/>
      <name val="Calibri"/>
      <family val="2"/>
      <scheme val="minor"/>
    </font>
    <font>
      <b/>
      <sz val="11"/>
      <color theme="1"/>
      <name val="Times New Roman"/>
      <family val="1"/>
    </font>
    <font>
      <sz val="11"/>
      <color theme="1"/>
      <name val="Times New Roman"/>
      <family val="1"/>
    </font>
    <font>
      <b/>
      <sz val="11"/>
      <color theme="0"/>
      <name val="Times New Roman"/>
      <family val="1"/>
    </font>
    <font>
      <sz val="12"/>
      <color theme="1"/>
      <name val="Times New Roman"/>
      <family val="1"/>
    </font>
    <font>
      <b/>
      <sz val="14"/>
      <color theme="1"/>
      <name val="Calibri"/>
      <family val="2"/>
      <scheme val="minor"/>
    </font>
    <font>
      <b/>
      <sz val="14"/>
      <color theme="1" tint="0.249977111117893"/>
      <name val="Calibri"/>
      <family val="2"/>
      <scheme val="minor"/>
    </font>
    <font>
      <b/>
      <sz val="12"/>
      <color theme="1" tint="0.249977111117893"/>
      <name val="Calibri"/>
      <family val="2"/>
      <scheme val="minor"/>
    </font>
    <font>
      <sz val="11"/>
      <color theme="0"/>
      <name val="Calibri"/>
      <family val="2"/>
      <scheme val="minor"/>
    </font>
    <font>
      <sz val="11"/>
      <color theme="4" tint="-0.249977111117893"/>
      <name val="Calibri"/>
      <family val="2"/>
      <scheme val="minor"/>
    </font>
    <font>
      <sz val="10"/>
      <color theme="1"/>
      <name val="Calibri"/>
      <family val="2"/>
      <scheme val="minor"/>
    </font>
  </fonts>
  <fills count="11">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9" tint="-0.249977111117893"/>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style="thin">
        <color theme="8"/>
      </right>
      <top style="thin">
        <color theme="8"/>
      </top>
      <bottom style="medium">
        <color theme="8"/>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9" fontId="1" fillId="0" borderId="0" applyFont="0" applyFill="0" applyBorder="0" applyAlignment="0" applyProtection="0"/>
    <xf numFmtId="0" fontId="6" fillId="0" borderId="0">
      <alignment vertical="center"/>
    </xf>
  </cellStyleXfs>
  <cellXfs count="94">
    <xf numFmtId="0" fontId="0" fillId="0" borderId="0" xfId="0"/>
    <xf numFmtId="0" fontId="0" fillId="0" borderId="0" xfId="0" applyAlignment="1">
      <alignment horizontal="center" vertical="center"/>
    </xf>
    <xf numFmtId="0" fontId="5" fillId="0" borderId="0" xfId="0" applyFont="1" applyAlignment="1">
      <alignment horizontal="center" vertical="center" wrapText="1"/>
    </xf>
    <xf numFmtId="0" fontId="8" fillId="0" borderId="0" xfId="2" applyFont="1">
      <alignment vertical="center"/>
    </xf>
    <xf numFmtId="0" fontId="9" fillId="2" borderId="1" xfId="2" applyFont="1" applyFill="1" applyBorder="1" applyAlignment="1">
      <alignment vertical="center"/>
    </xf>
    <xf numFmtId="0" fontId="10" fillId="0" borderId="0" xfId="2" applyFont="1" applyFill="1" applyAlignment="1">
      <alignment vertical="center"/>
    </xf>
    <xf numFmtId="0" fontId="3" fillId="0" borderId="0" xfId="0" applyFont="1"/>
    <xf numFmtId="0" fontId="0" fillId="0" borderId="0" xfId="0" applyAlignment="1">
      <alignment horizontal="center"/>
    </xf>
    <xf numFmtId="0" fontId="0" fillId="0" borderId="0" xfId="0" applyAlignment="1">
      <alignment vertical="center"/>
    </xf>
    <xf numFmtId="0" fontId="3" fillId="6" borderId="1" xfId="0" applyFont="1" applyFill="1" applyBorder="1"/>
    <xf numFmtId="0" fontId="0" fillId="0" borderId="1" xfId="0" applyBorder="1"/>
    <xf numFmtId="0" fontId="0" fillId="0" borderId="0" xfId="0" applyAlignment="1">
      <alignment vertical="center" wrapText="1"/>
    </xf>
    <xf numFmtId="0" fontId="4" fillId="0" borderId="0" xfId="2" applyFont="1">
      <alignment vertical="center"/>
    </xf>
    <xf numFmtId="0" fontId="5" fillId="0" borderId="0" xfId="0" applyFont="1" applyAlignment="1">
      <alignment horizontal="justify" vertical="center" wrapText="1"/>
    </xf>
    <xf numFmtId="0" fontId="5" fillId="0" borderId="0" xfId="0" applyFont="1" applyBorder="1" applyAlignment="1">
      <alignment horizontal="center" vertical="center" wrapText="1"/>
    </xf>
    <xf numFmtId="0" fontId="5" fillId="0" borderId="0" xfId="0" applyFont="1" applyBorder="1" applyAlignment="1">
      <alignment horizontal="justify" vertical="center" wrapText="1"/>
    </xf>
    <xf numFmtId="0" fontId="0" fillId="0" borderId="0" xfId="0" applyBorder="1"/>
    <xf numFmtId="0" fontId="0" fillId="0" borderId="0" xfId="0" applyBorder="1" applyAlignment="1">
      <alignment horizontal="center" wrapText="1"/>
    </xf>
    <xf numFmtId="0" fontId="0" fillId="0" borderId="0" xfId="0" applyNumberFormat="1" applyAlignment="1">
      <alignment vertical="center" wrapText="1"/>
    </xf>
    <xf numFmtId="0" fontId="0" fillId="0" borderId="0" xfId="0" applyFont="1" applyAlignment="1">
      <alignment horizontal="center"/>
    </xf>
    <xf numFmtId="0" fontId="3" fillId="0" borderId="0" xfId="0" applyFont="1" applyAlignment="1">
      <alignment horizontal="center" vertical="center" wrapText="1"/>
    </xf>
    <xf numFmtId="0" fontId="0" fillId="0" borderId="1" xfId="0" applyBorder="1" applyAlignment="1">
      <alignment horizontal="center"/>
    </xf>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3" fillId="3" borderId="1" xfId="0" applyFont="1" applyFill="1" applyBorder="1"/>
    <xf numFmtId="0" fontId="3" fillId="0" borderId="1" xfId="0" applyFont="1" applyBorder="1" applyAlignment="1">
      <alignment horizontal="center"/>
    </xf>
    <xf numFmtId="0" fontId="11" fillId="0" borderId="1" xfId="0" applyFont="1" applyFill="1" applyBorder="1" applyAlignment="1">
      <alignment vertical="center"/>
    </xf>
    <xf numFmtId="0" fontId="3" fillId="3" borderId="1" xfId="0" applyFont="1" applyFill="1" applyBorder="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9" fontId="0" fillId="3" borderId="1" xfId="1" applyFont="1" applyFill="1" applyBorder="1" applyAlignment="1">
      <alignment horizontal="center" vertical="center"/>
    </xf>
    <xf numFmtId="0" fontId="3" fillId="7" borderId="1" xfId="0" applyFont="1" applyFill="1" applyBorder="1" applyAlignment="1">
      <alignment horizontal="center"/>
    </xf>
    <xf numFmtId="9" fontId="3" fillId="7" borderId="1" xfId="1" applyFont="1" applyFill="1" applyBorder="1" applyAlignment="1">
      <alignment horizontal="center"/>
    </xf>
    <xf numFmtId="0" fontId="0" fillId="7" borderId="1" xfId="0" applyFill="1" applyBorder="1" applyAlignment="1">
      <alignment horizontal="center" vertical="center"/>
    </xf>
    <xf numFmtId="9" fontId="0" fillId="7" borderId="1" xfId="1" applyFont="1" applyFill="1" applyBorder="1" applyAlignment="1">
      <alignment horizontal="center" vertical="center"/>
    </xf>
    <xf numFmtId="0" fontId="12" fillId="8" borderId="1" xfId="0" applyFont="1" applyFill="1" applyBorder="1" applyAlignment="1">
      <alignment horizontal="center" vertical="center"/>
    </xf>
    <xf numFmtId="9" fontId="12" fillId="8" borderId="1" xfId="1" applyFont="1" applyFill="1" applyBorder="1" applyAlignment="1">
      <alignment horizontal="center" vertical="center"/>
    </xf>
    <xf numFmtId="0" fontId="12" fillId="4" borderId="3" xfId="0" applyFont="1" applyFill="1" applyBorder="1" applyAlignment="1">
      <alignment horizontal="center" vertical="center"/>
    </xf>
    <xf numFmtId="0" fontId="13" fillId="4" borderId="3" xfId="0" applyFont="1" applyFill="1" applyBorder="1" applyAlignment="1">
      <alignment horizontal="center" vertical="center" wrapText="1"/>
    </xf>
    <xf numFmtId="9" fontId="12" fillId="4" borderId="3" xfId="1" applyFont="1" applyFill="1" applyBorder="1" applyAlignment="1">
      <alignment horizontal="center" vertical="center"/>
    </xf>
    <xf numFmtId="0" fontId="3" fillId="0" borderId="7" xfId="0" applyFont="1" applyBorder="1" applyAlignment="1">
      <alignment horizontal="center" vertical="center" wrapText="1"/>
    </xf>
    <xf numFmtId="0" fontId="0" fillId="0" borderId="0" xfId="0" applyNumberFormat="1"/>
    <xf numFmtId="0" fontId="0" fillId="0" borderId="0" xfId="0" applyNumberFormat="1" applyAlignment="1">
      <alignment vertical="center"/>
    </xf>
    <xf numFmtId="0" fontId="0" fillId="0" borderId="0" xfId="0" applyAlignment="1">
      <alignment horizontal="center" vertical="center" wrapText="1"/>
    </xf>
    <xf numFmtId="0" fontId="14" fillId="0" borderId="0" xfId="0" applyFont="1" applyBorder="1" applyAlignment="1">
      <alignment horizontal="center"/>
    </xf>
    <xf numFmtId="0" fontId="14" fillId="0" borderId="6" xfId="0" applyFont="1" applyBorder="1" applyAlignment="1">
      <alignment horizontal="center"/>
    </xf>
    <xf numFmtId="0" fontId="3" fillId="7" borderId="1" xfId="0" applyFont="1" applyFill="1" applyBorder="1" applyAlignment="1">
      <alignment horizontal="center" wrapText="1"/>
    </xf>
    <xf numFmtId="0" fontId="3" fillId="0" borderId="0" xfId="0" applyFont="1" applyFill="1" applyBorder="1" applyAlignment="1">
      <alignment horizontal="center" vertical="center" wrapText="1"/>
    </xf>
    <xf numFmtId="0" fontId="0" fillId="0" borderId="0" xfId="0" applyFill="1" applyBorder="1" applyAlignment="1">
      <alignment horizontal="center"/>
    </xf>
    <xf numFmtId="0" fontId="0" fillId="0" borderId="6" xfId="0" applyBorder="1"/>
    <xf numFmtId="0" fontId="0" fillId="0" borderId="4" xfId="0" applyFill="1" applyBorder="1" applyAlignment="1">
      <alignment horizontal="center"/>
    </xf>
    <xf numFmtId="0" fontId="3" fillId="0" borderId="11" xfId="0" applyFont="1" applyBorder="1" applyAlignment="1">
      <alignment horizontal="center" vertical="center"/>
    </xf>
    <xf numFmtId="0" fontId="3" fillId="0" borderId="3"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xf numFmtId="0" fontId="3" fillId="0" borderId="2" xfId="0" applyFont="1" applyBorder="1" applyAlignment="1">
      <alignment horizontal="center"/>
    </xf>
    <xf numFmtId="9" fontId="0" fillId="0" borderId="0" xfId="1" applyFont="1" applyAlignment="1">
      <alignment horizontal="center" vertical="center"/>
    </xf>
    <xf numFmtId="0" fontId="2" fillId="10" borderId="8" xfId="0" applyFont="1" applyFill="1" applyBorder="1" applyAlignment="1">
      <alignment horizontal="center"/>
    </xf>
    <xf numFmtId="9" fontId="0" fillId="0" borderId="0" xfId="0" applyNumberFormat="1"/>
    <xf numFmtId="9" fontId="0" fillId="0" borderId="1" xfId="1" applyFont="1" applyBorder="1" applyAlignment="1">
      <alignment horizontal="center"/>
    </xf>
    <xf numFmtId="9" fontId="3" fillId="0" borderId="2" xfId="1" applyFont="1" applyBorder="1" applyAlignment="1">
      <alignment horizontal="center"/>
    </xf>
    <xf numFmtId="0" fontId="15" fillId="9" borderId="1" xfId="0" applyFont="1" applyFill="1" applyBorder="1"/>
    <xf numFmtId="0" fontId="15" fillId="0" borderId="1" xfId="0" applyFont="1" applyBorder="1"/>
    <xf numFmtId="0" fontId="16" fillId="0" borderId="0" xfId="0" applyFont="1"/>
    <xf numFmtId="0" fontId="4" fillId="0" borderId="1" xfId="2" applyFont="1" applyFill="1" applyBorder="1" applyAlignment="1"/>
    <xf numFmtId="0" fontId="4" fillId="3" borderId="1" xfId="2" applyFont="1" applyFill="1" applyBorder="1" applyAlignment="1">
      <alignment vertical="center"/>
    </xf>
    <xf numFmtId="0" fontId="4" fillId="0" borderId="0" xfId="2" applyFont="1" applyFill="1" applyAlignment="1"/>
    <xf numFmtId="0" fontId="3" fillId="0" borderId="0" xfId="0" applyFont="1" applyAlignment="1">
      <alignment horizontal="center"/>
    </xf>
    <xf numFmtId="0" fontId="3" fillId="6" borderId="1" xfId="0" applyFont="1" applyFill="1" applyBorder="1" applyAlignment="1">
      <alignment horizontal="left" vertical="center"/>
    </xf>
    <xf numFmtId="0" fontId="3"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7" fillId="0" borderId="1" xfId="2" applyFont="1" applyBorder="1" applyAlignment="1">
      <alignment horizontal="center" vertical="center" wrapText="1"/>
    </xf>
    <xf numFmtId="0" fontId="2" fillId="5" borderId="0" xfId="0" applyFont="1" applyFill="1" applyAlignment="1">
      <alignment horizontal="center"/>
    </xf>
    <xf numFmtId="0" fontId="3" fillId="6" borderId="1" xfId="0" applyFont="1" applyFill="1" applyBorder="1" applyAlignment="1">
      <alignment horizontal="left" vertical="center"/>
    </xf>
    <xf numFmtId="0" fontId="0" fillId="0" borderId="1" xfId="0" applyBorder="1" applyAlignment="1">
      <alignment horizontal="center" wrapText="1"/>
    </xf>
    <xf numFmtId="0" fontId="16" fillId="0" borderId="1" xfId="0" applyFont="1" applyBorder="1" applyAlignment="1">
      <alignment horizontal="center" wrapText="1"/>
    </xf>
    <xf numFmtId="0" fontId="0" fillId="0" borderId="1" xfId="0"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cellXfs>
  <cellStyles count="3">
    <cellStyle name="Normal" xfId="0" builtinId="0"/>
    <cellStyle name="Normal 2" xfId="2"/>
    <cellStyle name="Porcentaje" xfId="1" builtinId="5"/>
  </cellStyles>
  <dxfs count="185">
    <dxf>
      <alignment wrapText="1" readingOrder="0"/>
    </dxf>
    <dxf>
      <alignment wrapText="1" readingOrder="0"/>
    </dxf>
    <dxf>
      <alignment wrapText="1"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alignment wrapText="1" readingOrder="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theme="8"/>
        </left>
        <right style="thin">
          <color theme="8"/>
        </right>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fill>
        <patternFill patternType="none">
          <fgColor indexed="64"/>
          <bgColor indexed="65"/>
        </patternFill>
      </fil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edison/Descargas/checklist_revision_heuristica_metodo_siriu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itio"/>
      <sheetName val="1, Aspectos generales"/>
      <sheetName val="2, Identidad e Información"/>
      <sheetName val="3, Estructura y navegación"/>
      <sheetName val="4, Rotulado"/>
      <sheetName val="5, Layout de la página"/>
      <sheetName val="6, Entendibilidad y Facilidad"/>
      <sheetName val="7, Control y Retoalimentación"/>
      <sheetName val="8, Elementos multimedia"/>
      <sheetName val="9, Búsqueda"/>
      <sheetName val="10, Ayuda"/>
      <sheetName val="Cálculo de % usabilidad"/>
      <sheetName val="Tablas de relevancia"/>
      <sheetName val="Valo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3718.658322569441" createdVersion="6" refreshedVersion="6" minRefreshableVersion="3" recordCount="114">
  <cacheSource type="worksheet">
    <worksheetSource name="tbl_consolidado"/>
  </cacheSource>
  <cacheFields count="12">
    <cacheField name="Codigo de Heuristica" numFmtId="0">
      <sharedItems count="13">
        <s v="H1"/>
        <s v="H2"/>
        <s v="H3"/>
        <s v="H4"/>
        <s v="H5"/>
        <s v="H6"/>
        <s v="H7"/>
        <s v="H8"/>
        <s v="H9"/>
        <s v="H10"/>
        <s v="H11"/>
        <s v="H12"/>
        <s v="H13"/>
      </sharedItems>
    </cacheField>
    <cacheField name="Código Sub-heurística" numFmtId="0">
      <sharedItems/>
    </cacheField>
    <cacheField name="Descripción de Heurística" numFmtId="0">
      <sharedItems/>
    </cacheField>
    <cacheField name="Valoracion Numerica" numFmtId="0">
      <sharedItems containsMixedTypes="1" containsNumber="1" containsInteger="1" minValue="1" maxValue="5"/>
    </cacheField>
    <cacheField name="Valoración" numFmtId="0">
      <sharedItems/>
    </cacheField>
    <cacheField name="Valoracion numerica severidad impacto" numFmtId="0">
      <sharedItems containsMixedTypes="1" containsNumber="1" containsInteger="1" minValue="1" maxValue="4"/>
    </cacheField>
    <cacheField name="Severidad del impacto" numFmtId="0">
      <sharedItems/>
    </cacheField>
    <cacheField name="Valoración numérica de persistencia de impacto" numFmtId="0">
      <sharedItems containsMixedTypes="1" containsNumber="1" containsInteger="1" minValue="1" maxValue="4"/>
    </cacheField>
    <cacheField name="Persistencia del impacto" numFmtId="0">
      <sharedItems/>
    </cacheField>
    <cacheField name="Valoracion de impacto" numFmtId="0">
      <sharedItems containsMixedTypes="1" containsNumber="1" minValue="0" maxValue="5"/>
    </cacheField>
    <cacheField name="Impacto" numFmtId="0">
      <sharedItems/>
    </cacheField>
    <cacheField name="Observaciones"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s v="H1-1"/>
    <s v="Se incluye de forma visible el título en cada página, sección o contenido"/>
    <n v="5"/>
    <s v="Se cumple totalmente"/>
    <n v="2"/>
    <s v="Media"/>
    <s v="NA"/>
    <s v="-"/>
    <n v="0"/>
    <s v="No existe"/>
    <n v="0"/>
  </r>
  <r>
    <x v="0"/>
    <s v="H1-2"/>
    <s v="Existen feedback todas las acciones u operaciones"/>
    <n v="5"/>
    <s v="Se cumple totalmente"/>
    <s v="NA"/>
    <s v="-"/>
    <s v="NA"/>
    <s v="-"/>
    <n v="0"/>
    <s v="No existe"/>
    <n v="0"/>
  </r>
  <r>
    <x v="0"/>
    <s v="H1-3"/>
    <s v="Los formularios o menús de la interfaz implementan algún tipo de “feedback” que permite saber si esas acciones se encuentran disponibles o no."/>
    <n v="3"/>
    <s v="Medianamente se cumple"/>
    <n v="2"/>
    <s v="Media"/>
    <n v="4"/>
    <s v="Crítica"/>
    <n v="4"/>
    <s v="Problema mayor, importante arreglar"/>
    <n v="0"/>
  </r>
  <r>
    <x v="0"/>
    <s v="H1-4"/>
    <s v="Si hay menús, select , radios o checkbox donde se puedan seleccionar múltiples opciones ,la interfaz muestra algún tipo de &quot;feedback&quot; que indique cuales de las opciones ya han sido seleccionadas"/>
    <n v="5"/>
    <s v="Se cumple totalmente"/>
    <s v="NA"/>
    <s v="-"/>
    <s v="NA"/>
    <s v="-"/>
    <n v="0"/>
    <s v="No existe"/>
    <n v="0"/>
  </r>
  <r>
    <x v="0"/>
    <s v="H1-5"/>
    <s v="Se  puede identificar claramente el estado de los íconos o elementos que permitan realizar alguna acción."/>
    <n v="3"/>
    <s v="Medianamente se cumple"/>
    <n v="2"/>
    <s v="Media"/>
    <n v="4"/>
    <s v="Crítica"/>
    <n v="4"/>
    <s v="Problema mayor, importante arreglar"/>
    <n v="0"/>
  </r>
  <r>
    <x v="0"/>
    <s v="H1-6"/>
    <s v="Los tiempos de respuesta para cada tarea son apropiados"/>
    <n v="5"/>
    <s v="Se cumple totalmente"/>
    <s v="NA"/>
    <s v="-"/>
    <s v="NA"/>
    <s v="-"/>
    <n v="0"/>
    <s v="No existe"/>
    <n v="0"/>
  </r>
  <r>
    <x v="0"/>
    <s v="H1-7"/>
    <s v="Si el usuario navega en múltiples niveles de pantallas. el sistema brinda información de donde se encuentra ubicado(migas de pan, marcas de navegación)"/>
    <n v="5"/>
    <s v="Se cumple totalmente"/>
    <s v="NA"/>
    <s v="-"/>
    <s v="NA"/>
    <s v="-"/>
    <n v="0"/>
    <s v="No existe"/>
    <n v="0"/>
  </r>
  <r>
    <x v="0"/>
    <s v="H1-8"/>
    <s v="Existen indicadores en el progreso de una tarea."/>
    <n v="4"/>
    <s v="Cumplido"/>
    <s v="NA"/>
    <s v="-"/>
    <s v="NA"/>
    <s v="-"/>
    <s v=""/>
    <s v=""/>
    <n v="0"/>
  </r>
  <r>
    <x v="0"/>
    <s v="H1-9"/>
    <s v="Si el sitio tiene actualizaciones constantes, se indica cuando se realizará la actualización"/>
    <n v="5"/>
    <s v="Se cumple totalmente"/>
    <s v="NA"/>
    <s v="-"/>
    <s v="NA"/>
    <s v="-"/>
    <n v="0"/>
    <s v="No existe"/>
    <n v="0"/>
  </r>
  <r>
    <x v="0"/>
    <s v="H1-10"/>
    <s v="Se indican las fechas de inicio, finalización y tiempo disponible de las actividades y/o tareas que tiene cada usuario en el sistema"/>
    <n v="5"/>
    <s v="Se cumple totalmente"/>
    <s v="NA"/>
    <s v="-"/>
    <s v="NA"/>
    <s v="-"/>
    <n v="0"/>
    <s v="No existe"/>
    <n v="0"/>
  </r>
  <r>
    <x v="0"/>
    <s v="H1-11"/>
    <s v="Los enlaces son claramente reconocidos al igual en el estado en que se encuentran"/>
    <n v="5"/>
    <s v="Se cumple totalmente"/>
    <s v="NA"/>
    <s v="-"/>
    <s v="NA"/>
    <s v="-"/>
    <n v="0"/>
    <s v="No existe"/>
    <n v="0"/>
  </r>
  <r>
    <x v="0"/>
    <s v="H1-12"/>
    <s v="El sistema emplea iconos o indicadores visuales o metáforas comprensibles."/>
    <n v="5"/>
    <s v="Se cumple totalmente"/>
    <s v="NA"/>
    <s v="-"/>
    <s v="NA"/>
    <s v="-"/>
    <n v="0"/>
    <s v="No existe"/>
    <n v="0"/>
  </r>
  <r>
    <x v="0"/>
    <s v="H1-13"/>
    <s v="Los elementos principales en el área de navegación se encuentran visibles sin realizar ninguna acción extra"/>
    <n v="4"/>
    <s v="Cumplido"/>
    <n v="1"/>
    <s v="Moderada"/>
    <n v="1"/>
    <s v="Mínima"/>
    <n v="2"/>
    <s v="Problema cosmético"/>
    <n v="0"/>
  </r>
  <r>
    <x v="0"/>
    <s v="H1-14"/>
    <s v="El sistema se mantiene actualizado y muestra información actual"/>
    <n v="5"/>
    <s v="Se cumple totalmente"/>
    <s v="NA"/>
    <s v="-"/>
    <s v="NA"/>
    <s v="-"/>
    <n v="0"/>
    <s v="No existe"/>
    <n v="0"/>
  </r>
  <r>
    <x v="1"/>
    <s v="H2-1"/>
    <s v="El sistema utiliza un lenguaje entendible, con palabras, frases o conceptos familiares para el usuario en vez de tecnicismos del sistema o lenguaje complejo difícil de entender"/>
    <n v="5"/>
    <s v="Se cumple totalmente"/>
    <s v="NA"/>
    <s v="-"/>
    <s v="NA"/>
    <s v="-"/>
    <n v="0"/>
    <s v="No existe"/>
    <n v="0"/>
  </r>
  <r>
    <x v="1"/>
    <s v="H2-2"/>
    <s v="Los contenidos mostrados en cada página tienen un orden lógico y comprensible"/>
    <n v="5"/>
    <s v="Se cumple totalmente"/>
    <s v="NA"/>
    <s v="-"/>
    <s v="NA"/>
    <s v="-"/>
    <n v="0"/>
    <s v="No existe"/>
    <n v="0"/>
  </r>
  <r>
    <x v="1"/>
    <s v="H2-3"/>
    <s v="La información está estructurada con títulos, negritas y viñetas"/>
    <n v="5"/>
    <s v="Se cumple totalmente"/>
    <s v="NA"/>
    <s v="-"/>
    <s v="NA"/>
    <s v="-"/>
    <n v="0"/>
    <s v="No existe"/>
    <n v="0"/>
  </r>
  <r>
    <x v="1"/>
    <s v="H2-4"/>
    <s v="Los textos y enunciados de los campos están redactados de forma afirmativa"/>
    <n v="5"/>
    <s v="Se cumple totalmente"/>
    <s v="NA"/>
    <s v="-"/>
    <s v="NA"/>
    <s v="-"/>
    <n v="0"/>
    <s v="No existe"/>
    <n v="0"/>
  </r>
  <r>
    <x v="1"/>
    <s v="H2-5"/>
    <s v="Se utiliza un lenguaje de forma directa y no impersonal"/>
    <n v="5"/>
    <s v="Se cumple totalmente"/>
    <s v="NA"/>
    <s v="-"/>
    <s v="NA"/>
    <s v="-"/>
    <n v="0"/>
    <s v="No existe"/>
    <n v="0"/>
  </r>
  <r>
    <x v="1"/>
    <s v="H2-6"/>
    <s v="Las estructuras que poseen las páginas, formularios y/o contenidos están alineados a la estructura de la institución educativa"/>
    <n v="5"/>
    <s v="Se cumple totalmente"/>
    <s v="NA"/>
    <s v="-"/>
    <s v="NA"/>
    <s v="-"/>
    <n v="0"/>
    <s v="No existe"/>
    <n v="0"/>
  </r>
  <r>
    <x v="1"/>
    <s v="H2-7"/>
    <s v="Los colores aplicados a las páginas concuerdan con la imagen institucional que ofrece el  instituto"/>
    <n v="3"/>
    <s v="Medianamente se cumple"/>
    <n v="1"/>
    <s v="Moderada"/>
    <n v="4"/>
    <s v="Crítica"/>
    <n v="3.5"/>
    <s v="Problema mayor, importante arreglar"/>
    <s v="Faltan colores distintivos"/>
  </r>
  <r>
    <x v="1"/>
    <s v="H2-8"/>
    <s v="Los iconos o imágenes son claros y familiares que permiten al usuario distinguir fácilmente su significado(bien recortadas, resolución y preso óptimo)"/>
    <n v="5"/>
    <s v="Se cumple totalmente"/>
    <s v="NA"/>
    <s v="-"/>
    <s v="NA"/>
    <s v="-"/>
    <n v="0"/>
    <s v="No existe"/>
    <n v="0"/>
  </r>
  <r>
    <x v="1"/>
    <s v="H2-9"/>
    <s v="Las opciones de los menús están alineados a la estructura organizacional de la institución"/>
    <n v="1"/>
    <s v="No se cumple"/>
    <n v="4"/>
    <s v="Critica"/>
    <n v="4"/>
    <s v="Crítica"/>
    <n v="5"/>
    <s v="Problema catastrófico, urgencia inmediata de arreglo"/>
    <s v="En el menu faltan mas apartados de la estructura organizacional"/>
  </r>
  <r>
    <x v="1"/>
    <s v="H2-10"/>
    <s v="El sistema formatea correctamente los números en formato decimal"/>
    <n v="5"/>
    <s v="Se cumple totalmente"/>
    <s v="NA"/>
    <s v="-"/>
    <s v="NA"/>
    <s v="-"/>
    <n v="0"/>
    <s v="No existe"/>
    <n v="0"/>
  </r>
  <r>
    <x v="1"/>
    <s v="H2-11"/>
    <s v="El sistema ingresa automáticamente símbolos de dólar y decimal cuando se ingresan valores monetarios"/>
    <n v="5"/>
    <s v="Se cumple totalmente"/>
    <s v="NA"/>
    <s v="-"/>
    <s v="NA"/>
    <s v="-"/>
    <n v="0"/>
    <s v="No existe"/>
    <n v="0"/>
  </r>
  <r>
    <x v="1"/>
    <s v="H2-12"/>
    <s v="El logotipo de la página es significativo e identifica al instituto al  que pertenece y se encuentra correctamente ubicado"/>
    <n v="5"/>
    <s v="Se cumple totalmente"/>
    <s v="NA"/>
    <s v="-"/>
    <s v="NA"/>
    <s v="-"/>
    <n v="0"/>
    <s v="No existe"/>
    <n v="0"/>
  </r>
  <r>
    <x v="1"/>
    <s v="H2-13"/>
    <s v="Existe una relación directa entre la tarea y la acción necesaria para llevarla a cabo, lo que le permite al usuario comprender de forma rápida lo que el sitio web le permite hacer"/>
    <n v="5"/>
    <s v="Se cumple totalmente"/>
    <s v="NA"/>
    <s v="-"/>
    <s v="NA"/>
    <s v="-"/>
    <n v="0"/>
    <s v="No existe"/>
    <n v="0"/>
  </r>
  <r>
    <x v="1"/>
    <s v="H2-14"/>
    <s v="La URL del sitio tiene una coherente relación con el nombre del instituto"/>
    <n v="5"/>
    <s v="Se cumple totalmente"/>
    <s v="NA"/>
    <s v="-"/>
    <s v="NA"/>
    <s v="-"/>
    <n v="0"/>
    <s v="No existe"/>
    <n v="0"/>
  </r>
  <r>
    <x v="1"/>
    <s v="H2-15"/>
    <s v="Las teclas o botones virtuales que implican una acción necesaria incluyen mensajes de acción de acuerdo al contenido"/>
    <n v="5"/>
    <s v="Se cumple totalmente"/>
    <s v="NA"/>
    <s v="-"/>
    <s v="NA"/>
    <s v="-"/>
    <n v="0"/>
    <s v="No existe"/>
    <n v="0"/>
  </r>
  <r>
    <x v="2"/>
    <s v="H3-1"/>
    <s v="Si el sistema utiliza ventanas modales, es fácil de reubicar o mover esas ventanas"/>
    <n v="5"/>
    <s v="Se cumple totalmente"/>
    <s v="NA"/>
    <s v="-"/>
    <s v="NA"/>
    <s v="-"/>
    <n v="0"/>
    <s v="No existe"/>
    <n v="0"/>
  </r>
  <r>
    <x v="2"/>
    <s v="H3-2"/>
    <s v="Cuando el usuario completa una tarea, el sistema espera una acción de confirmación para procesar la tarea"/>
    <n v="5"/>
    <s v="Se cumple totalmente"/>
    <s v="NA"/>
    <s v="-"/>
    <s v="NA"/>
    <s v="-"/>
    <n v="0"/>
    <s v="No existe"/>
    <n v="0"/>
  </r>
  <r>
    <x v="2"/>
    <s v="H3-3"/>
    <s v="Se le pide al usuario que confirme acciones que pueden tener consecuencias drásticas, negativas o destructivas en relación a una tarea en proceso o al sitio web"/>
    <n v="5"/>
    <s v="Se cumple totalmente"/>
    <s v="NA"/>
    <s v="-"/>
    <s v="NA"/>
    <s v="-"/>
    <n v="0"/>
    <s v="No existe"/>
    <n v="0"/>
  </r>
  <r>
    <x v="2"/>
    <s v="H3-4"/>
    <s v="Posee una función de &quot;deshacer y rehacer&quot; para acciones simples, entrada de datos y grupo de acciones completas"/>
    <n v="1"/>
    <s v="No se cumple"/>
    <n v="4"/>
    <s v="Critica"/>
    <n v="4"/>
    <s v="Crítica"/>
    <n v="5"/>
    <s v="Problema catastrófico, urgencia inmediata de arreglo"/>
    <s v="No existe esta opcion "/>
  </r>
  <r>
    <x v="2"/>
    <s v="H3-5"/>
    <s v="¿El sistema permite que los usuarios cancelen operaciones en progreso?"/>
    <n v="5"/>
    <s v="Se cumple totalmente"/>
    <s v="NA"/>
    <s v="-"/>
    <s v="NA"/>
    <s v="-"/>
    <n v="0"/>
    <s v="No existe"/>
    <n v="0"/>
  </r>
  <r>
    <x v="2"/>
    <s v="H3-6"/>
    <s v="Se da prioridad a menús anchos (mas ítems) antes que profundos(muchos niveles)"/>
    <n v="5"/>
    <s v="Se cumple totalmente"/>
    <s v="NA"/>
    <s v="-"/>
    <s v="NA"/>
    <s v="-"/>
    <n v="0"/>
    <s v="No existe"/>
    <n v="0"/>
  </r>
  <r>
    <x v="2"/>
    <s v="H3-7"/>
    <s v="Si existen varios niveles de jerarquía de las páginas, existe elemento virtual(botón, enlace) que permita regresar a una página de nivel superior"/>
    <n v="5"/>
    <s v="Se cumple totalmente"/>
    <s v="NA"/>
    <s v="-"/>
    <s v="NA"/>
    <s v="-"/>
    <n v="0"/>
    <s v="No existe"/>
    <n v="0"/>
  </r>
  <r>
    <x v="2"/>
    <s v="H3-8"/>
    <s v="Los usuarios pueden trasladarse atrás o hacia delante entre los campos de un formulario o botones virtuales"/>
    <n v="5"/>
    <s v="Se cumple totalmente"/>
    <s v="NA"/>
    <s v="-"/>
    <s v="NA"/>
    <s v="-"/>
    <n v="0"/>
    <s v="No existe"/>
    <n v="0"/>
  </r>
  <r>
    <x v="2"/>
    <s v="H3-9"/>
    <s v="En caso de que se posean encuestas y necesiten ser calificados en base a una escala, ¿el sistema permite al usuario elegir que campo de entrada(select o radio buttons) usar para calificar las preguntas ?"/>
    <n v="5"/>
    <s v="Se cumple totalmente"/>
    <s v="NA"/>
    <s v="-"/>
    <s v="NA"/>
    <s v="-"/>
    <n v="0"/>
    <s v="No existe"/>
    <n v="0"/>
  </r>
  <r>
    <x v="2"/>
    <s v="H3-10"/>
    <s v="En caso de que se necesite ingresar gran cantidad de información en alguna tarea, el sistema le permite al usuario otros métodos más rápidos de ingresar esos datos?(archivos csv, archivos de texto)"/>
    <n v="1"/>
    <s v="No se cumple"/>
    <n v="4"/>
    <s v="Critica"/>
    <n v="2"/>
    <s v="Moderada"/>
    <n v="4"/>
    <s v="Problema mayor, importante arreglar"/>
    <s v="No existe esta opcion "/>
  </r>
  <r>
    <x v="2"/>
    <s v="H3-11"/>
    <s v="Los usuarios pueden reducir el tiempo en los campos de entrada copiando y modificando datos existentes"/>
    <n v="5"/>
    <s v="Se cumple totalmente"/>
    <s v="NA"/>
    <s v="-"/>
    <s v="NA"/>
    <s v="-"/>
    <n v="0"/>
    <s v="No existe"/>
    <n v="0"/>
  </r>
  <r>
    <x v="2"/>
    <s v="H3-12"/>
    <s v="Existe un vínculo en todas las páginas que permite volver a la página inicial"/>
    <n v="5"/>
    <s v="Se cumple totalmente"/>
    <s v="NA"/>
    <s v="-"/>
    <s v="NA"/>
    <s v="-"/>
    <n v="0"/>
    <s v="No existe"/>
    <n v="0"/>
  </r>
  <r>
    <x v="3"/>
    <s v="H4-1"/>
    <s v="Se evita abusar el uso de textos en mayúsculas en las pantallas"/>
    <n v="5"/>
    <s v="Se cumple totalmente"/>
    <s v="NA"/>
    <s v="-"/>
    <s v="NA"/>
    <s v="-"/>
    <n v="0"/>
    <s v="No existe"/>
    <n v="0"/>
  </r>
  <r>
    <x v="3"/>
    <s v="H4-2"/>
    <s v="Los iconos o botones virtuales poseen tooltips o etiquetas que los identifique"/>
    <n v="1"/>
    <s v="No se cumple"/>
    <n v="4"/>
    <s v="Critica"/>
    <n v="4"/>
    <s v="Crítica"/>
    <n v="5"/>
    <s v="Problema catastrófico, urgencia inmediata de arreglo"/>
    <s v="No se cumple en su totalidad"/>
  </r>
  <r>
    <x v="3"/>
    <s v="H4-3"/>
    <s v="Existe algún elemento visual que identifique la ventana que se encuentra activa"/>
    <n v="5"/>
    <s v="Se cumple totalmente"/>
    <s v="NA"/>
    <s v="-"/>
    <s v="NA"/>
    <s v="-"/>
    <n v="0"/>
    <s v="No existe"/>
    <n v="0"/>
  </r>
  <r>
    <x v="3"/>
    <s v="H4-4"/>
    <s v="Cada ventana(página, ventana modal, pop-up) posee un título que identifique a todo el contenido"/>
    <n v="5"/>
    <s v="Se cumple totalmente"/>
    <s v="NA"/>
    <s v="-"/>
    <s v="NA"/>
    <s v="-"/>
    <n v="0"/>
    <s v="No existe"/>
    <n v="0"/>
  </r>
  <r>
    <x v="3"/>
    <s v="H4-5"/>
    <s v="La opción de salir en un menú siempre se ubica como último elemento en la navegación"/>
    <n v="5"/>
    <s v="Se cumple totalmente"/>
    <s v="NA"/>
    <s v="-"/>
    <s v="NA"/>
    <s v="-"/>
    <n v="0"/>
    <s v="No existe"/>
    <n v="0"/>
  </r>
  <r>
    <x v="3"/>
    <s v="H4-6"/>
    <s v="La estructura de los menús coinciden con la estructura de tareas"/>
    <n v="5"/>
    <s v="Se cumple totalmente"/>
    <s v="NA"/>
    <s v="-"/>
    <s v="NA"/>
    <s v="-"/>
    <n v="0"/>
    <s v="No existe"/>
    <n v="0"/>
  </r>
  <r>
    <x v="3"/>
    <s v="H4-7"/>
    <s v="Las etiquetas de los campos de entrada(inputs) se mantienen de forma consistente en todas las pantallas"/>
    <n v="5"/>
    <s v="Se cumple totalmente"/>
    <s v="NA"/>
    <s v="-"/>
    <s v="NA"/>
    <s v="-"/>
    <n v="0"/>
    <s v="No existe"/>
    <n v="0"/>
  </r>
  <r>
    <x v="3"/>
    <s v="H4-8"/>
    <s v="Las etiquetas de los campos aparecen a la izquierda en campos sencillos y arriba en la lista de campos"/>
    <n v="5"/>
    <s v="Se cumple totalmente"/>
    <s v="NA"/>
    <s v="-"/>
    <s v="NA"/>
    <s v="-"/>
    <n v="0"/>
    <s v="No existe"/>
    <n v="0"/>
  </r>
  <r>
    <x v="3"/>
    <s v="H4-9"/>
    <s v="Se utilizan técnicas para atraer la atención del usuario solo para tareas importantes dependientes del tiempo"/>
    <n v="1"/>
    <s v="No se cumple"/>
    <n v="3"/>
    <s v="Mayor"/>
    <n v="4"/>
    <s v="Crítica"/>
    <n v="4.5"/>
    <s v="Problema catastrófico, urgencia inmediata de arreglo"/>
    <n v="0"/>
  </r>
  <r>
    <x v="3"/>
    <s v="H4-10"/>
    <s v="El usuario experimenta que la interfaz de usuario es consistente en términos de controles(botones, campos de entrada), color, tipografía, fuentes, diseños y diseño de diálogos"/>
    <n v="5"/>
    <s v="Se cumple totalmente"/>
    <s v="NA"/>
    <s v="-"/>
    <s v="NA"/>
    <s v="-"/>
    <n v="0"/>
    <s v="No existe"/>
    <n v="0"/>
  </r>
  <r>
    <x v="3"/>
    <s v="H4-11"/>
    <s v="Todas las instrucciones de menú, avisos y mensajes de error aparecen en el mismo lugar en cada pantalla y siguen las convenciones estándar"/>
    <n v="5"/>
    <s v="Se cumple totalmente"/>
    <s v="NA"/>
    <s v="-"/>
    <s v="NA"/>
    <s v="-"/>
    <n v="0"/>
    <s v="No existe"/>
    <n v="0"/>
  </r>
  <r>
    <x v="3"/>
    <s v="H4-12"/>
    <s v="El menú de navegación se encuentra ubicado al principio de todas las páginas web"/>
    <n v="5"/>
    <s v="Se cumple totalmente"/>
    <s v="NA"/>
    <s v="-"/>
    <s v="NA"/>
    <s v="-"/>
    <n v="0"/>
    <s v="No existe"/>
    <n v="0"/>
  </r>
  <r>
    <x v="3"/>
    <s v="H4-13"/>
    <s v="El logotipo del instituto es significativo, identificable y suficientemente visible"/>
    <n v="5"/>
    <s v="Se cumple totalmente"/>
    <s v="NA"/>
    <s v="-"/>
    <s v="NA"/>
    <s v="-"/>
    <n v="0"/>
    <s v="No existe"/>
    <n v="0"/>
  </r>
  <r>
    <x v="3"/>
    <s v="H4-14"/>
    <s v="Se mantiene el formato de los enlaces en todas las páginas web"/>
    <n v="5"/>
    <s v="Se cumple totalmente"/>
    <s v="NA"/>
    <s v="-"/>
    <s v="NA"/>
    <s v="-"/>
    <n v="0"/>
    <s v="No existe"/>
    <n v="0"/>
  </r>
  <r>
    <x v="3"/>
    <s v="H4-15"/>
    <s v="Las imágenes representativas poseen un título que las identifique en el atributo 'alt'"/>
    <n v="1"/>
    <s v="No se cumple"/>
    <n v="1"/>
    <s v="Moderada"/>
    <n v="4"/>
    <s v="Crítica"/>
    <n v="3.5"/>
    <s v="Problema mayor, importante arreglar"/>
    <n v="0"/>
  </r>
  <r>
    <x v="3"/>
    <s v="H4-16"/>
    <s v="Se mantiene consistente las mismas cosas y los mismos elementos en todo el sistema"/>
    <n v="5"/>
    <s v="Se cumple totalmente"/>
    <s v="NA"/>
    <s v="-"/>
    <s v="NA"/>
    <s v="-"/>
    <n v="0"/>
    <s v="No existe"/>
    <n v="0"/>
  </r>
  <r>
    <x v="3"/>
    <s v="H4-17"/>
    <s v="Los elementos de enlace poseen el mismo rotulo de la página a donde se va a trasladar"/>
    <n v="5"/>
    <s v="Se cumple totalmente"/>
    <s v="NA"/>
    <s v="-"/>
    <s v="NA"/>
    <s v="-"/>
    <n v="0"/>
    <s v="No existe"/>
    <n v="0"/>
  </r>
  <r>
    <x v="3"/>
    <s v="H4-18"/>
    <s v="Las URL de las páginas del sitio web tienen la misma estructura y coherencia con el contenido mostrado"/>
    <n v="5"/>
    <s v="Se cumple totalmente"/>
    <s v="NA"/>
    <s v="-"/>
    <s v="NA"/>
    <s v="-"/>
    <n v="0"/>
    <s v="No existe"/>
    <n v="0"/>
  </r>
  <r>
    <x v="4"/>
    <s v="H5-1"/>
    <s v="Los mensajes de error se muestran con un  lenguaje natural y no técnico del sistema"/>
    <n v="5"/>
    <s v="Se cumple totalmente"/>
    <s v="NA"/>
    <s v="-"/>
    <s v="NA"/>
    <s v="-"/>
    <n v="0"/>
    <s v="No existe"/>
    <n v="0"/>
  </r>
  <r>
    <x v="4"/>
    <s v="H5-2"/>
    <s v="Todos los mensajes de error del sistema utilizan un estilo gramatical, terminología y abreviatura consistentes"/>
    <n v="5"/>
    <s v="Se cumple totalmente"/>
    <s v="NA"/>
    <s v="-"/>
    <s v="NA"/>
    <s v="-"/>
    <n v="0"/>
    <s v="No existe"/>
    <n v="0"/>
  </r>
  <r>
    <x v="4"/>
    <s v="H5-3"/>
    <s v="Si en campos de formulario se detecta un error de validación, el sistema posiciona el cursor en ese campo, lo resalta de alguna manera o incorpora algún mensaje"/>
    <n v="5"/>
    <s v="Se cumple totalmente"/>
    <s v="NA"/>
    <s v="-"/>
    <s v="NA"/>
    <s v="-"/>
    <n v="0"/>
    <s v="No existe"/>
    <n v="0"/>
  </r>
  <r>
    <x v="4"/>
    <s v="H5-4"/>
    <s v="Los mensajes de error informan al usuario sobre la gravedad del error cometido"/>
    <n v="5"/>
    <s v="Se cumple totalmente"/>
    <s v="NA"/>
    <s v="-"/>
    <s v="NA"/>
    <s v="-"/>
    <n v="0"/>
    <s v="No existe"/>
    <n v="0"/>
  </r>
  <r>
    <x v="4"/>
    <s v="H5-5"/>
    <s v="Los mensajes de error indican que acción debe realizar el usuario para corregirlo"/>
    <n v="5"/>
    <s v="Se cumple totalmente"/>
    <s v="NA"/>
    <s v="-"/>
    <s v="NA"/>
    <s v="-"/>
    <n v="0"/>
    <s v="No existe"/>
    <n v="0"/>
  </r>
  <r>
    <x v="5"/>
    <s v="H6-1"/>
    <s v="El sistema previene a los usuarios de cometer errores siempre que esto es posible"/>
    <s v="NA"/>
    <s v="-"/>
    <s v="NA"/>
    <s v="-"/>
    <s v="NA"/>
    <s v="-"/>
    <s v=""/>
    <s v=""/>
    <n v="0"/>
  </r>
  <r>
    <x v="5"/>
    <s v="H6-2"/>
    <s v="El sistema alerta a los usuarios si está a punto de cometer un error potencial"/>
    <n v="4"/>
    <s v="Cumplido"/>
    <n v="1"/>
    <s v="Moderada"/>
    <n v="1"/>
    <s v="Mínima"/>
    <n v="2"/>
    <s v="Problema cosmético"/>
    <n v="0"/>
  </r>
  <r>
    <x v="5"/>
    <s v="H6-3"/>
    <s v="Las entradas de datos y cajas de dialogo indican el número de caracteres o formato requerido  para un campo"/>
    <n v="1"/>
    <s v="No se cumple"/>
    <n v="1"/>
    <s v="Moderada"/>
    <n v="4"/>
    <s v="Crítica"/>
    <n v="3.5"/>
    <s v="Problema mayor, importante arreglar"/>
    <n v="0"/>
  </r>
  <r>
    <x v="5"/>
    <s v="H6-4"/>
    <s v="Los campos en los formulario de entrada de datos contienen valores por defecto cuando son necesarios"/>
    <n v="1"/>
    <s v="No se cumple"/>
    <n v="1"/>
    <s v="Moderada"/>
    <n v="4"/>
    <s v="Crítica"/>
    <n v="3.5"/>
    <s v="Problema mayor, importante arreglar"/>
    <n v="0"/>
  </r>
  <r>
    <x v="5"/>
    <s v="H6-5"/>
    <s v="El sistema comprueba los valores de las campos de los formularios en tiempo real"/>
    <n v="5"/>
    <s v="Se cumple totalmente"/>
    <s v="NA"/>
    <s v="-"/>
    <s v="NA"/>
    <s v="-"/>
    <n v="0"/>
    <s v="No existe"/>
    <n v="0"/>
  </r>
  <r>
    <x v="6"/>
    <s v="H7-1"/>
    <s v="Los datos que el usuario necesita, son mostrados en cada paso de una actividad/tarea o página."/>
    <n v="5"/>
    <s v="Se cumple totalmente"/>
    <s v="NA"/>
    <s v="-"/>
    <s v="NA"/>
    <s v="-"/>
    <n v="0"/>
    <s v="No existe"/>
    <n v="0"/>
  </r>
  <r>
    <x v="6"/>
    <s v="H7-2"/>
    <s v="Se han agrupado los ítems en zonas lógicas, utilizando encabezamientos para distinguir dichas zonas"/>
    <n v="5"/>
    <s v="Se cumple totalmente"/>
    <s v="NA"/>
    <s v="-"/>
    <s v="NA"/>
    <s v="-"/>
    <n v="0"/>
    <s v="No existe"/>
    <n v="0"/>
  </r>
  <r>
    <x v="6"/>
    <s v="H7-3"/>
    <s v="Las etiquetas de los campos de entrada(input) están cerca de los mismos, pero separadas por al menos un espacio"/>
    <n v="5"/>
    <s v="Se cumple totalmente"/>
    <s v="NA"/>
    <s v="-"/>
    <s v="NA"/>
    <s v="-"/>
    <n v="0"/>
    <s v="No existe"/>
    <n v="0"/>
  </r>
  <r>
    <x v="6"/>
    <s v="H7-4"/>
    <s v="Los campos de los formularios que son obligatorios y no obligatorios están claramente marcados"/>
    <n v="4"/>
    <s v="Cumplido"/>
    <n v="1"/>
    <s v="Moderada"/>
    <n v="2"/>
    <s v="Moderada"/>
    <n v="2.5"/>
    <s v="Problema menor, arreglar con el tiempo y que son fáciles de hacerlo"/>
    <n v="0"/>
  </r>
  <r>
    <x v="6"/>
    <s v="H7-5"/>
    <s v="Se utiliza tamaño de letra, realce de fuente, subrayado, color, sombreado o tipografía especial para mostrar la cantidad relativa o importancia de los diferente elementos en una pantalla"/>
    <n v="5"/>
    <s v="Se cumple totalmente"/>
    <s v="NA"/>
    <s v="-"/>
    <s v="NA"/>
    <s v="-"/>
    <n v="0"/>
    <s v="No existe"/>
    <n v="0"/>
  </r>
  <r>
    <x v="6"/>
    <s v="H7-6"/>
    <s v="Se usan colores brillantes, suaves y saturados para darle importancia a los datos, y colores opacos y oscuros para des-enfatizarlos"/>
    <n v="5"/>
    <s v="Se cumple totalmente"/>
    <s v="NA"/>
    <s v="-"/>
    <s v="NA"/>
    <s v="-"/>
    <n v="0"/>
    <s v="No existe"/>
    <n v="0"/>
  </r>
  <r>
    <x v="6"/>
    <s v="H7-7"/>
    <s v="Los ítems inactivos en un menú, tabs o listas aparecen en gris o están omitidos"/>
    <n v="5"/>
    <s v="Se cumple totalmente"/>
    <s v="NA"/>
    <s v="-"/>
    <s v="NA"/>
    <s v="-"/>
    <n v="0"/>
    <s v="No existe"/>
    <n v="0"/>
  </r>
  <r>
    <x v="6"/>
    <s v="H7-8"/>
    <s v="Existen elecciones por defecto dentro el menú"/>
    <n v="5"/>
    <s v="Se cumple totalmente"/>
    <s v="NA"/>
    <s v="-"/>
    <s v="NA"/>
    <s v="-"/>
    <n v="0"/>
    <s v="No existe"/>
    <n v="0"/>
  </r>
  <r>
    <x v="6"/>
    <s v="H7-9"/>
    <s v="Existen elementos visuales llamativos para identificar cual es la ventana activa"/>
    <n v="5"/>
    <s v="Se cumple totalmente"/>
    <s v="NA"/>
    <s v="-"/>
    <s v="NA"/>
    <s v="-"/>
    <n v="0"/>
    <s v="No existe"/>
    <n v="0"/>
  </r>
  <r>
    <x v="6"/>
    <s v="H7-10"/>
    <s v="Se usan iconos relacionados a las acciones u contenidos a los que se asocian"/>
    <n v="5"/>
    <s v="Se cumple totalmente"/>
    <s v="NA"/>
    <s v="-"/>
    <s v="NA"/>
    <s v="-"/>
    <n v="0"/>
    <s v="No existe"/>
    <n v="0"/>
  </r>
  <r>
    <x v="6"/>
    <s v="H7-11"/>
    <s v="La estructura, orden y lógica es familiar e intuitiva para los usuarios"/>
    <n v="5"/>
    <s v="Se cumple totalmente"/>
    <s v="NA"/>
    <s v="-"/>
    <s v="NA"/>
    <s v="-"/>
    <n v="0"/>
    <s v="No existe"/>
    <n v="0"/>
  </r>
  <r>
    <x v="6"/>
    <s v="H7-12"/>
    <s v="Las instrucciones de uso del sistema deben son visibles o fácilmente recuperables siempre que es necesario"/>
    <n v="5"/>
    <s v="Se cumple totalmente"/>
    <s v="NA"/>
    <s v="-"/>
    <s v="NA"/>
    <s v="-"/>
    <n v="0"/>
    <s v="No existe"/>
    <n v="0"/>
  </r>
  <r>
    <x v="6"/>
    <s v="H7-13"/>
    <s v="Las acciones u operaciones importantes son fáciles de identificar"/>
    <n v="1"/>
    <s v="No se cumple"/>
    <n v="1"/>
    <s v="Moderada"/>
    <n v="4"/>
    <s v="Crítica"/>
    <n v="3.5"/>
    <s v="Problema mayor, importante arreglar"/>
    <s v="No me especifica cuales son esas acciones"/>
  </r>
  <r>
    <x v="6"/>
    <s v="H7-14"/>
    <s v="La acción primaria es visualmente distinta de las acciones secundarias"/>
    <n v="1"/>
    <s v="No se cumple"/>
    <n v="1"/>
    <s v="Moderada"/>
    <n v="4"/>
    <s v="Crítica"/>
    <n v="3.5"/>
    <s v="Problema mayor, importante arreglar"/>
    <n v="0"/>
  </r>
  <r>
    <x v="6"/>
    <s v="H7-15"/>
    <s v="Si en la interfaz es necesario rellenar un campo, existen opciones disponibles que permitan seleccionar en vez de recordar y escribir"/>
    <n v="1"/>
    <s v="No se cumple"/>
    <n v="1"/>
    <s v="Moderada"/>
    <n v="4"/>
    <s v="Crítica"/>
    <n v="3.5"/>
    <s v="Problema mayor, importante arreglar"/>
    <n v="0"/>
  </r>
  <r>
    <x v="6"/>
    <s v="H7-16"/>
    <s v="Los objetivos de cada página del sitio web son concretos y bien definidos"/>
    <n v="5"/>
    <s v="Se cumple totalmente"/>
    <s v="NA"/>
    <s v="-"/>
    <s v="NA"/>
    <s v="-"/>
    <n v="0"/>
    <s v="No existe"/>
    <n v="0"/>
  </r>
  <r>
    <x v="6"/>
    <s v="H7-17"/>
    <s v="En caso de existir tareas de varios pasos, se indica al usuario en cual se encuentra y cuantos le faltan para completar la tarea"/>
    <n v="1"/>
    <s v="No se cumple"/>
    <n v="1"/>
    <s v="Moderada"/>
    <n v="4"/>
    <s v="Crítica"/>
    <n v="3.5"/>
    <s v="Problema mayor, importante arreglar"/>
    <n v="0"/>
  </r>
  <r>
    <x v="6"/>
    <s v="H7-18"/>
    <s v="Los elementos del sitio web están organizados de forma adecuada en base a convenciones"/>
    <n v="5"/>
    <s v="Se cumple totalmente"/>
    <s v="NA"/>
    <s v="-"/>
    <s v="NA"/>
    <s v="-"/>
    <n v="0"/>
    <s v="No existe"/>
    <n v="0"/>
  </r>
  <r>
    <x v="6"/>
    <s v="H7-19"/>
    <s v="Se evita ocultar elementos, enlaces o acciones importantes"/>
    <n v="5"/>
    <s v="Se cumple totalmente"/>
    <s v="NA"/>
    <s v="-"/>
    <s v="NA"/>
    <s v="-"/>
    <n v="0"/>
    <s v="No existe"/>
    <n v="0"/>
  </r>
  <r>
    <x v="7"/>
    <s v="H8-1"/>
    <s v="En caso de formulario que posean gran cantidad de campos, el usuario tiene la posibilidad de grabar los datos de manera parcial."/>
    <n v="1"/>
    <s v="No se cumple"/>
    <n v="1"/>
    <s v="Moderada"/>
    <n v="4"/>
    <s v="Crítica"/>
    <n v="3.5"/>
    <s v="Problema mayor, importante arreglar"/>
    <n v="0"/>
  </r>
  <r>
    <x v="7"/>
    <s v="H8-2"/>
    <s v="En los formularios de datos, los usuarios tienen la opción directamente de hacer clic o utilizar atajos de teclado"/>
    <n v="1"/>
    <s v="No se cumple"/>
    <n v="1"/>
    <s v="Moderada"/>
    <n v="4"/>
    <s v="Crítica"/>
    <n v="3.5"/>
    <s v="Problema mayor, importante arreglar"/>
    <n v="0"/>
  </r>
  <r>
    <x v="7"/>
    <s v="H8-3"/>
    <s v="Se utiliza el diseño responsivo para que la página se adapte a diferentes resoluciones"/>
    <n v="5"/>
    <s v="Se cumple totalmente"/>
    <s v="NA"/>
    <s v="-"/>
    <s v="NA"/>
    <s v="-"/>
    <n v="0"/>
    <s v="No existe"/>
    <n v="0"/>
  </r>
  <r>
    <x v="8"/>
    <s v="H9-1"/>
    <s v="Solo se muestra información esencial, que permitan tomar decisiones al usuario"/>
    <n v="5"/>
    <s v="Se cumple totalmente"/>
    <s v="NA"/>
    <s v="-"/>
    <s v="NA"/>
    <s v="-"/>
    <n v="0"/>
    <s v="No existe"/>
    <n v="0"/>
  </r>
  <r>
    <x v="8"/>
    <s v="H9-2"/>
    <s v="Se distinguen visualmente los iconos dependiendo de su significado conceptual"/>
    <n v="5"/>
    <s v="Se cumple totalmente"/>
    <s v="NA"/>
    <s v="-"/>
    <s v="NA"/>
    <s v="-"/>
    <n v="0"/>
    <s v="No existe"/>
    <n v="0"/>
  </r>
  <r>
    <x v="8"/>
    <s v="H9-3"/>
    <s v="Cada icono se resalta con respecto a su fondo"/>
    <n v="5"/>
    <s v="Se cumple totalmente"/>
    <s v="NA"/>
    <s v="-"/>
    <s v="NA"/>
    <s v="-"/>
    <n v="0"/>
    <s v="No existe"/>
    <n v="0"/>
  </r>
  <r>
    <x v="8"/>
    <s v="H9-4"/>
    <s v="Las etiquetas de los campos son familiares y descriptivos"/>
    <n v="5"/>
    <s v="Se cumple totalmente"/>
    <s v="NA"/>
    <s v="-"/>
    <s v="NA"/>
    <s v="-"/>
    <n v="0"/>
    <s v="No existe"/>
    <n v="0"/>
  </r>
  <r>
    <x v="8"/>
    <s v="H9-5"/>
    <s v="El sitio web ofrece una interfaz limpia, sin ruido visual y con un uso correcto del espacio"/>
    <n v="5"/>
    <s v="Se cumple totalmente"/>
    <s v="NA"/>
    <s v="-"/>
    <s v="NA"/>
    <s v="-"/>
    <n v="0"/>
    <s v="No existe"/>
    <n v="0"/>
  </r>
  <r>
    <x v="8"/>
    <s v="H9-6"/>
    <s v="Cada elemento de información se distingue del resto y no se confunde con otros"/>
    <n v="5"/>
    <s v="Se cumple totalmente"/>
    <s v="NA"/>
    <s v="-"/>
    <s v="NA"/>
    <s v="-"/>
    <n v="0"/>
    <s v="No existe"/>
    <n v="0"/>
  </r>
  <r>
    <x v="8"/>
    <s v="H9-7"/>
    <s v="El texto es fácil de hojear, está bien organizado y las frases no son muy largas."/>
    <n v="5"/>
    <s v="Se cumple totalmente"/>
    <s v="NA"/>
    <s v="-"/>
    <s v="NA"/>
    <s v="-"/>
    <n v="0"/>
    <s v="No existe"/>
    <n v="0"/>
  </r>
  <r>
    <x v="8"/>
    <s v="H9-8"/>
    <s v="Son todos los formularios fáciles de entender y fáciles de llenar"/>
    <n v="5"/>
    <s v="Se cumple totalmente"/>
    <s v="NA"/>
    <s v="-"/>
    <s v="NA"/>
    <s v="-"/>
    <n v="0"/>
    <s v="No existe"/>
    <n v="0"/>
  </r>
  <r>
    <x v="8"/>
    <s v="H9-9"/>
    <s v="Las tablas con gran cantidad de información poseen paginación"/>
    <n v="5"/>
    <s v="Se cumple totalmente"/>
    <s v="NA"/>
    <s v="-"/>
    <s v="NA"/>
    <s v="-"/>
    <n v="0"/>
    <s v="No existe"/>
    <n v="0"/>
  </r>
  <r>
    <x v="9"/>
    <s v="H10-1"/>
    <s v="Proveer una documentación clara, centrada en las tareas del usuario sobre el sistema"/>
    <n v="5"/>
    <s v="Se cumple totalmente"/>
    <s v="NA"/>
    <s v="-"/>
    <s v="NA"/>
    <s v="-"/>
    <n v="0"/>
    <s v="No existe"/>
    <n v="0"/>
  </r>
  <r>
    <x v="10"/>
    <s v="H11-1"/>
    <s v="Existe una zona de soporte al usuario en caso de errores o dudas"/>
    <n v="5"/>
    <s v="Se cumple totalmente"/>
    <s v="NA"/>
    <s v="-"/>
    <s v="NA"/>
    <s v="-"/>
    <n v="0"/>
    <s v="No existe"/>
    <n v="0"/>
  </r>
  <r>
    <x v="10"/>
    <s v="H11-2"/>
    <s v="Existe información de los calendarios o programación académica"/>
    <n v="5"/>
    <s v="Se cumple totalmente"/>
    <s v="NA"/>
    <s v="-"/>
    <s v="NA"/>
    <s v="-"/>
    <n v="0"/>
    <s v="No existe"/>
    <n v="0"/>
  </r>
  <r>
    <x v="10"/>
    <s v="H11-3"/>
    <s v="Existe información acerca de las notificas importantes"/>
    <n v="5"/>
    <s v="Se cumple totalmente"/>
    <s v="NA"/>
    <s v="-"/>
    <s v="NA"/>
    <s v="-"/>
    <n v="0"/>
    <s v="No existe"/>
    <n v="0"/>
  </r>
  <r>
    <x v="10"/>
    <s v="H11-4"/>
    <s v="Existe información de eventos"/>
    <n v="5"/>
    <s v="Se cumple totalmente"/>
    <s v="NA"/>
    <s v="-"/>
    <s v="NA"/>
    <s v="-"/>
    <n v="0"/>
    <s v="No existe"/>
    <n v="0"/>
  </r>
  <r>
    <x v="10"/>
    <s v="H11-5"/>
    <s v="Existe información académica del usuarios que se identifican en el sistema"/>
    <n v="5"/>
    <s v="Se cumple totalmente"/>
    <s v="NA"/>
    <s v="-"/>
    <s v="NA"/>
    <s v="-"/>
    <n v="0"/>
    <s v="No existe"/>
    <n v="0"/>
  </r>
  <r>
    <x v="11"/>
    <s v="H12-1"/>
    <s v="Se evitan los enlaces rotos, enlaces inválidos, nodos web muertos(sin enlaces de retorno)"/>
    <n v="5"/>
    <s v="Se cumple totalmente"/>
    <s v="NA"/>
    <s v="-"/>
    <s v="NA"/>
    <s v="-"/>
    <n v="0"/>
    <s v="No existe"/>
    <n v="0"/>
  </r>
  <r>
    <x v="11"/>
    <s v="H12-2"/>
    <s v="Se evitan nodos destinos(inesperados) en construcción"/>
    <n v="5"/>
    <s v="Se cumple totalmente"/>
    <s v="NA"/>
    <s v="-"/>
    <s v="NA"/>
    <s v="-"/>
    <n v="0"/>
    <s v="No existe"/>
    <n v="0"/>
  </r>
  <r>
    <x v="11"/>
    <s v="H12-3"/>
    <s v="Las páginas son cargadas en tiempos óptimos"/>
    <n v="5"/>
    <s v="Se cumple totalmente"/>
    <s v="NA"/>
    <s v="-"/>
    <s v="NA"/>
    <s v="-"/>
    <n v="0"/>
    <s v="No existe"/>
    <n v="0"/>
  </r>
  <r>
    <x v="11"/>
    <s v="H12-4"/>
    <s v="Se evita el uso de link engañosos"/>
    <n v="5"/>
    <s v="Se cumple totalmente"/>
    <s v="NA"/>
    <s v="-"/>
    <s v="NA"/>
    <s v="-"/>
    <n v="0"/>
    <s v="No existe"/>
    <n v="0"/>
  </r>
  <r>
    <x v="11"/>
    <s v="H12-5"/>
    <s v="Los enlaces identifican claramente a donde apuntan en base a un título apropiado para que el usuario pueda predecir la respuesta del sistema ante su acción"/>
    <n v="5"/>
    <s v="Se cumple totalmente"/>
    <s v="NA"/>
    <s v="-"/>
    <s v="NA"/>
    <s v="-"/>
    <n v="0"/>
    <s v="No existe"/>
    <n v="0"/>
  </r>
  <r>
    <x v="11"/>
    <s v="H12-6"/>
    <s v="Se puede ejecutar las tareas sin la necesidad de una documentación?"/>
    <n v="5"/>
    <s v="Se cumple totalmente"/>
    <s v="NA"/>
    <s v="-"/>
    <s v="NA"/>
    <s v="-"/>
    <n v="0"/>
    <s v="No existe"/>
    <n v="0"/>
  </r>
  <r>
    <x v="12"/>
    <s v="H13-1"/>
    <s v="Existe un campo de búsqueda que facilita la ubicación de tareas implementadas en el sistema"/>
    <n v="5"/>
    <s v="Se cumple totalmente"/>
    <s v="NA"/>
    <s v="-"/>
    <s v="NA"/>
    <s v="-"/>
    <n v="0"/>
    <s v="No existe"/>
    <n v="0"/>
  </r>
  <r>
    <x v="12"/>
    <s v="H13-2"/>
    <s v="Existen campos de búsqueda restringido por secciones, en caso de tener cantidades grande de datos"/>
    <n v="5"/>
    <s v="Se cumple totalmente"/>
    <s v="NA"/>
    <s v="-"/>
    <s v="NA"/>
    <s v="-"/>
    <n v="0"/>
    <s v="No existe"/>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0" firstHeaderRow="1" firstDataRow="1" firstDataCol="0"/>
  <pivotFields count="12">
    <pivotField showAll="0" sortType="ascending">
      <items count="14">
        <item x="0"/>
        <item x="9"/>
        <item x="10"/>
        <item x="11"/>
        <item x="12"/>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s>
  <formats count="1">
    <format dxfId="8">
      <pivotArea dataOnly="0" labelOnly="1" grandRow="1" outline="0" fieldPosition="0"/>
    </format>
  </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bl_h1" displayName="tbl_h1" ref="B12:J26" totalsRowShown="0" headerRowDxfId="184" dataDxfId="183">
  <autoFilter ref="B12:J26"/>
  <tableColumns count="9">
    <tableColumn id="1" name="Código Sub-heurística" dataDxfId="182"/>
    <tableColumn id="2" name="Descripción de Heurística" dataDxfId="181"/>
    <tableColumn id="6" name="Valoracion Numerica" dataDxfId="180">
      <calculatedColumnFormula>VLOOKUP(tbl_h1[[#This Row],[Valoración]],Datos!$B$3:$C$8,2,FALSE)</calculatedColumnFormula>
    </tableColumn>
    <tableColumn id="3" name="Valoración" dataDxfId="179"/>
    <tableColumn id="7" name="Valoracion numerica severidad impacto" dataDxfId="178"/>
    <tableColumn id="4" name="Severidad del impacto" dataDxfId="177"/>
    <tableColumn id="8" name="Valoración numérica de persistencia de impacto" dataDxfId="176"/>
    <tableColumn id="5" name="Persistencia del impacto" dataDxfId="175"/>
    <tableColumn id="9" name="Observaciones" dataDxfId="174"/>
  </tableColumns>
  <tableStyleInfo name="TableStyleLight20" showFirstColumn="0" showLastColumn="0" showRowStripes="1" showColumnStripes="0"/>
</table>
</file>

<file path=xl/tables/table10.xml><?xml version="1.0" encoding="utf-8"?>
<table xmlns="http://schemas.openxmlformats.org/spreadsheetml/2006/main" id="44" name="tbl_h10" displayName="tbl_h10" ref="B12:J13" totalsRowShown="0" headerRowDxfId="107">
  <autoFilter ref="B12:J13"/>
  <tableColumns count="9">
    <tableColumn id="1" name="Código Sub-heurística"/>
    <tableColumn id="2" name="Descripción de Heurística" dataDxfId="106"/>
    <tableColumn id="6" name="Valoracion Numerica" dataDxfId="105">
      <calculatedColumnFormula>VLOOKUP(tbl_h10[[#This Row],[Valoración]],Datos!$B$3:$C$8,2,FALSE)</calculatedColumnFormula>
    </tableColumn>
    <tableColumn id="3" name="Valoración"/>
    <tableColumn id="7" name="Valoracion numerica severidad impacto" dataDxfId="104"/>
    <tableColumn id="4" name="Severidad del impacto"/>
    <tableColumn id="8" name="Valoración numérica de persistencia de impacto" dataDxfId="103"/>
    <tableColumn id="5" name="Persistencia del impacto"/>
    <tableColumn id="9" name="Observaciónes"/>
  </tableColumns>
  <tableStyleInfo name="TableStyleLight20" showFirstColumn="0" showLastColumn="0" showRowStripes="1" showColumnStripes="0"/>
</table>
</file>

<file path=xl/tables/table11.xml><?xml version="1.0" encoding="utf-8"?>
<table xmlns="http://schemas.openxmlformats.org/spreadsheetml/2006/main" id="45" name="tbl_h11" displayName="tbl_h11" ref="B12:J17" totalsRowShown="0" headerRowDxfId="102">
  <autoFilter ref="B12:J17"/>
  <tableColumns count="9">
    <tableColumn id="1" name="Código Sub-heurística" dataDxfId="101"/>
    <tableColumn id="2" name="Descripción de Heurística" dataDxfId="100"/>
    <tableColumn id="6" name="Valoracion Numerica" dataDxfId="99">
      <calculatedColumnFormula>VLOOKUP(tbl_h11[[#This Row],[Valoración]],Datos!$B$3:$C$8,2,FALSE)</calculatedColumnFormula>
    </tableColumn>
    <tableColumn id="3" name="Valoración"/>
    <tableColumn id="7" name="Valoracion numerica severidad impacto" dataDxfId="98"/>
    <tableColumn id="4" name="Severidad del impacto"/>
    <tableColumn id="8" name="Valoración numérica de persistencia de impacto" dataDxfId="97"/>
    <tableColumn id="5" name="Persistencia del impacto"/>
    <tableColumn id="9" name="Observaciónes"/>
  </tableColumns>
  <tableStyleInfo name="TableStyleLight20" showFirstColumn="0" showLastColumn="0" showRowStripes="1" showColumnStripes="0"/>
</table>
</file>

<file path=xl/tables/table12.xml><?xml version="1.0" encoding="utf-8"?>
<table xmlns="http://schemas.openxmlformats.org/spreadsheetml/2006/main" id="46" name="tbl_h12" displayName="tbl_h12" ref="B12:J18" totalsRowShown="0" headerRowDxfId="96">
  <autoFilter ref="B12:J18"/>
  <tableColumns count="9">
    <tableColumn id="1" name="Código Sub-heurística" dataDxfId="95"/>
    <tableColumn id="2" name="Descripción de Heurística" dataDxfId="94"/>
    <tableColumn id="6" name="Valoracion Numerica" dataDxfId="93">
      <calculatedColumnFormula>VLOOKUP(tbl_h12[[#This Row],[Valoración]],Datos!$B$3:$C$8,2,FALSE)</calculatedColumnFormula>
    </tableColumn>
    <tableColumn id="3" name="Valoración"/>
    <tableColumn id="7" name="Valoracion numerica severidad impacto" dataDxfId="92"/>
    <tableColumn id="4" name="Severidad del impacto"/>
    <tableColumn id="8" name="Valoración numérica de persistencia de impacto" dataDxfId="91"/>
    <tableColumn id="5" name="Persistencia del impacto"/>
    <tableColumn id="9" name="Observaciónes"/>
  </tableColumns>
  <tableStyleInfo name="TableStyleLight20" showFirstColumn="0" showLastColumn="0" showRowStripes="1" showColumnStripes="0"/>
</table>
</file>

<file path=xl/tables/table13.xml><?xml version="1.0" encoding="utf-8"?>
<table xmlns="http://schemas.openxmlformats.org/spreadsheetml/2006/main" id="47" name="tbl_h13" displayName="tbl_h13" ref="B12:J14" totalsRowShown="0" headerRowDxfId="90">
  <autoFilter ref="B12:J14"/>
  <tableColumns count="9">
    <tableColumn id="1" name="Código Sub-heurística" dataDxfId="89"/>
    <tableColumn id="2" name="Descripción de Heurística" dataDxfId="88"/>
    <tableColumn id="6" name="Valoracion Numerica" dataDxfId="87">
      <calculatedColumnFormula>VLOOKUP(tbl_h13[[#This Row],[Valoración]],Datos!$B$3:$C$8,2,FALSE)</calculatedColumnFormula>
    </tableColumn>
    <tableColumn id="3" name="Valoración"/>
    <tableColumn id="7" name="Valoracion numerica severidad impacto" dataDxfId="86">
      <calculatedColumnFormula>VLOOKUP(tbl_h13[[#This Row],[Severidad del impacto]],Datos!$E$3:$F$7,2,FALSE)</calculatedColumnFormula>
    </tableColumn>
    <tableColumn id="4" name="Severidad del impacto"/>
    <tableColumn id="8" name="Valoración numérica de persistencia de impacto" dataDxfId="85">
      <calculatedColumnFormula>VLOOKUP(tbl_h13[[#This Row],[Persistencia del impacto]],Datos!$H$3:$I$7,2,FALSE)</calculatedColumnFormula>
    </tableColumn>
    <tableColumn id="5" name="Persistencia del impacto"/>
    <tableColumn id="9" name="Observaciónes"/>
  </tableColumns>
  <tableStyleInfo name="TableStyleLight20" showFirstColumn="0" showLastColumn="0" showRowStripes="1" showColumnStripes="0"/>
</table>
</file>

<file path=xl/tables/table14.xml><?xml version="1.0" encoding="utf-8"?>
<table xmlns="http://schemas.openxmlformats.org/spreadsheetml/2006/main" id="2" name="Tabla2" displayName="Tabla2" ref="B2:H16" totalsRowShown="0" headerRowDxfId="84" dataDxfId="82" headerRowBorderDxfId="83" tableBorderDxfId="81" totalsRowBorderDxfId="80">
  <autoFilter ref="B2:H16"/>
  <tableColumns count="7">
    <tableColumn id="1" name="Principio heuristico" dataDxfId="79"/>
    <tableColumn id="2" name="No se cumple" dataDxfId="78"/>
    <tableColumn id="3" name="Probablemente no se cumple" dataDxfId="77"/>
    <tableColumn id="4" name="Medianamente se cumple" dataDxfId="76"/>
    <tableColumn id="5" name="Cumplido" dataDxfId="75"/>
    <tableColumn id="6" name="Se cumple totalmente" dataDxfId="74"/>
    <tableColumn id="7" name="Total de heuristicas evaluadas" dataDxfId="73"/>
  </tableColumns>
  <tableStyleInfo name="TableStyleLight2" showFirstColumn="0" showLastColumn="0" showRowStripes="1" showColumnStripes="0"/>
</table>
</file>

<file path=xl/tables/table15.xml><?xml version="1.0" encoding="utf-8"?>
<table xmlns="http://schemas.openxmlformats.org/spreadsheetml/2006/main" id="6" name="Tabla257" displayName="Tabla257" ref="B2:G16" totalsRowShown="0" headerRowDxfId="72" dataDxfId="70" headerRowBorderDxfId="71" tableBorderDxfId="69" totalsRowBorderDxfId="68">
  <autoFilter ref="B2:G16"/>
  <tableColumns count="6">
    <tableColumn id="1" name="Principio heuristico" dataDxfId="67"/>
    <tableColumn id="2" name="No se cumple" dataDxfId="66"/>
    <tableColumn id="3" name="Probablemente no se cumple" dataDxfId="65"/>
    <tableColumn id="4" name="Medianamente se cumple" dataDxfId="64"/>
    <tableColumn id="5" name="Cumplido" dataDxfId="63"/>
    <tableColumn id="6" name="Se cumple totalmente" dataDxfId="62"/>
  </tableColumns>
  <tableStyleInfo name="TableStyleLight2" showFirstColumn="0" showLastColumn="0" showRowStripes="1" showColumnStripes="0"/>
</table>
</file>

<file path=xl/tables/table16.xml><?xml version="1.0" encoding="utf-8"?>
<table xmlns="http://schemas.openxmlformats.org/spreadsheetml/2006/main" id="4" name="Tabla25" displayName="Tabla25" ref="B2:G16" totalsRowShown="0" headerRowDxfId="61" dataDxfId="59" headerRowBorderDxfId="60" tableBorderDxfId="58" totalsRowBorderDxfId="57">
  <autoFilter ref="B2:G16"/>
  <tableColumns count="6">
    <tableColumn id="1" name="Principio heuristico" dataDxfId="56"/>
    <tableColumn id="2" name="No se cumple" dataDxfId="55"/>
    <tableColumn id="3" name="Probablemente no se cumple" dataDxfId="54"/>
    <tableColumn id="4" name="Medianamente se cumple" dataDxfId="53">
      <calculatedColumnFormula>Tabla2[[#This Row],[Medianamente se cumple]]/'Resultados de cumplimiento'!$H$16</calculatedColumnFormula>
    </tableColumn>
    <tableColumn id="5" name="Cumplido" dataDxfId="52">
      <calculatedColumnFormula>Tabla2[[#This Row],[Cumplido]]/'Resultados de cumplimiento'!$H$16</calculatedColumnFormula>
    </tableColumn>
    <tableColumn id="6" name="Se cumple totalmente" dataDxfId="51">
      <calculatedColumnFormula>Tabla2[[#This Row],[Se cumple totalmente]]/'Resultados de cumplimiento'!$H$16</calculatedColumnFormula>
    </tableColumn>
  </tableColumns>
  <tableStyleInfo name="TableStyleLight2" showFirstColumn="0" showLastColumn="0" showRowStripes="1" showColumnStripes="0"/>
</table>
</file>

<file path=xl/tables/table17.xml><?xml version="1.0" encoding="utf-8"?>
<table xmlns="http://schemas.openxmlformats.org/spreadsheetml/2006/main" id="3" name="Tabla24" displayName="Tabla24" ref="B2:H16" totalsRowShown="0" headerRowDxfId="50" dataDxfId="48" headerRowBorderDxfId="49" tableBorderDxfId="47" totalsRowBorderDxfId="46">
  <autoFilter ref="B2:H16"/>
  <tableColumns count="7">
    <tableColumn id="1" name="Principio heuristico" dataDxfId="45"/>
    <tableColumn id="2" name="Problema minimo" dataDxfId="44"/>
    <tableColumn id="3" name="Problema cosmético" dataDxfId="43"/>
    <tableColumn id="4" name="Problema menor, arreglar con el tiempo y que son fáciles de hacerlo" dataDxfId="42"/>
    <tableColumn id="5" name="Problema mayor, importante arreglar" dataDxfId="41"/>
    <tableColumn id="6" name="Problema catastrófico, urgencia inmediata de arreglo" dataDxfId="40"/>
    <tableColumn id="7" name="Total de sub-heuristicas evaluadas" dataDxfId="39"/>
  </tableColumns>
  <tableStyleInfo name="TableStyleLight2" showFirstColumn="0" showLastColumn="0" showRowStripes="1" showColumnStripes="0"/>
</table>
</file>

<file path=xl/tables/table18.xml><?xml version="1.0" encoding="utf-8"?>
<table xmlns="http://schemas.openxmlformats.org/spreadsheetml/2006/main" id="7" name="Tabla248" displayName="Tabla248" ref="B2:G16" totalsRowShown="0" headerRowDxfId="38" dataDxfId="36" headerRowBorderDxfId="37" tableBorderDxfId="35" totalsRowBorderDxfId="34">
  <autoFilter ref="B2:G16"/>
  <tableColumns count="6">
    <tableColumn id="1" name="Principio heuristico" dataDxfId="33"/>
    <tableColumn id="2" name="Problema minimo" dataDxfId="32"/>
    <tableColumn id="3" name="Problema cosmético" dataDxfId="31">
      <calculatedColumnFormula>Tabla24[[#This Row],[Problema cosmético]]/'Resultados de impacto '!$D$16</calculatedColumnFormula>
    </tableColumn>
    <tableColumn id="4" name="Problema menor, arreglar con el tiempo y que son fáciles de hacerlo" dataDxfId="30"/>
    <tableColumn id="5" name="Problema mayor, importante arreglar" dataDxfId="29"/>
    <tableColumn id="6" name="Problema catastrófico, urgencia inmediata de arreglo" dataDxfId="28"/>
  </tableColumns>
  <tableStyleInfo name="TableStyleLight2" showFirstColumn="0" showLastColumn="0" showRowStripes="1" showColumnStripes="0"/>
</table>
</file>

<file path=xl/tables/table19.xml><?xml version="1.0" encoding="utf-8"?>
<table xmlns="http://schemas.openxmlformats.org/spreadsheetml/2006/main" id="8" name="Tabla2489" displayName="Tabla2489" ref="B2:G16" totalsRowShown="0" headerRowDxfId="27" dataDxfId="25" headerRowBorderDxfId="26" tableBorderDxfId="24" totalsRowBorderDxfId="23">
  <autoFilter ref="B2:G16"/>
  <tableColumns count="6">
    <tableColumn id="1" name="Principio heuristico" dataDxfId="22"/>
    <tableColumn id="2" name="Problema minimo" dataDxfId="21"/>
    <tableColumn id="3" name="Problema cosmético" dataDxfId="20"/>
    <tableColumn id="4" name="Problema menor, arreglar con el tiempo y que son fáciles de hacerlo" dataDxfId="19"/>
    <tableColumn id="5" name="Problema mayor, importante arreglar" dataDxfId="18"/>
    <tableColumn id="6" name="Problema catastrófico, urgencia inmediata de arreglo" dataDxfId="17"/>
  </tableColumns>
  <tableStyleInfo name="TableStyleLight2" showFirstColumn="0" showLastColumn="0" showRowStripes="1" showColumnStripes="0"/>
</table>
</file>

<file path=xl/tables/table2.xml><?xml version="1.0" encoding="utf-8"?>
<table xmlns="http://schemas.openxmlformats.org/spreadsheetml/2006/main" id="36" name="tbl_h2" displayName="tbl_h2" ref="B12:J27" totalsRowShown="0" headerRowDxfId="173" dataDxfId="172">
  <autoFilter ref="B12:J27"/>
  <tableColumns count="9">
    <tableColumn id="1" name="Código Sub-heurística" dataDxfId="171"/>
    <tableColumn id="2" name="Descripción de Heurística" dataDxfId="170"/>
    <tableColumn id="6" name="Valoracion Numerica" dataDxfId="169">
      <calculatedColumnFormula>VLOOKUP(tbl_h2[[#This Row],[Valoración]],Datos!$B$3:$C$8,2,FALSE)</calculatedColumnFormula>
    </tableColumn>
    <tableColumn id="3" name="Valoración" dataDxfId="168"/>
    <tableColumn id="7" name="Valoracion numerica severidad impacto" dataDxfId="167"/>
    <tableColumn id="4" name="Severidad del impacto" dataDxfId="166"/>
    <tableColumn id="8" name="Valoración numérica de persistencia de impacto" dataDxfId="165"/>
    <tableColumn id="5" name="Persistencia del impacto" dataDxfId="164"/>
    <tableColumn id="9" name="Observaciónes" dataDxfId="163"/>
  </tableColumns>
  <tableStyleInfo name="TableStyleLight20" showFirstColumn="0" showLastColumn="0" showRowStripes="1" showColumnStripes="0"/>
</table>
</file>

<file path=xl/tables/table20.xml><?xml version="1.0" encoding="utf-8"?>
<table xmlns="http://schemas.openxmlformats.org/spreadsheetml/2006/main" id="9" name="tbl_consolidado" displayName="tbl_consolidado" ref="B3:M117" totalsRowShown="0" headerRowDxfId="16">
  <autoFilter ref="B3:M117"/>
  <tableColumns count="12">
    <tableColumn id="1" name="Codigo de Heuristica" dataDxfId="15"/>
    <tableColumn id="2" name="Código Sub-heurística" dataDxfId="14"/>
    <tableColumn id="3" name="Descripción de Heurística"/>
    <tableColumn id="4" name="Valoracion Numerica" dataDxfId="13"/>
    <tableColumn id="5" name="Valoración"/>
    <tableColumn id="6" name="Valoracion numerica severidad impacto" dataDxfId="12"/>
    <tableColumn id="7" name="Severidad del impacto"/>
    <tableColumn id="8" name="Valoración numérica de persistencia de impacto" dataDxfId="11"/>
    <tableColumn id="9" name="Persistencia del impacto"/>
    <tableColumn id="12" name="Valoracion de impacto" dataDxfId="10">
      <calculatedColumnFormula xml:space="preserve"> IF(tbl_consolidado[[#This Row],[Valoracion Numerica]]=5,0,   IFERROR(0.5*(tbl_consolidado[[#This Row],[Valoracion numerica severidad impacto]]+tbl_consolidado[[#This Row],[Valoración numérica de persistencia de impacto]]+2),""))</calculatedColumnFormula>
    </tableColumn>
    <tableColumn id="11" name="Impacto" dataDxfId="9">
      <calculatedColumnFormula>IF(tbl_consolidado[[#This Row],[Valoracion de impacto]]=0,"No existe",IF(K4&lt;&gt;"",IF(K4&lt;=1,Datos!$L$4,IF(AND(K4&gt;1,K4&lt;=2),Datos!$L$5,IF(AND(K4&gt;2,K4&lt;=3),Datos!$L$6,IF(AND(K4&gt;3,K4&lt;=4),Datos!$L$7,IF(K4&gt;4,Datos!$L$8,""))))),""))</calculatedColumnFormula>
    </tableColumn>
    <tableColumn id="10" name="Observaciones"/>
  </tableColumns>
  <tableStyleInfo name="TableStyleLight16" showFirstColumn="0" showLastColumn="0" showRowStripes="1" showColumnStripes="0"/>
</table>
</file>

<file path=xl/tables/table3.xml><?xml version="1.0" encoding="utf-8"?>
<table xmlns="http://schemas.openxmlformats.org/spreadsheetml/2006/main" id="37" name="tbl_h3" displayName="tbl_h3" ref="B12:J24" totalsRowShown="0" headerRowDxfId="162">
  <autoFilter ref="B12:J24"/>
  <tableColumns count="9">
    <tableColumn id="1" name="Código Sub-heurística" dataDxfId="161"/>
    <tableColumn id="2" name="Descripción de Heurística" dataDxfId="160"/>
    <tableColumn id="6" name="Valoracion Numerica" dataDxfId="159">
      <calculatedColumnFormula>VLOOKUP(tbl_h3[[#This Row],[Valoración]],Datos!$B$3:$C$8,2,FALSE)</calculatedColumnFormula>
    </tableColumn>
    <tableColumn id="3" name="Valoración"/>
    <tableColumn id="7" name="Valoracion numerica severidad impacto" dataDxfId="158"/>
    <tableColumn id="4" name="Severidad del impacto"/>
    <tableColumn id="8" name="Valoración numérica de persistencia de impacto" dataDxfId="157"/>
    <tableColumn id="5" name="Persistencia del impacto"/>
    <tableColumn id="9" name="Observaciónes"/>
  </tableColumns>
  <tableStyleInfo name="TableStyleLight20" showFirstColumn="0" showLastColumn="0" showRowStripes="1" showColumnStripes="0"/>
</table>
</file>

<file path=xl/tables/table4.xml><?xml version="1.0" encoding="utf-8"?>
<table xmlns="http://schemas.openxmlformats.org/spreadsheetml/2006/main" id="38" name="tbl_h4" displayName="tbl_h4" ref="B12:J30" totalsRowShown="0" headerRowDxfId="156" dataDxfId="155">
  <autoFilter ref="B12:J30"/>
  <tableColumns count="9">
    <tableColumn id="1" name="Código Sub-heurística" dataDxfId="154"/>
    <tableColumn id="2" name="Descripción de Heurística" dataDxfId="153"/>
    <tableColumn id="6" name="Valoracion Numerica" dataDxfId="152">
      <calculatedColumnFormula>VLOOKUP(tbl_h4[[#This Row],[Valoración]],Datos!$B$3:$C$8,2,FALSE)</calculatedColumnFormula>
    </tableColumn>
    <tableColumn id="3" name="Valoración" dataDxfId="151"/>
    <tableColumn id="7" name="Valoracion numerica severidad impacto" dataDxfId="150"/>
    <tableColumn id="4" name="Severidad del impacto" dataDxfId="149"/>
    <tableColumn id="8" name="Valoración numérica de persistencia de impacto" dataDxfId="148"/>
    <tableColumn id="5" name="Persistencia del impacto" dataDxfId="147"/>
    <tableColumn id="9" name="Observaciónes" dataDxfId="146"/>
  </tableColumns>
  <tableStyleInfo name="TableStyleLight20" showFirstColumn="0" showLastColumn="0" showRowStripes="1" showColumnStripes="0"/>
</table>
</file>

<file path=xl/tables/table5.xml><?xml version="1.0" encoding="utf-8"?>
<table xmlns="http://schemas.openxmlformats.org/spreadsheetml/2006/main" id="39" name="tbl_h5" displayName="tbl_h5" ref="B12:J17" totalsRowShown="0" headerRowDxfId="145" dataDxfId="144">
  <autoFilter ref="B12:J17"/>
  <tableColumns count="9">
    <tableColumn id="1" name="Código Sub-heurística" dataDxfId="143"/>
    <tableColumn id="2" name="Descripción de Heurística" dataDxfId="142"/>
    <tableColumn id="6" name="Valoracion Numerica" dataDxfId="141">
      <calculatedColumnFormula>VLOOKUP(tbl_h5[[#This Row],[Valoración]],Datos!$B$3:$C$8,2,FALSE)</calculatedColumnFormula>
    </tableColumn>
    <tableColumn id="3" name="Valoración" dataDxfId="7"/>
    <tableColumn id="7" name="Valoracion numerica severidad impacto" dataDxfId="6"/>
    <tableColumn id="4" name="Severidad del impacto" dataDxfId="5"/>
    <tableColumn id="8" name="Valoración numérica de persistencia de impacto" dataDxfId="4"/>
    <tableColumn id="5" name="Persistencia del impacto" dataDxfId="3"/>
    <tableColumn id="9" name="Observaciónes" dataDxfId="140"/>
  </tableColumns>
  <tableStyleInfo name="TableStyleLight20" showFirstColumn="0" showLastColumn="0" showRowStripes="1" showColumnStripes="0"/>
</table>
</file>

<file path=xl/tables/table6.xml><?xml version="1.0" encoding="utf-8"?>
<table xmlns="http://schemas.openxmlformats.org/spreadsheetml/2006/main" id="40" name="tbl_h6" displayName="tbl_h6" ref="B12:J17" totalsRowShown="0" headerRowDxfId="139">
  <autoFilter ref="B12:J17"/>
  <tableColumns count="9">
    <tableColumn id="1" name="Código Sub-heurística"/>
    <tableColumn id="2" name="Descripción de Heurística" dataDxfId="138"/>
    <tableColumn id="6" name="Valoracion Numerica" dataDxfId="137">
      <calculatedColumnFormula>VLOOKUP(tbl_h6[[#This Row],[Valoración]],Datos!$B$3:$C$8,2,FALSE)</calculatedColumnFormula>
    </tableColumn>
    <tableColumn id="3" name="Valoración"/>
    <tableColumn id="7" name="Valoracion numerica severidad impacto" dataDxfId="136"/>
    <tableColumn id="4" name="Severidad del impacto"/>
    <tableColumn id="8" name="Valoración numérica de persistencia de impacto" dataDxfId="135"/>
    <tableColumn id="5" name="Persistencia del impacto"/>
    <tableColumn id="9" name="Observaciónes"/>
  </tableColumns>
  <tableStyleInfo name="TableStyleLight20" showFirstColumn="0" showLastColumn="0" showRowStripes="1" showColumnStripes="0"/>
</table>
</file>

<file path=xl/tables/table7.xml><?xml version="1.0" encoding="utf-8"?>
<table xmlns="http://schemas.openxmlformats.org/spreadsheetml/2006/main" id="41" name="tbl_h7" displayName="tbl_h7" ref="B12:J31" totalsRowShown="0" headerRowDxfId="134">
  <autoFilter ref="B12:J31"/>
  <tableColumns count="9">
    <tableColumn id="1" name="Código Sub-heurística"/>
    <tableColumn id="2" name="Descripción de Heurística" dataDxfId="133"/>
    <tableColumn id="6" name="Valoracion Numerica" dataDxfId="132">
      <calculatedColumnFormula>VLOOKUP(tbl_h7[[#This Row],[Valoración]],Datos!$B$3:$C$8,2,FALSE)</calculatedColumnFormula>
    </tableColumn>
    <tableColumn id="3" name="Valoración"/>
    <tableColumn id="7" name="Valoracion numerica severidad impacto" dataDxfId="131"/>
    <tableColumn id="4" name="Severidad del impacto"/>
    <tableColumn id="8" name="Valoración numérica de persistencia de impacto" dataDxfId="130"/>
    <tableColumn id="5" name="Persistencia del impacto"/>
    <tableColumn id="9" name="Observaciónes"/>
  </tableColumns>
  <tableStyleInfo name="TableStyleLight20" showFirstColumn="0" showLastColumn="0" showRowStripes="1" showColumnStripes="0"/>
</table>
</file>

<file path=xl/tables/table8.xml><?xml version="1.0" encoding="utf-8"?>
<table xmlns="http://schemas.openxmlformats.org/spreadsheetml/2006/main" id="42" name="tbl_h8" displayName="tbl_h8" ref="B12:J15" totalsRowShown="0" headerRowDxfId="129" dataDxfId="128">
  <autoFilter ref="B12:J15"/>
  <tableColumns count="9">
    <tableColumn id="1" name="Código Sub-heurística" dataDxfId="127"/>
    <tableColumn id="2" name="Descripción de Heurística" dataDxfId="126"/>
    <tableColumn id="6" name="Valoracion Numerica" dataDxfId="125">
      <calculatedColumnFormula>VLOOKUP(tbl_h8[[#This Row],[Valoración]],Datos!$B$3:$C$8,2,FALSE)</calculatedColumnFormula>
    </tableColumn>
    <tableColumn id="3" name="Valoración" dataDxfId="124"/>
    <tableColumn id="7" name="Valoracion numerica severidad impacto" dataDxfId="123"/>
    <tableColumn id="4" name="Severidad del impacto" dataDxfId="122"/>
    <tableColumn id="8" name="Valoración numérica de persistencia de impacto" dataDxfId="121"/>
    <tableColumn id="5" name="Persistencia del impacto" dataDxfId="120"/>
    <tableColumn id="9" name="Observaciónes" dataDxfId="119"/>
  </tableColumns>
  <tableStyleInfo name="TableStyleLight20" showFirstColumn="0" showLastColumn="0" showRowStripes="1" showColumnStripes="0"/>
</table>
</file>

<file path=xl/tables/table9.xml><?xml version="1.0" encoding="utf-8"?>
<table xmlns="http://schemas.openxmlformats.org/spreadsheetml/2006/main" id="43" name="tbl_h9" displayName="tbl_h9" ref="B12:J21" totalsRowShown="0" headerRowDxfId="118" dataDxfId="117">
  <autoFilter ref="B12:J21"/>
  <tableColumns count="9">
    <tableColumn id="1" name="Código Sub-heurística" dataDxfId="116"/>
    <tableColumn id="2" name="Descripción de Heurística" dataDxfId="115"/>
    <tableColumn id="6" name="Valoracion Numerica" dataDxfId="114">
      <calculatedColumnFormula>VLOOKUP(tbl_h9[[#This Row],[Valoración]],Datos!$B$3:$C$8,2,FALSE)</calculatedColumnFormula>
    </tableColumn>
    <tableColumn id="3" name="Valoración" dataDxfId="113"/>
    <tableColumn id="7" name="Valoracion numerica severidad impacto" dataDxfId="112"/>
    <tableColumn id="4" name="Severidad del impacto" dataDxfId="111"/>
    <tableColumn id="8" name="Valoración numérica de persistencia de impacto" dataDxfId="110"/>
    <tableColumn id="5" name="Persistencia del impacto" dataDxfId="109"/>
    <tableColumn id="9" name="Observaciónes" dataDxfId="108"/>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selection activeCell="L4" sqref="L4:L8"/>
    </sheetView>
  </sheetViews>
  <sheetFormatPr baseColWidth="10" defaultColWidth="11.42578125" defaultRowHeight="15" x14ac:dyDescent="0.25"/>
  <cols>
    <col min="1" max="1" width="16.85546875" bestFit="1" customWidth="1"/>
    <col min="2" max="2" width="27.42578125" bestFit="1" customWidth="1"/>
    <col min="3" max="4" width="16.85546875" bestFit="1" customWidth="1"/>
    <col min="5" max="5" width="21.28515625" customWidth="1"/>
    <col min="6" max="6" width="16.85546875" bestFit="1" customWidth="1"/>
    <col min="7" max="7" width="20.28515625" customWidth="1"/>
    <col min="8" max="8" width="15.7109375" bestFit="1" customWidth="1"/>
    <col min="11" max="11" width="10.7109375" bestFit="1" customWidth="1"/>
    <col min="12" max="12" width="32.28515625" customWidth="1"/>
  </cols>
  <sheetData>
    <row r="1" spans="1:12" ht="18.75" x14ac:dyDescent="0.3">
      <c r="A1" s="71" t="s">
        <v>0</v>
      </c>
      <c r="B1" s="71"/>
      <c r="C1" s="71"/>
      <c r="E1" s="72" t="s">
        <v>1</v>
      </c>
      <c r="F1" s="72"/>
      <c r="H1" s="71" t="s">
        <v>2</v>
      </c>
      <c r="I1" s="71"/>
      <c r="K1" s="70" t="s">
        <v>3</v>
      </c>
      <c r="L1" s="70"/>
    </row>
    <row r="2" spans="1:12" x14ac:dyDescent="0.25">
      <c r="A2" s="68"/>
      <c r="B2" s="68" t="s">
        <v>4</v>
      </c>
      <c r="C2" s="68" t="s">
        <v>5</v>
      </c>
      <c r="E2" s="68" t="s">
        <v>4</v>
      </c>
      <c r="F2" s="68" t="s">
        <v>5</v>
      </c>
      <c r="H2" s="68" t="s">
        <v>4</v>
      </c>
      <c r="I2" s="68" t="s">
        <v>5</v>
      </c>
      <c r="K2" s="68" t="s">
        <v>4</v>
      </c>
      <c r="L2" s="68" t="s">
        <v>6</v>
      </c>
    </row>
    <row r="3" spans="1:12" x14ac:dyDescent="0.25">
      <c r="A3" s="19"/>
      <c r="B3" s="68" t="s">
        <v>7</v>
      </c>
      <c r="C3" s="19" t="s">
        <v>8</v>
      </c>
      <c r="E3" s="68" t="s">
        <v>7</v>
      </c>
      <c r="F3" s="19" t="s">
        <v>8</v>
      </c>
      <c r="H3" s="68" t="s">
        <v>7</v>
      </c>
      <c r="I3" s="19" t="s">
        <v>8</v>
      </c>
    </row>
    <row r="4" spans="1:12" x14ac:dyDescent="0.25">
      <c r="A4" s="1"/>
      <c r="B4" s="8" t="s">
        <v>9</v>
      </c>
      <c r="C4" s="1">
        <v>1</v>
      </c>
      <c r="E4" s="1" t="s">
        <v>10</v>
      </c>
      <c r="F4" s="1">
        <v>1</v>
      </c>
      <c r="H4" s="13" t="s">
        <v>11</v>
      </c>
      <c r="I4" s="2">
        <v>1</v>
      </c>
      <c r="K4">
        <v>1</v>
      </c>
      <c r="L4" s="13" t="s">
        <v>12</v>
      </c>
    </row>
    <row r="5" spans="1:12" x14ac:dyDescent="0.25">
      <c r="A5" s="1"/>
      <c r="B5" s="8" t="s">
        <v>13</v>
      </c>
      <c r="C5" s="1">
        <v>2</v>
      </c>
      <c r="E5" s="1" t="s">
        <v>14</v>
      </c>
      <c r="F5" s="1">
        <v>2</v>
      </c>
      <c r="H5" s="13" t="s">
        <v>10</v>
      </c>
      <c r="I5" s="2">
        <v>2</v>
      </c>
      <c r="K5">
        <v>2</v>
      </c>
      <c r="L5" s="13" t="s">
        <v>15</v>
      </c>
    </row>
    <row r="6" spans="1:12" ht="30" x14ac:dyDescent="0.25">
      <c r="A6" s="1"/>
      <c r="B6" s="8" t="s">
        <v>16</v>
      </c>
      <c r="C6" s="1">
        <v>3</v>
      </c>
      <c r="E6" s="1" t="s">
        <v>17</v>
      </c>
      <c r="F6" s="1">
        <v>3</v>
      </c>
      <c r="H6" s="13" t="s">
        <v>17</v>
      </c>
      <c r="I6" s="2">
        <v>3</v>
      </c>
      <c r="K6">
        <v>3</v>
      </c>
      <c r="L6" s="13" t="s">
        <v>18</v>
      </c>
    </row>
    <row r="7" spans="1:12" ht="30" x14ac:dyDescent="0.25">
      <c r="A7" s="1"/>
      <c r="B7" s="8" t="s">
        <v>19</v>
      </c>
      <c r="C7" s="1">
        <v>4</v>
      </c>
      <c r="E7" s="1" t="s">
        <v>20</v>
      </c>
      <c r="F7" s="1">
        <v>4</v>
      </c>
      <c r="H7" s="15" t="s">
        <v>21</v>
      </c>
      <c r="I7" s="14">
        <v>4</v>
      </c>
      <c r="K7">
        <v>4</v>
      </c>
      <c r="L7" s="13" t="s">
        <v>22</v>
      </c>
    </row>
    <row r="8" spans="1:12" ht="30" x14ac:dyDescent="0.25">
      <c r="A8" s="1"/>
      <c r="B8" s="8" t="s">
        <v>23</v>
      </c>
      <c r="C8" s="1">
        <v>5</v>
      </c>
      <c r="K8">
        <v>5</v>
      </c>
      <c r="L8" s="15" t="s">
        <v>24</v>
      </c>
    </row>
  </sheetData>
  <mergeCells count="4">
    <mergeCell ref="K1:L1"/>
    <mergeCell ref="A1:C1"/>
    <mergeCell ref="E1:F1"/>
    <mergeCell ref="H1:I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topLeftCell="B1"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248</v>
      </c>
      <c r="D4" s="16"/>
      <c r="G4" s="9" t="s">
        <v>37</v>
      </c>
      <c r="H4" s="9"/>
      <c r="I4" s="21" t="str">
        <f>IFERROR(AVERAGEIF(tbl_h8[Valoracion Numerica],"&lt;&gt;NA"),"")</f>
        <v/>
      </c>
      <c r="J4" s="10" t="str">
        <f>_xlfn.IFNA(INDEX(Datos!B4:C8,MATCH('H8. Flexibilidad y eficiencia'!I4,Datos!C4:C8),1),"")</f>
        <v/>
      </c>
    </row>
    <row r="5" spans="2:10" x14ac:dyDescent="0.25">
      <c r="B5" s="9" t="s">
        <v>38</v>
      </c>
      <c r="C5" s="10" t="s">
        <v>249</v>
      </c>
      <c r="D5" s="16"/>
      <c r="G5" s="9" t="s">
        <v>40</v>
      </c>
      <c r="H5" s="9"/>
      <c r="I5" s="21" t="str">
        <f>IFERROR(AVERAGEIF(tbl_h8[Valoracion numerica severidad impacto],"&lt;&gt;NA"),"")</f>
        <v/>
      </c>
      <c r="J5" s="10" t="str">
        <f>_xlfn.IFNA(INDEX(Datos!E4:F7,MATCH('H8. Flexibilidad y eficiencia'!I5,Datos!F4:F7),1),"")</f>
        <v/>
      </c>
    </row>
    <row r="6" spans="2:10" x14ac:dyDescent="0.25">
      <c r="B6" s="75" t="s">
        <v>41</v>
      </c>
      <c r="C6" s="77" t="s">
        <v>250</v>
      </c>
      <c r="D6" s="17"/>
      <c r="G6" s="9" t="s">
        <v>43</v>
      </c>
      <c r="H6" s="9"/>
      <c r="I6" s="21" t="str">
        <f>IFERROR(AVERAGEIF(tbl_h8[Valoración numérica de persistencia de impacto],"&lt;&gt;NA"),"")</f>
        <v/>
      </c>
      <c r="J6" s="10" t="str">
        <f>_xlfn.IFNA(INDEX(Datos!H4:I7,MATCH('H8. Flexibilidad y eficiencia'!I6,Datos!I4:I7),1),"")</f>
        <v/>
      </c>
    </row>
    <row r="7" spans="2:10" ht="36" customHeight="1" x14ac:dyDescent="0.25">
      <c r="B7" s="75"/>
      <c r="C7" s="77"/>
      <c r="D7" s="17"/>
      <c r="G7" s="69" t="s">
        <v>44</v>
      </c>
      <c r="H7" s="22"/>
      <c r="I7" s="23" t="str">
        <f xml:space="preserve"> IF(AND(I5&lt;&gt;"",I6&lt;&gt;""), (I5+I6+2)*0.5,"")</f>
        <v/>
      </c>
      <c r="J7" s="24" t="str">
        <f>IF(I7&lt;&gt;"",IF(I7&lt;=1,Datos!L4,IF(AND('H8. Flexibilidad y eficiencia'!I7&gt;1,'H8. Flexibilidad y eficiencia'!I7&lt;=2),Datos!L5,IF(AND('H8. Flexibilidad y eficiencia'!I7&gt;2,'H8. Flexibilidad y eficiencia'!I7&lt;=3),Datos!L6,IF(AND('H8. Flexibilidad y eficiencia'!I7&gt;3,'H8. Flexibilidad y eficiencia'!I7&lt;=4),Datos!L7,IF('H8. Flexibilidad y eficiencia'!I7&gt;4,Datos!L8,""))))),"")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251</v>
      </c>
      <c r="C13" s="18" t="s">
        <v>252</v>
      </c>
      <c r="D13" s="11" t="str">
        <f>VLOOKUP(tbl_h8[[#This Row],[Valoración]],Datos!$B$3:$C$8,2,FALSE)</f>
        <v>NA</v>
      </c>
      <c r="E13" t="s">
        <v>7</v>
      </c>
      <c r="G13" t="s">
        <v>7</v>
      </c>
      <c r="I13" t="s">
        <v>7</v>
      </c>
      <c r="J13" s="8"/>
    </row>
    <row r="14" spans="2:10" ht="30" x14ac:dyDescent="0.25">
      <c r="B14" s="1" t="s">
        <v>253</v>
      </c>
      <c r="C14" s="18" t="s">
        <v>254</v>
      </c>
      <c r="D14" s="11" t="str">
        <f>VLOOKUP(tbl_h8[[#This Row],[Valoración]],Datos!$B$3:$C$8,2,FALSE)</f>
        <v>NA</v>
      </c>
      <c r="E14" t="s">
        <v>7</v>
      </c>
      <c r="G14" t="s">
        <v>7</v>
      </c>
      <c r="I14" t="s">
        <v>7</v>
      </c>
      <c r="J14" s="8"/>
    </row>
    <row r="15" spans="2:10" ht="30" x14ac:dyDescent="0.25">
      <c r="B15" s="1" t="s">
        <v>255</v>
      </c>
      <c r="C15" s="18" t="s">
        <v>256</v>
      </c>
      <c r="D15" s="11" t="str">
        <f>VLOOKUP(tbl_h8[[#This Row],[Valoración]],Datos!$B$3:$C$8,2,FALSE)</f>
        <v>NA</v>
      </c>
      <c r="E15" t="s">
        <v>7</v>
      </c>
      <c r="G15" t="s">
        <v>7</v>
      </c>
      <c r="I15" t="s">
        <v>7</v>
      </c>
      <c r="J15" s="8"/>
    </row>
    <row r="16" spans="2:10" x14ac:dyDescent="0.25">
      <c r="C16" s="11"/>
      <c r="D16" s="11"/>
    </row>
    <row r="17" spans="3:4" x14ac:dyDescent="0.25">
      <c r="C17" s="11"/>
      <c r="D17" s="11"/>
    </row>
    <row r="18" spans="3:4" x14ac:dyDescent="0.25">
      <c r="C18" s="11"/>
      <c r="D18" s="11"/>
    </row>
    <row r="19" spans="3:4" x14ac:dyDescent="0.25">
      <c r="C19" s="11"/>
      <c r="D19" s="11"/>
    </row>
    <row r="20" spans="3:4" x14ac:dyDescent="0.25">
      <c r="C20" s="11"/>
      <c r="D20" s="11"/>
    </row>
    <row r="21" spans="3:4" x14ac:dyDescent="0.25">
      <c r="C21" s="11"/>
      <c r="D21" s="11"/>
    </row>
    <row r="22" spans="3:4" x14ac:dyDescent="0.25">
      <c r="C22" s="11"/>
      <c r="D22" s="11"/>
    </row>
    <row r="23" spans="3:4" x14ac:dyDescent="0.25">
      <c r="C23" s="11"/>
      <c r="D23" s="11"/>
    </row>
    <row r="24" spans="3:4" x14ac:dyDescent="0.25">
      <c r="C24" s="11"/>
      <c r="D24" s="11"/>
    </row>
    <row r="25" spans="3:4" x14ac:dyDescent="0.25">
      <c r="C25" s="11"/>
      <c r="D25" s="11"/>
    </row>
    <row r="26" spans="3:4"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G13:G15</xm:sqref>
        </x14:dataValidation>
        <x14:dataValidation type="list" allowBlank="1" showInputMessage="1" showErrorMessage="1">
          <x14:formula1>
            <xm:f>Datos!$B$3:$B$8</xm:f>
          </x14:formula1>
          <xm:sqref>E13:E15</xm:sqref>
        </x14:dataValidation>
        <x14:dataValidation type="list" allowBlank="1" showInputMessage="1" showErrorMessage="1">
          <x14:formula1>
            <xm:f>Datos!$H$3:$H$7</xm:f>
          </x14:formula1>
          <xm:sqref>I13:I15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topLeftCell="B1"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257</v>
      </c>
      <c r="D4" s="16"/>
      <c r="G4" s="9" t="s">
        <v>37</v>
      </c>
      <c r="H4" s="9"/>
      <c r="I4" s="21" t="str">
        <f>IFERROR(AVERAGEIF(tbl_h9[Valoracion Numerica],"&lt;&gt;NA"),"")</f>
        <v/>
      </c>
      <c r="J4" s="10" t="str">
        <f>_xlfn.IFNA(INDEX(Datos!B4:C8,MATCH('H9. Diseno minimalista'!I4,Datos!C4:C8),1),"")</f>
        <v/>
      </c>
    </row>
    <row r="5" spans="2:10" x14ac:dyDescent="0.25">
      <c r="B5" s="9" t="s">
        <v>38</v>
      </c>
      <c r="C5" s="10" t="s">
        <v>258</v>
      </c>
      <c r="D5" s="16"/>
      <c r="G5" s="9" t="s">
        <v>40</v>
      </c>
      <c r="H5" s="9"/>
      <c r="I5" s="21" t="str">
        <f>IFERROR(AVERAGEIF(tbl_h9[Valoracion numerica severidad impacto],"&lt;&gt;NA"),"")</f>
        <v/>
      </c>
      <c r="J5" s="10" t="str">
        <f>_xlfn.IFNA(INDEX(Datos!E4:F7,MATCH('H9. Diseno minimalista'!I5,Datos!F4:F7),1),"")</f>
        <v/>
      </c>
    </row>
    <row r="6" spans="2:10" x14ac:dyDescent="0.25">
      <c r="B6" s="75" t="s">
        <v>41</v>
      </c>
      <c r="C6" s="77" t="s">
        <v>259</v>
      </c>
      <c r="D6" s="17"/>
      <c r="G6" s="9" t="s">
        <v>43</v>
      </c>
      <c r="H6" s="9"/>
      <c r="I6" s="21" t="str">
        <f>IFERROR(AVERAGEIF(tbl_h9[Valoración numérica de persistencia de impacto],"&lt;&gt;NA"),"")</f>
        <v/>
      </c>
      <c r="J6" s="10" t="str">
        <f>_xlfn.IFNA(INDEX(Datos!H4:I7,MATCH('H9. Diseno minimalista'!I6,Datos!I4:I7),1),"")</f>
        <v/>
      </c>
    </row>
    <row r="7" spans="2:10" ht="37.5" customHeight="1" x14ac:dyDescent="0.25">
      <c r="B7" s="75"/>
      <c r="C7" s="77"/>
      <c r="D7" s="17"/>
      <c r="G7" s="69" t="s">
        <v>44</v>
      </c>
      <c r="H7" s="22"/>
      <c r="I7" s="23" t="str">
        <f xml:space="preserve"> IF(AND(I5&lt;&gt;"",I6&lt;&gt;""), (I5+I6+2)*0.5,"")</f>
        <v/>
      </c>
      <c r="J7" s="24" t="str">
        <f>IF(I7&lt;&gt;"",IF(I7&lt;=1,Datos!L4,IF(AND('H9. Diseno minimalista'!I7&gt;1,'H9. Diseno minimalista'!I7&lt;=2),Datos!L5,IF(AND('H9. Diseno minimalista'!I7&gt;2,'H9. Diseno minimalista'!I7&lt;=3),Datos!L6,IF(AND('H9. Diseno minimalista'!I7&gt;3,'H9. Diseno minimalista'!I7&lt;=4),Datos!L7,IF('H9. Diseno minimalista'!I7&gt;4,Datos!L8,""))))),"")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260</v>
      </c>
      <c r="C13" s="18" t="s">
        <v>261</v>
      </c>
      <c r="D13" s="11" t="str">
        <f>VLOOKUP(tbl_h9[[#This Row],[Valoración]],Datos!$B$3:$C$8,2,FALSE)</f>
        <v>NA</v>
      </c>
      <c r="E13" t="s">
        <v>7</v>
      </c>
      <c r="G13" t="s">
        <v>7</v>
      </c>
      <c r="I13" t="s">
        <v>7</v>
      </c>
      <c r="J13" s="8"/>
    </row>
    <row r="14" spans="2:10" ht="30" x14ac:dyDescent="0.25">
      <c r="B14" s="1" t="s">
        <v>262</v>
      </c>
      <c r="C14" s="18" t="s">
        <v>263</v>
      </c>
      <c r="D14" s="11" t="str">
        <f>VLOOKUP(tbl_h9[[#This Row],[Valoración]],Datos!$B$3:$C$8,2,FALSE)</f>
        <v>NA</v>
      </c>
      <c r="E14" t="s">
        <v>7</v>
      </c>
      <c r="G14" t="s">
        <v>7</v>
      </c>
      <c r="I14" t="s">
        <v>7</v>
      </c>
      <c r="J14" s="8"/>
    </row>
    <row r="15" spans="2:10" x14ac:dyDescent="0.25">
      <c r="B15" s="1" t="s">
        <v>264</v>
      </c>
      <c r="C15" s="18" t="s">
        <v>265</v>
      </c>
      <c r="D15" s="11" t="str">
        <f>VLOOKUP(tbl_h9[[#This Row],[Valoración]],Datos!$B$3:$C$8,2,FALSE)</f>
        <v>NA</v>
      </c>
      <c r="E15" t="s">
        <v>7</v>
      </c>
      <c r="G15" t="s">
        <v>7</v>
      </c>
      <c r="I15" t="s">
        <v>7</v>
      </c>
      <c r="J15" s="8"/>
    </row>
    <row r="16" spans="2:10" x14ac:dyDescent="0.25">
      <c r="B16" s="1" t="s">
        <v>266</v>
      </c>
      <c r="C16" s="18" t="s">
        <v>267</v>
      </c>
      <c r="D16" s="18" t="str">
        <f>VLOOKUP(tbl_h9[[#This Row],[Valoración]],Datos!$B$3:$C$8,2,FALSE)</f>
        <v>NA</v>
      </c>
      <c r="E16" t="s">
        <v>7</v>
      </c>
      <c r="G16" t="s">
        <v>7</v>
      </c>
      <c r="I16" t="s">
        <v>7</v>
      </c>
      <c r="J16" s="8"/>
    </row>
    <row r="17" spans="2:10" ht="30" x14ac:dyDescent="0.25">
      <c r="B17" s="1" t="s">
        <v>268</v>
      </c>
      <c r="C17" s="18" t="s">
        <v>269</v>
      </c>
      <c r="D17" s="18" t="str">
        <f>VLOOKUP(tbl_h9[[#This Row],[Valoración]],Datos!$B$3:$C$8,2,FALSE)</f>
        <v>NA</v>
      </c>
      <c r="E17" t="s">
        <v>7</v>
      </c>
      <c r="G17" t="s">
        <v>7</v>
      </c>
      <c r="I17" t="s">
        <v>7</v>
      </c>
      <c r="J17" s="8"/>
    </row>
    <row r="18" spans="2:10" ht="30" x14ac:dyDescent="0.25">
      <c r="B18" s="1" t="s">
        <v>270</v>
      </c>
      <c r="C18" s="18" t="s">
        <v>271</v>
      </c>
      <c r="D18" s="18" t="str">
        <f>VLOOKUP(tbl_h9[[#This Row],[Valoración]],Datos!$B$3:$C$8,2,FALSE)</f>
        <v>NA</v>
      </c>
      <c r="E18" t="s">
        <v>7</v>
      </c>
      <c r="G18" t="s">
        <v>7</v>
      </c>
      <c r="I18" t="s">
        <v>7</v>
      </c>
      <c r="J18" s="8"/>
    </row>
    <row r="19" spans="2:10" ht="30" x14ac:dyDescent="0.25">
      <c r="B19" s="1" t="s">
        <v>272</v>
      </c>
      <c r="C19" s="18" t="s">
        <v>273</v>
      </c>
      <c r="D19" s="18" t="str">
        <f>VLOOKUP(tbl_h9[[#This Row],[Valoración]],Datos!$B$3:$C$8,2,FALSE)</f>
        <v>NA</v>
      </c>
      <c r="E19" t="s">
        <v>7</v>
      </c>
      <c r="G19" t="s">
        <v>7</v>
      </c>
      <c r="I19" t="s">
        <v>7</v>
      </c>
      <c r="J19" s="8"/>
    </row>
    <row r="20" spans="2:10" x14ac:dyDescent="0.25">
      <c r="B20" s="1" t="s">
        <v>274</v>
      </c>
      <c r="C20" s="18" t="s">
        <v>275</v>
      </c>
      <c r="D20" s="18" t="str">
        <f>VLOOKUP(tbl_h9[[#This Row],[Valoración]],Datos!$B$3:$C$8,2,FALSE)</f>
        <v>NA</v>
      </c>
      <c r="E20" t="s">
        <v>7</v>
      </c>
      <c r="G20" t="s">
        <v>7</v>
      </c>
      <c r="I20" t="s">
        <v>7</v>
      </c>
      <c r="J20" s="8"/>
    </row>
    <row r="21" spans="2:10" x14ac:dyDescent="0.25">
      <c r="B21" s="1" t="s">
        <v>276</v>
      </c>
      <c r="C21" s="18" t="s">
        <v>277</v>
      </c>
      <c r="D21" s="18" t="str">
        <f>VLOOKUP(tbl_h9[[#This Row],[Valoración]],Datos!$B$3:$C$8,2,FALSE)</f>
        <v>NA</v>
      </c>
      <c r="E21" t="s">
        <v>7</v>
      </c>
      <c r="G21" t="s">
        <v>7</v>
      </c>
      <c r="I21" t="s">
        <v>7</v>
      </c>
      <c r="J21" s="8"/>
    </row>
    <row r="22" spans="2:10" x14ac:dyDescent="0.25">
      <c r="C22" s="11"/>
      <c r="D22" s="11"/>
    </row>
    <row r="23" spans="2:10" x14ac:dyDescent="0.25">
      <c r="C23" s="11"/>
      <c r="D23" s="11"/>
    </row>
    <row r="24" spans="2:10" x14ac:dyDescent="0.25">
      <c r="C24" s="11"/>
      <c r="D24" s="11"/>
    </row>
    <row r="25" spans="2:10" x14ac:dyDescent="0.25">
      <c r="C25" s="11"/>
      <c r="D25" s="11"/>
    </row>
    <row r="26" spans="2:10"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I13:I21</xm:sqref>
        </x14:dataValidation>
        <x14:dataValidation type="list" allowBlank="1" showInputMessage="1" showErrorMessage="1">
          <x14:formula1>
            <xm:f>Datos!$B$3:$B$8</xm:f>
          </x14:formula1>
          <xm:sqref>E13:E21</xm:sqref>
        </x14:dataValidation>
        <x14:dataValidation type="list" allowBlank="1" showInputMessage="1" showErrorMessage="1">
          <x14:formula1>
            <xm:f>Datos!$E$3:$E$7</xm:f>
          </x14:formula1>
          <xm:sqref>G13:G21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topLeftCell="B1"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278</v>
      </c>
      <c r="D4" s="16"/>
      <c r="G4" s="9" t="s">
        <v>37</v>
      </c>
      <c r="H4" s="9"/>
      <c r="I4" s="21" t="str">
        <f>IFERROR(AVERAGEIF(tbl_h10[Valoracion Numerica],"&lt;&gt;NA"),"")</f>
        <v/>
      </c>
      <c r="J4" s="10" t="str">
        <f>_xlfn.IFNA(INDEX(Datos!B4:C8,MATCH('H10. Documentación'!I4,Datos!C4:C8),1),"")</f>
        <v/>
      </c>
    </row>
    <row r="5" spans="2:10" x14ac:dyDescent="0.25">
      <c r="B5" s="9" t="s">
        <v>38</v>
      </c>
      <c r="C5" s="10" t="s">
        <v>279</v>
      </c>
      <c r="D5" s="16"/>
      <c r="G5" s="9" t="s">
        <v>40</v>
      </c>
      <c r="H5" s="9"/>
      <c r="I5" s="21" t="str">
        <f>IFERROR(AVERAGEIF(tbl_h10[Valoracion numerica severidad impacto],"&lt;&gt;NA"),"")</f>
        <v/>
      </c>
      <c r="J5" s="10" t="str">
        <f>_xlfn.IFNA(INDEX(Datos!E4:F7,MATCH('H10. Documentación'!I5,Datos!F4:F7),1),"")</f>
        <v/>
      </c>
    </row>
    <row r="6" spans="2:10" x14ac:dyDescent="0.25">
      <c r="B6" s="75" t="s">
        <v>41</v>
      </c>
      <c r="C6" s="77" t="s">
        <v>280</v>
      </c>
      <c r="D6" s="17"/>
      <c r="G6" s="9" t="s">
        <v>43</v>
      </c>
      <c r="H6" s="9"/>
      <c r="I6" s="21" t="str">
        <f>IFERROR(AVERAGEIF(tbl_h10[Valoración numérica de persistencia de impacto],"&lt;&gt;NA"),"")</f>
        <v/>
      </c>
      <c r="J6" s="10" t="str">
        <f>_xlfn.IFNA(INDEX(Datos!H4:I7,MATCH('H10. Documentación'!I6,Datos!I4:I7),1),"")</f>
        <v/>
      </c>
    </row>
    <row r="7" spans="2:10" ht="25.5" customHeight="1" x14ac:dyDescent="0.25">
      <c r="B7" s="75"/>
      <c r="C7" s="77"/>
      <c r="D7" s="17"/>
      <c r="G7" s="69" t="s">
        <v>44</v>
      </c>
      <c r="H7" s="22"/>
      <c r="I7" s="23" t="str">
        <f xml:space="preserve"> IF(AND(I5&lt;&gt;"",I6&lt;&gt;""), (I5+I6+2)*0.5,"")</f>
        <v/>
      </c>
      <c r="J7" s="24" t="str">
        <f>IF(I7&lt;&gt;"",IF(I7&lt;=1,Datos!L4,IF(AND('H10. Documentación'!I7&gt;1,'H10. Documentación'!I7&lt;=2),Datos!L5,IF(AND('H10. Documentación'!I7&gt;2,'H10. Documentación'!I7&lt;=3),Datos!L6,IF(AND('H10. Documentación'!I7&gt;3,'H10. Documentación'!I7&lt;=4),Datos!L7,IF('H10. Documentación'!I7&gt;4,Datos!L8,""))))),"")</f>
        <v/>
      </c>
    </row>
    <row r="8" spans="2:10" x14ac:dyDescent="0.25">
      <c r="C8" s="64"/>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281</v>
      </c>
      <c r="C13" s="18" t="s">
        <v>282</v>
      </c>
      <c r="D13" s="11" t="str">
        <f>VLOOKUP(tbl_h10[[#This Row],[Valoración]],Datos!$B$3:$C$8,2,FALSE)</f>
        <v>NA</v>
      </c>
      <c r="E13" t="s">
        <v>7</v>
      </c>
      <c r="G13" t="s">
        <v>7</v>
      </c>
      <c r="I13" t="s">
        <v>7</v>
      </c>
      <c r="J13" s="8"/>
    </row>
    <row r="14" spans="2:10" x14ac:dyDescent="0.25">
      <c r="C14" s="11"/>
      <c r="D14" s="11"/>
    </row>
    <row r="15" spans="2:10" x14ac:dyDescent="0.25">
      <c r="C15" s="11"/>
      <c r="D15" s="11"/>
    </row>
    <row r="16" spans="2:10" x14ac:dyDescent="0.25">
      <c r="C16" s="11"/>
      <c r="D16" s="11"/>
    </row>
    <row r="17" spans="3:4" x14ac:dyDescent="0.25">
      <c r="C17" s="11"/>
      <c r="D17" s="11"/>
    </row>
    <row r="18" spans="3:4" x14ac:dyDescent="0.25">
      <c r="C18" s="11"/>
      <c r="D18" s="11"/>
    </row>
    <row r="19" spans="3:4" x14ac:dyDescent="0.25">
      <c r="C19" s="11"/>
      <c r="D19" s="11"/>
    </row>
    <row r="20" spans="3:4" x14ac:dyDescent="0.25">
      <c r="C20" s="11"/>
      <c r="D20" s="11"/>
    </row>
    <row r="21" spans="3:4" x14ac:dyDescent="0.25">
      <c r="C21" s="11"/>
      <c r="D21" s="11"/>
    </row>
    <row r="22" spans="3:4" x14ac:dyDescent="0.25">
      <c r="C22" s="11"/>
      <c r="D22" s="11"/>
    </row>
    <row r="23" spans="3:4" x14ac:dyDescent="0.25">
      <c r="C23" s="11"/>
      <c r="D23" s="11"/>
    </row>
    <row r="24" spans="3:4" x14ac:dyDescent="0.25">
      <c r="C24" s="11"/>
      <c r="D24"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xm:sqref>
        </x14:dataValidation>
        <x14:dataValidation type="list" allowBlank="1" showInputMessage="1" showErrorMessage="1">
          <x14:formula1>
            <xm:f>Datos!$B$3:$B$8</xm:f>
          </x14:formula1>
          <xm:sqref>E13</xm:sqref>
        </x14:dataValidation>
        <x14:dataValidation type="list" allowBlank="1" showInputMessage="1" showErrorMessage="1">
          <x14:formula1>
            <xm:f>Datos!$H$3:$H$7</xm:f>
          </x14:formula1>
          <xm:sqref>I13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283</v>
      </c>
      <c r="D4" s="16"/>
      <c r="G4" s="9" t="s">
        <v>37</v>
      </c>
      <c r="H4" s="9"/>
      <c r="I4" s="21" t="str">
        <f>IFERROR(AVERAGEIF(tbl_h11[Valoracion Numerica],"&lt;&gt;NA"),"")</f>
        <v/>
      </c>
      <c r="J4" s="10" t="str">
        <f>_xlfn.IFNA(INDEX(Datos!B4:C8,MATCH('H11. Contenido'!I4,Datos!C4:C8),1),"")</f>
        <v/>
      </c>
    </row>
    <row r="5" spans="2:10" x14ac:dyDescent="0.25">
      <c r="B5" s="9" t="s">
        <v>38</v>
      </c>
      <c r="C5" s="10" t="s">
        <v>284</v>
      </c>
      <c r="D5" s="16"/>
      <c r="G5" s="9" t="s">
        <v>40</v>
      </c>
      <c r="H5" s="9"/>
      <c r="I5" s="21" t="str">
        <f>IFERROR(AVERAGEIF(tbl_h11[Valoracion numerica severidad impacto],"&lt;&gt;NA"),"")</f>
        <v/>
      </c>
      <c r="J5" s="10" t="str">
        <f>_xlfn.IFNA(INDEX(Datos!E4:F7,MATCH('H11. Contenido'!I5,Datos!F4:F7),1),"")</f>
        <v/>
      </c>
    </row>
    <row r="6" spans="2:10" x14ac:dyDescent="0.25">
      <c r="B6" s="75" t="s">
        <v>41</v>
      </c>
      <c r="C6" s="76" t="s">
        <v>285</v>
      </c>
      <c r="D6" s="17"/>
      <c r="G6" s="9" t="s">
        <v>43</v>
      </c>
      <c r="H6" s="9"/>
      <c r="I6" s="21" t="str">
        <f>IFERROR(AVERAGEIF(tbl_h11[Valoración numérica de persistencia de impacto],"&lt;&gt;NA"),"")</f>
        <v/>
      </c>
      <c r="J6" s="10" t="str">
        <f>_xlfn.IFNA(INDEX(Datos!H4:I7,MATCH('H11. Contenido'!I6,Datos!I4:I7),1),"")</f>
        <v/>
      </c>
    </row>
    <row r="7" spans="2:10" ht="28.5" customHeight="1" x14ac:dyDescent="0.25">
      <c r="B7" s="75"/>
      <c r="C7" s="76"/>
      <c r="D7" s="17"/>
      <c r="G7" s="69" t="s">
        <v>44</v>
      </c>
      <c r="H7" s="22"/>
      <c r="I7" s="23" t="str">
        <f xml:space="preserve"> IF(AND(I5&lt;&gt;"",I6&lt;&gt;""), (I5+I6+2)*0.5,"")</f>
        <v/>
      </c>
      <c r="J7" s="24" t="str">
        <f>IF(I7&lt;&gt;"",IF(I7&lt;=1,Datos!L4,IF(AND('H11. Contenido'!I7&gt;1,'H11. Contenido'!I7&lt;=2),Datos!L5,IF(AND('H11. Contenido'!I7&gt;2,'H11. Contenido'!I7&lt;=3),Datos!L6,IF(AND('H11. Contenido'!I7&gt;3,'H11. Contenido'!I7&lt;=4),Datos!L7,IF('H11. Contenido'!I7&gt;4,Datos!L8,""))))),"")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x14ac:dyDescent="0.25">
      <c r="B13" s="1" t="s">
        <v>286</v>
      </c>
      <c r="C13" s="18" t="s">
        <v>287</v>
      </c>
      <c r="D13" s="11" t="str">
        <f>VLOOKUP(tbl_h11[[#This Row],[Valoración]],Datos!$B$3:$C$8,2,FALSE)</f>
        <v>NA</v>
      </c>
      <c r="E13" t="s">
        <v>7</v>
      </c>
      <c r="G13" t="s">
        <v>7</v>
      </c>
      <c r="I13" t="s">
        <v>7</v>
      </c>
    </row>
    <row r="14" spans="2:10" x14ac:dyDescent="0.25">
      <c r="B14" s="1" t="s">
        <v>288</v>
      </c>
      <c r="C14" s="18" t="s">
        <v>289</v>
      </c>
      <c r="D14" s="11" t="str">
        <f>VLOOKUP(tbl_h11[[#This Row],[Valoración]],Datos!$B$3:$C$8,2,FALSE)</f>
        <v>NA</v>
      </c>
      <c r="E14" t="s">
        <v>7</v>
      </c>
      <c r="G14" t="s">
        <v>7</v>
      </c>
      <c r="I14" t="s">
        <v>7</v>
      </c>
    </row>
    <row r="15" spans="2:10" x14ac:dyDescent="0.25">
      <c r="B15" s="1" t="s">
        <v>290</v>
      </c>
      <c r="C15" s="18" t="s">
        <v>291</v>
      </c>
      <c r="D15" s="11" t="str">
        <f>VLOOKUP(tbl_h11[[#This Row],[Valoración]],Datos!$B$3:$C$8,2,FALSE)</f>
        <v>NA</v>
      </c>
      <c r="E15" t="s">
        <v>7</v>
      </c>
      <c r="G15" t="s">
        <v>7</v>
      </c>
      <c r="I15" t="s">
        <v>7</v>
      </c>
    </row>
    <row r="16" spans="2:10" x14ac:dyDescent="0.25">
      <c r="B16" s="1" t="s">
        <v>292</v>
      </c>
      <c r="C16" s="18" t="s">
        <v>293</v>
      </c>
      <c r="D16" s="18" t="str">
        <f>VLOOKUP(tbl_h11[[#This Row],[Valoración]],Datos!$B$3:$C$8,2,FALSE)</f>
        <v>NA</v>
      </c>
      <c r="E16" t="s">
        <v>7</v>
      </c>
      <c r="G16" t="s">
        <v>7</v>
      </c>
      <c r="I16" t="s">
        <v>7</v>
      </c>
    </row>
    <row r="17" spans="2:9" ht="33.75" customHeight="1" x14ac:dyDescent="0.25">
      <c r="B17" s="1" t="s">
        <v>294</v>
      </c>
      <c r="C17" s="18" t="s">
        <v>295</v>
      </c>
      <c r="D17" s="18" t="str">
        <f>VLOOKUP(tbl_h11[[#This Row],[Valoración]],Datos!$B$3:$C$8,2,FALSE)</f>
        <v>NA</v>
      </c>
      <c r="E17" t="s">
        <v>7</v>
      </c>
      <c r="G17" t="s">
        <v>7</v>
      </c>
      <c r="I17" t="s">
        <v>7</v>
      </c>
    </row>
    <row r="18" spans="2:9" x14ac:dyDescent="0.25">
      <c r="C18" s="11"/>
      <c r="D18" s="11"/>
    </row>
    <row r="19" spans="2:9" x14ac:dyDescent="0.25">
      <c r="C19" s="11"/>
      <c r="D19" s="11"/>
    </row>
    <row r="20" spans="2:9" x14ac:dyDescent="0.25">
      <c r="C20" s="11"/>
      <c r="D20" s="11"/>
    </row>
    <row r="21" spans="2:9" x14ac:dyDescent="0.25">
      <c r="C21" s="11"/>
      <c r="D21" s="11"/>
    </row>
    <row r="22" spans="2:9" x14ac:dyDescent="0.25">
      <c r="C22" s="11"/>
      <c r="D22" s="11"/>
    </row>
    <row r="23" spans="2:9" x14ac:dyDescent="0.25">
      <c r="C23" s="11"/>
      <c r="D23" s="11"/>
    </row>
    <row r="24" spans="2:9" x14ac:dyDescent="0.25">
      <c r="C24" s="11"/>
      <c r="D24" s="11"/>
    </row>
    <row r="25" spans="2:9" x14ac:dyDescent="0.25">
      <c r="C25" s="11"/>
      <c r="D25" s="11"/>
    </row>
    <row r="26" spans="2:9"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I13:I17</xm:sqref>
        </x14:dataValidation>
        <x14:dataValidation type="list" allowBlank="1" showInputMessage="1" showErrorMessage="1">
          <x14:formula1>
            <xm:f>Datos!$B$3:$B$8</xm:f>
          </x14:formula1>
          <xm:sqref>E13:E17</xm:sqref>
        </x14:dataValidation>
        <x14:dataValidation type="list" allowBlank="1" showInputMessage="1" showErrorMessage="1">
          <x14:formula1>
            <xm:f>Datos!$E$3:$E$7</xm:f>
          </x14:formula1>
          <xm:sqref>G13:G17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topLeftCell="B1" zoomScale="80" zoomScaleNormal="80" workbookViewId="0">
      <selection activeCell="E14" sqref="E14"/>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296</v>
      </c>
      <c r="D4" s="16"/>
      <c r="G4" s="9" t="s">
        <v>37</v>
      </c>
      <c r="H4" s="9"/>
      <c r="I4" s="21" t="str">
        <f>IFERROR(AVERAGEIF(tbl_h12[Valoracion Numerica],"&lt;&gt;NA"),"")</f>
        <v/>
      </c>
      <c r="J4" s="10" t="str">
        <f>_xlfn.IFNA(INDEX(Datos!B4:C8,MATCH('H12. Confiabilidad y eficiencia'!I4,Datos!C4:C8),1),"")</f>
        <v/>
      </c>
    </row>
    <row r="5" spans="2:10" x14ac:dyDescent="0.25">
      <c r="B5" s="9" t="s">
        <v>38</v>
      </c>
      <c r="C5" s="10" t="s">
        <v>297</v>
      </c>
      <c r="D5" s="16"/>
      <c r="G5" s="9" t="s">
        <v>40</v>
      </c>
      <c r="H5" s="9"/>
      <c r="I5" s="21" t="str">
        <f>IFERROR(AVERAGEIF(tbl_h12[Valoracion numerica severidad impacto],"&lt;&gt;NA"),"")</f>
        <v/>
      </c>
      <c r="J5" s="10" t="str">
        <f>_xlfn.IFNA(INDEX(Datos!E4:F7,MATCH('H12. Confiabilidad y eficiencia'!I5,Datos!F4:F7),1),"")</f>
        <v/>
      </c>
    </row>
    <row r="6" spans="2:10" x14ac:dyDescent="0.25">
      <c r="B6" s="75" t="s">
        <v>41</v>
      </c>
      <c r="C6" s="76" t="s">
        <v>298</v>
      </c>
      <c r="D6" s="17"/>
      <c r="G6" s="9" t="s">
        <v>43</v>
      </c>
      <c r="H6" s="9"/>
      <c r="I6" s="21" t="str">
        <f>IFERROR(AVERAGEIF(tbl_h12[Valoración numérica de persistencia de impacto],"&lt;&gt;NA"),"")</f>
        <v/>
      </c>
      <c r="J6" s="10" t="str">
        <f>_xlfn.IFNA(INDEX(Datos!H4:I7,MATCH('H12. Confiabilidad y eficiencia'!I6,Datos!I4:I7),1),"")</f>
        <v/>
      </c>
    </row>
    <row r="7" spans="2:10" ht="34.5" customHeight="1" x14ac:dyDescent="0.25">
      <c r="B7" s="75"/>
      <c r="C7" s="76"/>
      <c r="D7" s="17"/>
      <c r="G7" s="69" t="s">
        <v>44</v>
      </c>
      <c r="H7" s="22"/>
      <c r="I7" s="23" t="str">
        <f xml:space="preserve"> IF(AND(I5&lt;&gt;"",I6&lt;&gt;""), (I5+I6+2)*0.5,"")</f>
        <v/>
      </c>
      <c r="J7" s="24" t="str">
        <f>IF(I7&lt;&gt;"",IF(I7&lt;=1,Datos!L4,IF(AND('H12. Confiabilidad y eficiencia'!I7&gt;1,'H12. Confiabilidad y eficiencia'!I7&lt;=2),Datos!L5,IF(AND('H12. Confiabilidad y eficiencia'!I7&gt;2,'H12. Confiabilidad y eficiencia'!I7&lt;=3),Datos!L6,IF(AND('H12. Confiabilidad y eficiencia'!I7&gt;3,'H12. Confiabilidad y eficiencia'!I7&lt;=4),Datos!L7,IF('H12. Confiabilidad y eficiencia'!I7&gt;4,Datos!L8,""))))),"")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299</v>
      </c>
      <c r="C13" s="18" t="s">
        <v>300</v>
      </c>
      <c r="D13" s="11" t="str">
        <f>VLOOKUP(tbl_h12[[#This Row],[Valoración]],Datos!$B$3:$C$8,2,FALSE)</f>
        <v>NA</v>
      </c>
      <c r="E13" t="s">
        <v>7</v>
      </c>
      <c r="G13" t="s">
        <v>7</v>
      </c>
      <c r="I13" t="s">
        <v>7</v>
      </c>
    </row>
    <row r="14" spans="2:10" x14ac:dyDescent="0.25">
      <c r="B14" s="1" t="s">
        <v>301</v>
      </c>
      <c r="C14" s="18" t="s">
        <v>302</v>
      </c>
      <c r="D14" s="11" t="str">
        <f>VLOOKUP(tbl_h12[[#This Row],[Valoración]],Datos!$B$3:$C$8,2,FALSE)</f>
        <v>NA</v>
      </c>
      <c r="E14" t="s">
        <v>7</v>
      </c>
      <c r="G14" t="s">
        <v>7</v>
      </c>
      <c r="I14" t="s">
        <v>7</v>
      </c>
    </row>
    <row r="15" spans="2:10" x14ac:dyDescent="0.25">
      <c r="B15" s="1" t="s">
        <v>303</v>
      </c>
      <c r="C15" s="18" t="s">
        <v>304</v>
      </c>
      <c r="D15" s="11" t="str">
        <f>VLOOKUP(tbl_h12[[#This Row],[Valoración]],Datos!$B$3:$C$8,2,FALSE)</f>
        <v>NA</v>
      </c>
      <c r="E15" t="s">
        <v>7</v>
      </c>
      <c r="G15" t="s">
        <v>7</v>
      </c>
      <c r="I15" t="s">
        <v>7</v>
      </c>
    </row>
    <row r="16" spans="2:10" x14ac:dyDescent="0.25">
      <c r="B16" s="1" t="s">
        <v>305</v>
      </c>
      <c r="C16" s="18" t="s">
        <v>306</v>
      </c>
      <c r="D16" s="18" t="str">
        <f>VLOOKUP(tbl_h12[[#This Row],[Valoración]],Datos!$B$3:$C$8,2,FALSE)</f>
        <v>NA</v>
      </c>
      <c r="E16" t="s">
        <v>7</v>
      </c>
      <c r="G16" t="s">
        <v>7</v>
      </c>
      <c r="I16" t="s">
        <v>7</v>
      </c>
    </row>
    <row r="17" spans="2:9" ht="45" x14ac:dyDescent="0.25">
      <c r="B17" s="1" t="s">
        <v>307</v>
      </c>
      <c r="C17" s="18" t="s">
        <v>308</v>
      </c>
      <c r="D17" s="18" t="str">
        <f>VLOOKUP(tbl_h12[[#This Row],[Valoración]],Datos!$B$3:$C$8,2,FALSE)</f>
        <v>NA</v>
      </c>
      <c r="E17" t="s">
        <v>7</v>
      </c>
      <c r="G17" t="s">
        <v>7</v>
      </c>
      <c r="I17" t="s">
        <v>7</v>
      </c>
    </row>
    <row r="18" spans="2:9" ht="28.5" customHeight="1" x14ac:dyDescent="0.25">
      <c r="B18" s="1" t="s">
        <v>309</v>
      </c>
      <c r="C18" s="18" t="s">
        <v>310</v>
      </c>
      <c r="D18" s="18" t="str">
        <f>VLOOKUP(tbl_h12[[#This Row],[Valoración]],Datos!$B$3:$C$8,2,FALSE)</f>
        <v>NA</v>
      </c>
      <c r="E18" t="s">
        <v>7</v>
      </c>
      <c r="G18" t="s">
        <v>7</v>
      </c>
      <c r="I18" t="s">
        <v>7</v>
      </c>
    </row>
    <row r="19" spans="2:9" x14ac:dyDescent="0.25">
      <c r="C19" s="11"/>
      <c r="D19" s="11"/>
    </row>
    <row r="20" spans="2:9" x14ac:dyDescent="0.25">
      <c r="C20" s="11"/>
      <c r="D20" s="11"/>
    </row>
    <row r="21" spans="2:9" x14ac:dyDescent="0.25">
      <c r="C21" s="11"/>
      <c r="D21" s="11"/>
    </row>
    <row r="22" spans="2:9" x14ac:dyDescent="0.25">
      <c r="C22" s="11"/>
      <c r="D22" s="11"/>
    </row>
    <row r="23" spans="2:9" x14ac:dyDescent="0.25">
      <c r="C23" s="11"/>
      <c r="D23" s="11"/>
    </row>
    <row r="24" spans="2:9" x14ac:dyDescent="0.25">
      <c r="C24" s="11"/>
      <c r="D24" s="11"/>
    </row>
    <row r="25" spans="2:9" x14ac:dyDescent="0.25">
      <c r="C25" s="11"/>
      <c r="D25" s="11"/>
    </row>
    <row r="26" spans="2:9"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G13:G18</xm:sqref>
        </x14:dataValidation>
        <x14:dataValidation type="list" allowBlank="1" showInputMessage="1" showErrorMessage="1">
          <x14:formula1>
            <xm:f>Datos!$B$3:$B$8</xm:f>
          </x14:formula1>
          <xm:sqref>E13:E18</xm:sqref>
        </x14:dataValidation>
        <x14:dataValidation type="list" allowBlank="1" showInputMessage="1" showErrorMessage="1">
          <x14:formula1>
            <xm:f>Datos!$H$3:$H$7</xm:f>
          </x14:formula1>
          <xm:sqref>I13:I18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5"/>
  <sheetViews>
    <sheetView zoomScale="80" zoomScaleNormal="80" workbookViewId="0">
      <selection activeCell="I14" sqref="I14"/>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311</v>
      </c>
      <c r="D4" s="16"/>
      <c r="G4" s="9" t="s">
        <v>37</v>
      </c>
      <c r="H4" s="9"/>
      <c r="I4" s="21" t="str">
        <f>IFERROR(AVERAGEIF(tbl_h13[Valoracion Numerica],"&lt;&gt;NA"),"")</f>
        <v/>
      </c>
      <c r="J4" s="10" t="str">
        <f>_xlfn.IFNA(INDEX(Datos!B4:C8,MATCH('H13. Búsqueda'!I4,Datos!C4:C8),1),"")</f>
        <v/>
      </c>
    </row>
    <row r="5" spans="2:10" x14ac:dyDescent="0.25">
      <c r="B5" s="9" t="s">
        <v>38</v>
      </c>
      <c r="C5" s="10" t="s">
        <v>312</v>
      </c>
      <c r="D5" s="16"/>
      <c r="G5" s="9" t="s">
        <v>40</v>
      </c>
      <c r="H5" s="9"/>
      <c r="I5" s="21" t="str">
        <f>IFERROR(AVERAGEIF(tbl_h13[Valoracion numerica severidad impacto],"&lt;&gt;NA"),"")</f>
        <v/>
      </c>
      <c r="J5" s="10" t="str">
        <f>_xlfn.IFNA(INDEX(Datos!E4:F7,MATCH('H13. Búsqueda'!I5,Datos!F4:F7),1),"")</f>
        <v/>
      </c>
    </row>
    <row r="6" spans="2:10" x14ac:dyDescent="0.25">
      <c r="B6" s="75" t="s">
        <v>41</v>
      </c>
      <c r="C6" s="76" t="s">
        <v>313</v>
      </c>
      <c r="D6" s="17"/>
      <c r="G6" s="9" t="s">
        <v>43</v>
      </c>
      <c r="H6" s="9"/>
      <c r="I6" s="21" t="str">
        <f>IFERROR(AVERAGEIF(tbl_h13[Valoración numérica de persistencia de impacto],"&lt;&gt;NA"),"")</f>
        <v/>
      </c>
      <c r="J6" s="10" t="str">
        <f>_xlfn.IFNA(INDEX(Datos!H4:I7,MATCH('H13. Búsqueda'!I6,Datos!I4:I7),1),"")</f>
        <v/>
      </c>
    </row>
    <row r="7" spans="2:10" ht="33" customHeight="1" x14ac:dyDescent="0.25">
      <c r="B7" s="75"/>
      <c r="C7" s="76"/>
      <c r="D7" s="17"/>
      <c r="G7" s="69" t="s">
        <v>44</v>
      </c>
      <c r="H7" s="22"/>
      <c r="I7" s="23" t="str">
        <f xml:space="preserve"> IF(AND(I5&lt;&gt;"",I6&lt;&gt;""), (I5+I6+2)*0.5,"")</f>
        <v/>
      </c>
      <c r="J7" s="24" t="str">
        <f>IF(I7&lt;&gt;"",IF(I7&lt;=1,Datos!L4,IF(AND('H13. Búsqueda'!I7&gt;1,'H13. Búsqueda'!I7&lt;=2),Datos!L5,IF(AND('H13. Búsqueda'!I7&gt;2,'H13. Búsqueda'!I7&lt;=3),Datos!L6,IF(AND('H13. Búsqueda'!I7&gt;3,'H13. Búsqueda'!I7&lt;=4),Datos!L7,IF('H13. Búsqueda'!I7&gt;4,Datos!L8,""))))),"")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314</v>
      </c>
      <c r="C13" s="18" t="s">
        <v>315</v>
      </c>
      <c r="D13" s="11" t="str">
        <f>VLOOKUP(tbl_h13[[#This Row],[Valoración]],Datos!$B$3:$C$8,2,FALSE)</f>
        <v>NA</v>
      </c>
      <c r="E13" t="s">
        <v>7</v>
      </c>
      <c r="F13" t="str">
        <f>VLOOKUP(tbl_h13[[#This Row],[Severidad del impacto]],Datos!$E$3:$F$7,2,FALSE)</f>
        <v>NA</v>
      </c>
      <c r="G13" t="s">
        <v>7</v>
      </c>
      <c r="H13" t="str">
        <f>VLOOKUP(tbl_h13[[#This Row],[Persistencia del impacto]],Datos!$H$3:$I$7,2,FALSE)</f>
        <v>NA</v>
      </c>
      <c r="I13" t="s">
        <v>7</v>
      </c>
    </row>
    <row r="14" spans="2:10" ht="30" x14ac:dyDescent="0.25">
      <c r="B14" s="1" t="s">
        <v>316</v>
      </c>
      <c r="C14" s="18" t="s">
        <v>317</v>
      </c>
      <c r="D14" s="11" t="str">
        <f>VLOOKUP(tbl_h13[[#This Row],[Valoración]],Datos!$B$3:$C$8,2,FALSE)</f>
        <v>NA</v>
      </c>
      <c r="E14" t="s">
        <v>7</v>
      </c>
      <c r="F14" t="str">
        <f>VLOOKUP(tbl_h13[[#This Row],[Severidad del impacto]],Datos!$E$3:$F$7,2,FALSE)</f>
        <v>NA</v>
      </c>
      <c r="G14" t="s">
        <v>7</v>
      </c>
      <c r="H14" t="str">
        <f>VLOOKUP(tbl_h13[[#This Row],[Persistencia del impacto]],Datos!$H$3:$I$7,2,FALSE)</f>
        <v>NA</v>
      </c>
      <c r="I14" t="s">
        <v>7</v>
      </c>
    </row>
    <row r="15" spans="2:10" x14ac:dyDescent="0.25">
      <c r="C15" s="11"/>
      <c r="D15" s="11"/>
    </row>
    <row r="16" spans="2:10" x14ac:dyDescent="0.25">
      <c r="C16" s="11"/>
      <c r="D16" s="11"/>
    </row>
    <row r="17" spans="3:4" x14ac:dyDescent="0.25">
      <c r="C17" s="11"/>
      <c r="D17" s="11"/>
    </row>
    <row r="18" spans="3:4" x14ac:dyDescent="0.25">
      <c r="C18" s="11"/>
      <c r="D18" s="11"/>
    </row>
    <row r="19" spans="3:4" x14ac:dyDescent="0.25">
      <c r="C19" s="11"/>
      <c r="D19" s="11"/>
    </row>
    <row r="20" spans="3:4" x14ac:dyDescent="0.25">
      <c r="C20" s="11"/>
      <c r="D20" s="11"/>
    </row>
    <row r="21" spans="3:4" x14ac:dyDescent="0.25">
      <c r="C21" s="11"/>
      <c r="D21" s="11"/>
    </row>
    <row r="22" spans="3:4" x14ac:dyDescent="0.25">
      <c r="C22" s="11"/>
      <c r="D22" s="11"/>
    </row>
    <row r="23" spans="3:4" x14ac:dyDescent="0.25">
      <c r="C23" s="11"/>
      <c r="D23" s="11"/>
    </row>
    <row r="24" spans="3:4" x14ac:dyDescent="0.25">
      <c r="C24" s="11"/>
      <c r="D24" s="11"/>
    </row>
    <row r="25" spans="3:4" x14ac:dyDescent="0.25">
      <c r="C25" s="11"/>
      <c r="D25"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I13:I14</xm:sqref>
        </x14:dataValidation>
        <x14:dataValidation type="list" allowBlank="1" showInputMessage="1" showErrorMessage="1">
          <x14:formula1>
            <xm:f>Datos!$B$3:$B$8</xm:f>
          </x14:formula1>
          <xm:sqref>E13:E14</xm:sqref>
        </x14:dataValidation>
        <x14:dataValidation type="list" allowBlank="1" showInputMessage="1" showErrorMessage="1">
          <x14:formula1>
            <xm:f>Datos!$E$3:$E$7</xm:f>
          </x14:formula1>
          <xm:sqref>G13:G14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D7" sqref="D7"/>
    </sheetView>
  </sheetViews>
  <sheetFormatPr baseColWidth="10" defaultColWidth="11.42578125" defaultRowHeight="15" x14ac:dyDescent="0.25"/>
  <cols>
    <col min="1" max="2" width="33.140625" bestFit="1" customWidth="1"/>
    <col min="3" max="3" width="33.42578125" customWidth="1"/>
    <col min="4" max="4" width="13" customWidth="1"/>
    <col min="5" max="5" width="27.42578125" customWidth="1"/>
    <col min="6" max="6" width="12.5703125" customWidth="1"/>
    <col min="7" max="7" width="12.5703125" bestFit="1" customWidth="1"/>
  </cols>
  <sheetData>
    <row r="3" spans="1:3" x14ac:dyDescent="0.25">
      <c r="A3" s="85"/>
      <c r="B3" s="86"/>
      <c r="C3" s="87"/>
    </row>
    <row r="4" spans="1:3" x14ac:dyDescent="0.25">
      <c r="A4" s="88"/>
      <c r="B4" s="89"/>
      <c r="C4" s="90"/>
    </row>
    <row r="5" spans="1:3" x14ac:dyDescent="0.25">
      <c r="A5" s="88"/>
      <c r="B5" s="89"/>
      <c r="C5" s="90"/>
    </row>
    <row r="6" spans="1:3" x14ac:dyDescent="0.25">
      <c r="A6" s="88"/>
      <c r="B6" s="89"/>
      <c r="C6" s="90"/>
    </row>
    <row r="7" spans="1:3" x14ac:dyDescent="0.25">
      <c r="A7" s="88"/>
      <c r="B7" s="89"/>
      <c r="C7" s="90"/>
    </row>
    <row r="8" spans="1:3" x14ac:dyDescent="0.25">
      <c r="A8" s="88"/>
      <c r="B8" s="89"/>
      <c r="C8" s="90"/>
    </row>
    <row r="9" spans="1:3" x14ac:dyDescent="0.25">
      <c r="A9" s="88"/>
      <c r="B9" s="89"/>
      <c r="C9" s="90"/>
    </row>
    <row r="10" spans="1:3" x14ac:dyDescent="0.25">
      <c r="A10" s="88"/>
      <c r="B10" s="89"/>
      <c r="C10" s="90"/>
    </row>
    <row r="11" spans="1:3" x14ac:dyDescent="0.25">
      <c r="A11" s="88"/>
      <c r="B11" s="89"/>
      <c r="C11" s="90"/>
    </row>
    <row r="12" spans="1:3" x14ac:dyDescent="0.25">
      <c r="A12" s="88"/>
      <c r="B12" s="89"/>
      <c r="C12" s="90"/>
    </row>
    <row r="13" spans="1:3" x14ac:dyDescent="0.25">
      <c r="A13" s="88"/>
      <c r="B13" s="89"/>
      <c r="C13" s="90"/>
    </row>
    <row r="14" spans="1:3" x14ac:dyDescent="0.25">
      <c r="A14" s="88"/>
      <c r="B14" s="89"/>
      <c r="C14" s="90"/>
    </row>
    <row r="15" spans="1:3" x14ac:dyDescent="0.25">
      <c r="A15" s="88"/>
      <c r="B15" s="89"/>
      <c r="C15" s="90"/>
    </row>
    <row r="16" spans="1:3" x14ac:dyDescent="0.25">
      <c r="A16" s="88"/>
      <c r="B16" s="89"/>
      <c r="C16" s="90"/>
    </row>
    <row r="17" spans="1:3" x14ac:dyDescent="0.25">
      <c r="A17" s="88"/>
      <c r="B17" s="89"/>
      <c r="C17" s="90"/>
    </row>
    <row r="18" spans="1:3" x14ac:dyDescent="0.25">
      <c r="A18" s="88"/>
      <c r="B18" s="89"/>
      <c r="C18" s="90"/>
    </row>
    <row r="19" spans="1:3" x14ac:dyDescent="0.25">
      <c r="A19" s="88"/>
      <c r="B19" s="89"/>
      <c r="C19" s="90"/>
    </row>
    <row r="20" spans="1:3" x14ac:dyDescent="0.25">
      <c r="A20" s="91"/>
      <c r="B20" s="92"/>
      <c r="C20" s="93"/>
    </row>
  </sheetData>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workbookViewId="0">
      <selection activeCell="C9" sqref="C9"/>
    </sheetView>
  </sheetViews>
  <sheetFormatPr baseColWidth="10" defaultColWidth="11.42578125" defaultRowHeight="15" x14ac:dyDescent="0.25"/>
  <cols>
    <col min="2" max="2" width="61.28515625" bestFit="1" customWidth="1"/>
    <col min="3" max="3" width="22.28515625" bestFit="1" customWidth="1"/>
    <col min="4" max="4" width="26.7109375" hidden="1" customWidth="1"/>
    <col min="5" max="5" width="19.7109375" customWidth="1"/>
    <col min="6" max="6" width="22.42578125" customWidth="1"/>
    <col min="7" max="7" width="49" hidden="1" customWidth="1"/>
  </cols>
  <sheetData>
    <row r="2" spans="1:8" ht="39" customHeight="1" x14ac:dyDescent="0.25">
      <c r="B2" s="79" t="s">
        <v>318</v>
      </c>
      <c r="C2" s="81" t="s">
        <v>319</v>
      </c>
      <c r="D2" s="82"/>
      <c r="E2" s="83"/>
      <c r="F2" s="84" t="s">
        <v>320</v>
      </c>
      <c r="G2" s="84"/>
      <c r="H2" s="84"/>
    </row>
    <row r="3" spans="1:8" x14ac:dyDescent="0.25">
      <c r="B3" s="80"/>
      <c r="C3" s="47" t="s">
        <v>321</v>
      </c>
      <c r="D3" s="32" t="s">
        <v>322</v>
      </c>
      <c r="E3" s="33" t="s">
        <v>323</v>
      </c>
      <c r="F3" s="28" t="s">
        <v>324</v>
      </c>
      <c r="G3" s="28" t="s">
        <v>322</v>
      </c>
      <c r="H3" s="25" t="s">
        <v>325</v>
      </c>
    </row>
    <row r="4" spans="1:8" x14ac:dyDescent="0.25">
      <c r="A4" s="7" t="s">
        <v>36</v>
      </c>
      <c r="B4" s="10" t="s">
        <v>326</v>
      </c>
      <c r="C4" s="34" t="str">
        <f>'H1. Visibilidad y estado'!I4</f>
        <v/>
      </c>
      <c r="D4" s="34" t="str">
        <f>_xlfn.IFNA(INDEX(Datos!$B$4:$C$8,MATCH(C4,Datos!$C$4:$C$8),1),"")</f>
        <v/>
      </c>
      <c r="E4" s="35" t="str">
        <f>IFERROR(((C4-1)*100%/4),"")</f>
        <v/>
      </c>
      <c r="F4" s="29" t="str">
        <f>'H1. Visibilidad y estado'!I7</f>
        <v/>
      </c>
      <c r="G4" s="30" t="str">
        <f>'H1. Visibilidad y estado'!J7</f>
        <v/>
      </c>
      <c r="H4" s="31" t="str">
        <f>IFERROR(F4*100%/5,"")</f>
        <v/>
      </c>
    </row>
    <row r="5" spans="1:8" x14ac:dyDescent="0.25">
      <c r="A5" s="7" t="s">
        <v>81</v>
      </c>
      <c r="B5" s="10" t="s">
        <v>327</v>
      </c>
      <c r="C5" s="34" t="str">
        <f>'H2. Relacion sistema-mundo-real'!I4</f>
        <v/>
      </c>
      <c r="D5" s="34" t="str">
        <f>_xlfn.IFNA(INDEX(Datos!$B$4:$C$8,MATCH(C5,Datos!$C$4:$C$8),1),"")</f>
        <v/>
      </c>
      <c r="E5" s="35" t="str">
        <f t="shared" ref="E5:E16" si="0">IFERROR(((C5-1)*100%/4),"")</f>
        <v/>
      </c>
      <c r="F5" s="29" t="str">
        <f>'H2. Relacion sistema-mundo-real'!I7</f>
        <v/>
      </c>
      <c r="G5" s="30" t="str">
        <f>'H2. Relacion sistema-mundo-real'!J7</f>
        <v/>
      </c>
      <c r="H5" s="31" t="str">
        <f t="shared" ref="H5:H16" si="1">IFERROR(F5*100%/5,"")</f>
        <v/>
      </c>
    </row>
    <row r="6" spans="1:8" x14ac:dyDescent="0.25">
      <c r="A6" s="7" t="s">
        <v>115</v>
      </c>
      <c r="B6" s="10" t="s">
        <v>328</v>
      </c>
      <c r="C6" s="34" t="str">
        <f>'H3. Control y libertad usuario'!I4</f>
        <v/>
      </c>
      <c r="D6" s="34" t="str">
        <f>_xlfn.IFNA(INDEX(Datos!$B$4:$C$8,MATCH(C6,Datos!$C$4:$C$8),1),"")</f>
        <v/>
      </c>
      <c r="E6" s="35" t="str">
        <f t="shared" si="0"/>
        <v/>
      </c>
      <c r="F6" s="29" t="str">
        <f>'H3. Control y libertad usuario'!I7</f>
        <v/>
      </c>
      <c r="G6" s="30" t="str">
        <f>'H3. Control y libertad usuario'!J7</f>
        <v/>
      </c>
      <c r="H6" s="31" t="str">
        <f t="shared" si="1"/>
        <v/>
      </c>
    </row>
    <row r="7" spans="1:8" x14ac:dyDescent="0.25">
      <c r="A7" s="7" t="s">
        <v>142</v>
      </c>
      <c r="B7" s="10" t="s">
        <v>329</v>
      </c>
      <c r="C7" s="34" t="str">
        <f>'H4. Consistencias y estándares'!I4</f>
        <v/>
      </c>
      <c r="D7" s="34" t="str">
        <f>_xlfn.IFNA(INDEX(Datos!$B$4:$C$8,MATCH(C7,Datos!$C$4:$C$8),1),"")</f>
        <v/>
      </c>
      <c r="E7" s="35" t="str">
        <f t="shared" si="0"/>
        <v/>
      </c>
      <c r="F7" s="29" t="str">
        <f>'H4. Consistencias y estándares'!I7</f>
        <v/>
      </c>
      <c r="G7" s="30" t="str">
        <f>'H4. Consistencias y estándares'!J7</f>
        <v/>
      </c>
      <c r="H7" s="31" t="str">
        <f t="shared" si="1"/>
        <v/>
      </c>
    </row>
    <row r="8" spans="1:8" x14ac:dyDescent="0.25">
      <c r="A8" s="7" t="s">
        <v>181</v>
      </c>
      <c r="B8" s="10" t="s">
        <v>330</v>
      </c>
      <c r="C8" s="34" t="str">
        <f>'H5. Recon, Ayuda, Recup. error'!I4</f>
        <v/>
      </c>
      <c r="D8" s="34" t="str">
        <f>_xlfn.IFNA(INDEX(Datos!$B$4:$C$8,MATCH(C8,Datos!$C$4:$C$8),1),"")</f>
        <v/>
      </c>
      <c r="E8" s="35" t="str">
        <f t="shared" si="0"/>
        <v/>
      </c>
      <c r="F8" s="29">
        <v>0</v>
      </c>
      <c r="G8" s="30" t="str">
        <f>'H5. Recon, Ayuda, Recup. error'!J7</f>
        <v/>
      </c>
      <c r="H8" s="31">
        <f t="shared" si="1"/>
        <v>0</v>
      </c>
    </row>
    <row r="9" spans="1:8" ht="30" x14ac:dyDescent="0.25">
      <c r="A9" s="7" t="s">
        <v>194</v>
      </c>
      <c r="B9" s="10" t="s">
        <v>331</v>
      </c>
      <c r="C9" s="34" t="str">
        <f>'H6. Prevención de errores'!I4</f>
        <v/>
      </c>
      <c r="D9" s="34" t="str">
        <f>_xlfn.IFNA(INDEX(Datos!$B$4:$C$8,MATCH(C9,Datos!$C$4:$C$8),1),"")</f>
        <v/>
      </c>
      <c r="E9" s="35" t="str">
        <f t="shared" si="0"/>
        <v/>
      </c>
      <c r="F9" s="29" t="str">
        <f>'H6. Prevención de errores'!I7</f>
        <v/>
      </c>
      <c r="G9" s="30" t="str">
        <f>'H6. Prevención de errores'!J7</f>
        <v/>
      </c>
      <c r="H9" s="31" t="str">
        <f t="shared" si="1"/>
        <v/>
      </c>
    </row>
    <row r="10" spans="1:8" x14ac:dyDescent="0.25">
      <c r="A10" s="7" t="s">
        <v>207</v>
      </c>
      <c r="B10" s="10" t="s">
        <v>332</v>
      </c>
      <c r="C10" s="34" t="str">
        <f>'H7. Reconoc. antes que memor.'!I4</f>
        <v/>
      </c>
      <c r="D10" s="34" t="str">
        <f>_xlfn.IFNA(INDEX(Datos!$B$4:$C$8,MATCH(C10,Datos!$C$4:$C$8),1),"")</f>
        <v/>
      </c>
      <c r="E10" s="35" t="str">
        <f t="shared" si="0"/>
        <v/>
      </c>
      <c r="F10" s="29" t="str">
        <f>'H7. Reconoc. antes que memor.'!I7</f>
        <v/>
      </c>
      <c r="G10" s="30" t="str">
        <f>'H7. Reconoc. antes que memor.'!J7</f>
        <v/>
      </c>
      <c r="H10" s="31" t="str">
        <f t="shared" si="1"/>
        <v/>
      </c>
    </row>
    <row r="11" spans="1:8" x14ac:dyDescent="0.25">
      <c r="A11" s="7" t="s">
        <v>248</v>
      </c>
      <c r="B11" s="10" t="s">
        <v>333</v>
      </c>
      <c r="C11" s="34" t="str">
        <f>'H8. Flexibilidad y eficiencia'!I4</f>
        <v/>
      </c>
      <c r="D11" s="34" t="str">
        <f>_xlfn.IFNA(INDEX(Datos!$B$4:$C$8,MATCH(C11,Datos!$C$4:$C$8),1),"")</f>
        <v/>
      </c>
      <c r="E11" s="35" t="str">
        <f t="shared" si="0"/>
        <v/>
      </c>
      <c r="F11" s="29" t="str">
        <f>'H8. Flexibilidad y eficiencia'!I7</f>
        <v/>
      </c>
      <c r="G11" s="30" t="str">
        <f>'H8. Flexibilidad y eficiencia'!J7</f>
        <v/>
      </c>
      <c r="H11" s="31" t="str">
        <f t="shared" si="1"/>
        <v/>
      </c>
    </row>
    <row r="12" spans="1:8" x14ac:dyDescent="0.25">
      <c r="A12" s="7" t="s">
        <v>257</v>
      </c>
      <c r="B12" s="10" t="s">
        <v>334</v>
      </c>
      <c r="C12" s="34" t="str">
        <f>'H9. Diseno minimalista'!I4</f>
        <v/>
      </c>
      <c r="D12" s="34" t="str">
        <f>_xlfn.IFNA(INDEX(Datos!$B$4:$C$8,MATCH(C12,Datos!$C$4:$C$8),1),"")</f>
        <v/>
      </c>
      <c r="E12" s="35" t="str">
        <f t="shared" si="0"/>
        <v/>
      </c>
      <c r="F12" s="29">
        <v>0</v>
      </c>
      <c r="G12" s="30" t="str">
        <f>'H9. Diseno minimalista'!J7</f>
        <v/>
      </c>
      <c r="H12" s="31">
        <f t="shared" si="1"/>
        <v>0</v>
      </c>
    </row>
    <row r="13" spans="1:8" x14ac:dyDescent="0.25">
      <c r="A13" s="7" t="s">
        <v>278</v>
      </c>
      <c r="B13" s="10" t="s">
        <v>335</v>
      </c>
      <c r="C13" s="34" t="str">
        <f>'H10. Documentación'!I4</f>
        <v/>
      </c>
      <c r="D13" s="34" t="str">
        <f>_xlfn.IFNA(INDEX(Datos!$B$4:$C$8,MATCH(C13,Datos!$C$4:$C$8),1),"")</f>
        <v/>
      </c>
      <c r="E13" s="35" t="str">
        <f t="shared" si="0"/>
        <v/>
      </c>
      <c r="F13" s="29">
        <v>0</v>
      </c>
      <c r="G13" s="30" t="str">
        <f>'H10. Documentación'!J7</f>
        <v/>
      </c>
      <c r="H13" s="31">
        <f t="shared" si="1"/>
        <v>0</v>
      </c>
    </row>
    <row r="14" spans="1:8" x14ac:dyDescent="0.25">
      <c r="A14" s="7" t="s">
        <v>283</v>
      </c>
      <c r="B14" s="10" t="s">
        <v>336</v>
      </c>
      <c r="C14" s="34" t="str">
        <f>'H11. Contenido'!I4</f>
        <v/>
      </c>
      <c r="D14" s="34" t="str">
        <f>_xlfn.IFNA(INDEX(Datos!$B$4:$C$8,MATCH(C14,Datos!$C$4:$C$8),1),"")</f>
        <v/>
      </c>
      <c r="E14" s="35" t="str">
        <f t="shared" si="0"/>
        <v/>
      </c>
      <c r="F14" s="29">
        <v>0</v>
      </c>
      <c r="G14" s="30" t="str">
        <f>'H11. Contenido'!J7</f>
        <v/>
      </c>
      <c r="H14" s="31">
        <f t="shared" si="1"/>
        <v>0</v>
      </c>
    </row>
    <row r="15" spans="1:8" x14ac:dyDescent="0.25">
      <c r="A15" s="7" t="s">
        <v>296</v>
      </c>
      <c r="B15" s="10" t="s">
        <v>337</v>
      </c>
      <c r="C15" s="34" t="str">
        <f>'H12. Confiabilidad y eficiencia'!I4</f>
        <v/>
      </c>
      <c r="D15" s="34" t="str">
        <f>_xlfn.IFNA(INDEX(Datos!$B$4:$C$8,MATCH(C15,Datos!$C$4:$C$8),1),"")</f>
        <v/>
      </c>
      <c r="E15" s="35" t="str">
        <f t="shared" si="0"/>
        <v/>
      </c>
      <c r="F15" s="29">
        <v>0</v>
      </c>
      <c r="G15" s="30" t="str">
        <f>'H12. Confiabilidad y eficiencia'!J7</f>
        <v/>
      </c>
      <c r="H15" s="31">
        <f t="shared" si="1"/>
        <v>0</v>
      </c>
    </row>
    <row r="16" spans="1:8" x14ac:dyDescent="0.25">
      <c r="A16" s="7" t="s">
        <v>311</v>
      </c>
      <c r="B16" s="10" t="s">
        <v>338</v>
      </c>
      <c r="C16" s="34" t="str">
        <f>'H13. Búsqueda'!I4</f>
        <v/>
      </c>
      <c r="D16" s="34" t="str">
        <f>_xlfn.IFNA(INDEX(Datos!$B$4:$C$8,MATCH(C16,Datos!$C$4:$C$8),1),"")</f>
        <v/>
      </c>
      <c r="E16" s="35" t="str">
        <f t="shared" si="0"/>
        <v/>
      </c>
      <c r="F16" s="29">
        <v>0</v>
      </c>
      <c r="G16" s="30" t="str">
        <f>'H13. Búsqueda'!J7</f>
        <v/>
      </c>
      <c r="H16" s="31">
        <f t="shared" si="1"/>
        <v>0</v>
      </c>
    </row>
    <row r="17" spans="2:8" ht="18.75" x14ac:dyDescent="0.25">
      <c r="B17" s="27" t="s">
        <v>339</v>
      </c>
      <c r="C17" s="36" t="str">
        <f>IFERROR(AVERAGE(C4:C16),"")</f>
        <v/>
      </c>
      <c r="D17" s="36" t="str">
        <f>_xlfn.IFNA(INDEX(Datos!$B$4:$C$8,MATCH(C17,Datos!$C$4:$C$8),1),"")</f>
        <v/>
      </c>
      <c r="E17" s="37" t="str">
        <f t="shared" ref="E17:F17" si="2">IFERROR(AVERAGE(E4:E16),"")</f>
        <v/>
      </c>
      <c r="F17" s="38">
        <f t="shared" si="2"/>
        <v>0</v>
      </c>
      <c r="G17" s="39" t="str">
        <f>IF(F17&lt;&gt;"",IF(F17&lt;=1,Datos!L4,IF(AND(F17&gt;1,F17&lt;=2),Datos!L5,IF(AND(F17&gt;2,F17&lt;=3),Datos!L6,IF(AND(F17&gt;3,F17&lt;=4),Datos!L7,IF(F17&gt;4,Datos!L8,""))))),"")</f>
        <v>Problema minimo</v>
      </c>
      <c r="H17" s="40">
        <f>IFERROR(AVERAGE(H4:H16),0)</f>
        <v>0</v>
      </c>
    </row>
  </sheetData>
  <mergeCells count="3">
    <mergeCell ref="B2:B3"/>
    <mergeCell ref="C2:E2"/>
    <mergeCell ref="F2:H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13" workbookViewId="0">
      <selection activeCell="C23" sqref="C23"/>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 min="8" max="8" width="29.5703125" customWidth="1"/>
  </cols>
  <sheetData>
    <row r="1" spans="1:12" x14ac:dyDescent="0.25">
      <c r="C1" s="45">
        <v>1</v>
      </c>
      <c r="D1" s="45">
        <v>2</v>
      </c>
      <c r="E1" s="45">
        <v>3</v>
      </c>
      <c r="F1" s="45">
        <v>4</v>
      </c>
      <c r="G1" s="46">
        <v>5</v>
      </c>
      <c r="H1" s="7"/>
    </row>
    <row r="2" spans="1:12" ht="45" customHeight="1" x14ac:dyDescent="0.25">
      <c r="B2" s="52" t="s">
        <v>318</v>
      </c>
      <c r="C2" s="53" t="s">
        <v>9</v>
      </c>
      <c r="D2" s="53" t="s">
        <v>13</v>
      </c>
      <c r="E2" s="53" t="s">
        <v>16</v>
      </c>
      <c r="F2" s="53" t="s">
        <v>19</v>
      </c>
      <c r="G2" s="53" t="s">
        <v>23</v>
      </c>
      <c r="H2" s="54" t="s">
        <v>340</v>
      </c>
      <c r="I2" s="48"/>
      <c r="J2" s="48"/>
    </row>
    <row r="3" spans="1:12" x14ac:dyDescent="0.25">
      <c r="A3" s="62" t="s">
        <v>36</v>
      </c>
      <c r="B3" s="50" t="s">
        <v>326</v>
      </c>
      <c r="C3" s="21">
        <f>COUNTIF(tbl_h1[Valoracion Numerica],C1)</f>
        <v>0</v>
      </c>
      <c r="D3" s="21">
        <f>COUNTIF(tbl_h1[Valoracion Numerica],D1)</f>
        <v>0</v>
      </c>
      <c r="E3" s="21">
        <f>COUNTIF(tbl_h1[Valoracion Numerica],E1)</f>
        <v>0</v>
      </c>
      <c r="F3" s="21">
        <f>COUNTIF(tbl_h1[Valoracion Numerica],F1)</f>
        <v>0</v>
      </c>
      <c r="G3" s="21">
        <f>COUNTIF(tbl_h1[Valoracion Numerica],G1)</f>
        <v>0</v>
      </c>
      <c r="H3" s="51">
        <f>SUM(C3:G3)</f>
        <v>0</v>
      </c>
      <c r="I3" s="49"/>
      <c r="J3" s="49"/>
      <c r="K3">
        <v>1</v>
      </c>
      <c r="L3" t="str">
        <f t="shared" ref="L3:L15" si="0">CONCATENATE("=CONTAR.SI(tbl_h",K3,"[Valoracion Numerica],G1)")</f>
        <v>=CONTAR.SI(tbl_h1[Valoracion Numerica],G1)</v>
      </c>
    </row>
    <row r="4" spans="1:12" x14ac:dyDescent="0.25">
      <c r="A4" s="63" t="s">
        <v>81</v>
      </c>
      <c r="B4" s="50" t="s">
        <v>327</v>
      </c>
      <c r="C4" s="21">
        <f>COUNTIF(tbl_h2[Valoracion Numerica],C1)</f>
        <v>0</v>
      </c>
      <c r="D4" s="21">
        <f>COUNTIF(tbl_h2[Valoracion Numerica],D1)</f>
        <v>0</v>
      </c>
      <c r="E4" s="21">
        <f>COUNTIF(tbl_h2[Valoracion Numerica],E1)</f>
        <v>0</v>
      </c>
      <c r="F4" s="21">
        <f>COUNTIF(tbl_h2[Valoracion Numerica],F1)</f>
        <v>0</v>
      </c>
      <c r="G4" s="21">
        <f>COUNTIF(tbl_h2[Valoracion Numerica],G1)</f>
        <v>0</v>
      </c>
      <c r="H4" s="51">
        <f t="shared" ref="H4:H15" si="1">SUM(C4:G4)</f>
        <v>0</v>
      </c>
      <c r="I4" s="49"/>
      <c r="J4" s="49"/>
      <c r="K4">
        <v>2</v>
      </c>
      <c r="L4" t="str">
        <f t="shared" si="0"/>
        <v>=CONTAR.SI(tbl_h2[Valoracion Numerica],G1)</v>
      </c>
    </row>
    <row r="5" spans="1:12" x14ac:dyDescent="0.25">
      <c r="A5" s="62" t="s">
        <v>115</v>
      </c>
      <c r="B5" s="50" t="s">
        <v>328</v>
      </c>
      <c r="C5" s="21">
        <f>COUNTIF(tbl_h3[Valoracion Numerica],C1)</f>
        <v>0</v>
      </c>
      <c r="D5" s="21">
        <f>COUNTIF(tbl_h3[Valoracion Numerica],D1)</f>
        <v>0</v>
      </c>
      <c r="E5" s="21">
        <f>COUNTIF(tbl_h3[Valoracion Numerica],E1)</f>
        <v>0</v>
      </c>
      <c r="F5" s="21">
        <f>COUNTIF(tbl_h3[Valoracion Numerica],F1)</f>
        <v>0</v>
      </c>
      <c r="G5" s="21">
        <f>COUNTIF(tbl_h3[Valoracion Numerica],G1)</f>
        <v>0</v>
      </c>
      <c r="H5" s="51">
        <f t="shared" si="1"/>
        <v>0</v>
      </c>
      <c r="I5" s="49"/>
      <c r="J5" s="49"/>
      <c r="K5">
        <v>3</v>
      </c>
      <c r="L5" t="str">
        <f t="shared" si="0"/>
        <v>=CONTAR.SI(tbl_h3[Valoracion Numerica],G1)</v>
      </c>
    </row>
    <row r="6" spans="1:12" x14ac:dyDescent="0.25">
      <c r="A6" s="63" t="s">
        <v>142</v>
      </c>
      <c r="B6" s="50" t="s">
        <v>329</v>
      </c>
      <c r="C6" s="21">
        <f>COUNTIF(tbl_h4[Valoracion Numerica],C1)</f>
        <v>0</v>
      </c>
      <c r="D6" s="21">
        <f>COUNTIF(tbl_h4[Valoracion Numerica],D1)</f>
        <v>0</v>
      </c>
      <c r="E6" s="21">
        <f>COUNTIF(tbl_h4[Valoracion Numerica],E1)</f>
        <v>0</v>
      </c>
      <c r="F6" s="21">
        <f>COUNTIF(tbl_h4[Valoracion Numerica],F1)</f>
        <v>0</v>
      </c>
      <c r="G6" s="21">
        <f>COUNTIF(tbl_h4[Valoracion Numerica],G1)</f>
        <v>0</v>
      </c>
      <c r="H6" s="51">
        <f t="shared" si="1"/>
        <v>0</v>
      </c>
      <c r="I6" s="49"/>
      <c r="J6" s="49"/>
      <c r="K6">
        <v>4</v>
      </c>
      <c r="L6" t="str">
        <f t="shared" si="0"/>
        <v>=CONTAR.SI(tbl_h4[Valoracion Numerica],G1)</v>
      </c>
    </row>
    <row r="7" spans="1:12" x14ac:dyDescent="0.25">
      <c r="A7" s="62" t="s">
        <v>181</v>
      </c>
      <c r="B7" s="50" t="s">
        <v>330</v>
      </c>
      <c r="C7" s="21">
        <f>COUNTIF(tbl_h5[Valoracion Numerica],C1)</f>
        <v>0</v>
      </c>
      <c r="D7" s="21">
        <f>COUNTIF(tbl_h5[Valoracion Numerica],D1)</f>
        <v>0</v>
      </c>
      <c r="E7" s="21">
        <f>COUNTIF(tbl_h5[Valoracion Numerica],E1)</f>
        <v>0</v>
      </c>
      <c r="F7" s="21">
        <f>COUNTIF(tbl_h5[Valoracion Numerica],F1)</f>
        <v>0</v>
      </c>
      <c r="G7" s="21">
        <f>COUNTIF(tbl_h5[Valoracion Numerica],G1)</f>
        <v>0</v>
      </c>
      <c r="H7" s="51">
        <f t="shared" si="1"/>
        <v>0</v>
      </c>
      <c r="I7" s="49"/>
      <c r="J7" s="49"/>
      <c r="K7">
        <v>5</v>
      </c>
      <c r="L7" t="str">
        <f t="shared" si="0"/>
        <v>=CONTAR.SI(tbl_h5[Valoracion Numerica],G1)</v>
      </c>
    </row>
    <row r="8" spans="1:12" x14ac:dyDescent="0.25">
      <c r="A8" s="63" t="s">
        <v>194</v>
      </c>
      <c r="B8" s="50" t="s">
        <v>331</v>
      </c>
      <c r="C8" s="21">
        <f>COUNTIF(tbl_h6[Valoracion Numerica],C1)</f>
        <v>0</v>
      </c>
      <c r="D8" s="21">
        <f>COUNTIF(tbl_h6[Valoracion Numerica],D1)</f>
        <v>0</v>
      </c>
      <c r="E8" s="21">
        <f>COUNTIF(tbl_h6[Valoracion Numerica],E1)</f>
        <v>0</v>
      </c>
      <c r="F8" s="21">
        <f>COUNTIF(tbl_h6[Valoracion Numerica],F1)</f>
        <v>0</v>
      </c>
      <c r="G8" s="21">
        <f>COUNTIF(tbl_h6[Valoracion Numerica],G1)</f>
        <v>0</v>
      </c>
      <c r="H8" s="51">
        <f t="shared" si="1"/>
        <v>0</v>
      </c>
      <c r="I8" s="49"/>
      <c r="J8" s="49"/>
      <c r="K8">
        <v>6</v>
      </c>
      <c r="L8" t="str">
        <f t="shared" si="0"/>
        <v>=CONTAR.SI(tbl_h6[Valoracion Numerica],G1)</v>
      </c>
    </row>
    <row r="9" spans="1:12" x14ac:dyDescent="0.25">
      <c r="A9" s="62" t="s">
        <v>207</v>
      </c>
      <c r="B9" s="50" t="s">
        <v>332</v>
      </c>
      <c r="C9" s="21">
        <f>COUNTIF(tbl_h7[Valoracion Numerica],C1)</f>
        <v>0</v>
      </c>
      <c r="D9" s="21">
        <f>COUNTIF(tbl_h7[Valoracion Numerica],D1)</f>
        <v>0</v>
      </c>
      <c r="E9" s="21">
        <f>COUNTIF(tbl_h7[Valoracion Numerica],E1)</f>
        <v>0</v>
      </c>
      <c r="F9" s="21">
        <f>COUNTIF(tbl_h7[Valoracion Numerica],F1)</f>
        <v>0</v>
      </c>
      <c r="G9" s="21">
        <f>COUNTIF(tbl_h7[Valoracion Numerica],G1)</f>
        <v>0</v>
      </c>
      <c r="H9" s="51">
        <f t="shared" si="1"/>
        <v>0</v>
      </c>
      <c r="I9" s="49"/>
      <c r="J9" s="49"/>
      <c r="K9">
        <v>7</v>
      </c>
      <c r="L9" t="str">
        <f t="shared" si="0"/>
        <v>=CONTAR.SI(tbl_h7[Valoracion Numerica],G1)</v>
      </c>
    </row>
    <row r="10" spans="1:12" x14ac:dyDescent="0.25">
      <c r="A10" s="63" t="s">
        <v>248</v>
      </c>
      <c r="B10" s="50" t="s">
        <v>333</v>
      </c>
      <c r="C10" s="21">
        <f>COUNTIF(tbl_h8[Valoracion Numerica],C1)</f>
        <v>0</v>
      </c>
      <c r="D10" s="21">
        <f>COUNTIF(tbl_h8[Valoracion Numerica],D1)</f>
        <v>0</v>
      </c>
      <c r="E10" s="21">
        <f>COUNTIF(tbl_h8[Valoracion Numerica],E1)</f>
        <v>0</v>
      </c>
      <c r="F10" s="21">
        <f>COUNTIF(tbl_h8[Valoracion Numerica],F1)</f>
        <v>0</v>
      </c>
      <c r="G10" s="21">
        <f>COUNTIF(tbl_h8[Valoracion Numerica],G1)</f>
        <v>0</v>
      </c>
      <c r="H10" s="51">
        <f t="shared" si="1"/>
        <v>0</v>
      </c>
      <c r="I10" s="49"/>
      <c r="J10" s="49"/>
      <c r="K10">
        <v>8</v>
      </c>
      <c r="L10" t="str">
        <f t="shared" si="0"/>
        <v>=CONTAR.SI(tbl_h8[Valoracion Numerica],G1)</v>
      </c>
    </row>
    <row r="11" spans="1:12" x14ac:dyDescent="0.25">
      <c r="A11" s="62" t="s">
        <v>257</v>
      </c>
      <c r="B11" s="50" t="s">
        <v>334</v>
      </c>
      <c r="C11" s="21">
        <f>COUNTIF(tbl_h9[Valoracion Numerica],C1)</f>
        <v>0</v>
      </c>
      <c r="D11" s="21">
        <f>COUNTIF(tbl_h9[Valoracion Numerica],D1)</f>
        <v>0</v>
      </c>
      <c r="E11" s="21">
        <f>COUNTIF(tbl_h9[Valoracion Numerica],E1)</f>
        <v>0</v>
      </c>
      <c r="F11" s="21">
        <f>COUNTIF(tbl_h9[Valoracion Numerica],F1)</f>
        <v>0</v>
      </c>
      <c r="G11" s="21">
        <f>COUNTIF(tbl_h9[Valoracion Numerica],G1)</f>
        <v>0</v>
      </c>
      <c r="H11" s="51">
        <f t="shared" si="1"/>
        <v>0</v>
      </c>
      <c r="I11" s="49"/>
      <c r="J11" s="49"/>
      <c r="K11">
        <v>9</v>
      </c>
      <c r="L11" t="str">
        <f t="shared" si="0"/>
        <v>=CONTAR.SI(tbl_h9[Valoracion Numerica],G1)</v>
      </c>
    </row>
    <row r="12" spans="1:12" x14ac:dyDescent="0.25">
      <c r="A12" s="63" t="s">
        <v>278</v>
      </c>
      <c r="B12" s="50" t="s">
        <v>335</v>
      </c>
      <c r="C12" s="21">
        <f>COUNTIF(tbl_h10[Valoracion Numerica],C1)</f>
        <v>0</v>
      </c>
      <c r="D12" s="21">
        <f>COUNTIF(tbl_h10[Valoracion Numerica],D1)</f>
        <v>0</v>
      </c>
      <c r="E12" s="21">
        <f>COUNTIF(tbl_h10[Valoracion Numerica],E1)</f>
        <v>0</v>
      </c>
      <c r="F12" s="21">
        <f>COUNTIF(tbl_h10[Valoracion Numerica],F1)</f>
        <v>0</v>
      </c>
      <c r="G12" s="21">
        <f>COUNTIF(tbl_h10[Valoracion Numerica],G1)</f>
        <v>0</v>
      </c>
      <c r="H12" s="51">
        <f t="shared" si="1"/>
        <v>0</v>
      </c>
      <c r="I12" s="49"/>
      <c r="J12" s="49"/>
      <c r="K12">
        <v>10</v>
      </c>
      <c r="L12" t="str">
        <f t="shared" si="0"/>
        <v>=CONTAR.SI(tbl_h10[Valoracion Numerica],G1)</v>
      </c>
    </row>
    <row r="13" spans="1:12" x14ac:dyDescent="0.25">
      <c r="A13" s="62" t="s">
        <v>283</v>
      </c>
      <c r="B13" s="50" t="s">
        <v>336</v>
      </c>
      <c r="C13" s="21">
        <f>COUNTIF(tbl_h11[Valoracion Numerica],C1)</f>
        <v>0</v>
      </c>
      <c r="D13" s="21">
        <f>COUNTIF(tbl_h11[Valoracion Numerica],D1)</f>
        <v>0</v>
      </c>
      <c r="E13" s="21">
        <f>COUNTIF(tbl_h11[Valoracion Numerica],E1)</f>
        <v>0</v>
      </c>
      <c r="F13" s="21">
        <f>COUNTIF(tbl_h11[Valoracion Numerica],F1)</f>
        <v>0</v>
      </c>
      <c r="G13" s="21">
        <f>COUNTIF(tbl_h11[Valoracion Numerica],G1)</f>
        <v>0</v>
      </c>
      <c r="H13" s="51">
        <f t="shared" si="1"/>
        <v>0</v>
      </c>
      <c r="I13" s="49"/>
      <c r="J13" s="49"/>
      <c r="K13">
        <v>11</v>
      </c>
      <c r="L13" t="str">
        <f t="shared" si="0"/>
        <v>=CONTAR.SI(tbl_h11[Valoracion Numerica],G1)</v>
      </c>
    </row>
    <row r="14" spans="1:12" x14ac:dyDescent="0.25">
      <c r="A14" s="63" t="s">
        <v>296</v>
      </c>
      <c r="B14" s="50" t="s">
        <v>337</v>
      </c>
      <c r="C14" s="21">
        <f>COUNTIF(tbl_h12[Valoracion Numerica],C1)</f>
        <v>0</v>
      </c>
      <c r="D14" s="21">
        <f>COUNTIF(tbl_h12[Valoracion Numerica],D1)</f>
        <v>0</v>
      </c>
      <c r="E14" s="21">
        <f>COUNTIF(tbl_h12[Valoracion Numerica],E1)</f>
        <v>0</v>
      </c>
      <c r="F14" s="21">
        <f>COUNTIF(tbl_h12[Valoracion Numerica],F1)</f>
        <v>0</v>
      </c>
      <c r="G14" s="21">
        <f>COUNTIF(tbl_h12[Valoracion Numerica],G1)</f>
        <v>0</v>
      </c>
      <c r="H14" s="51">
        <f t="shared" si="1"/>
        <v>0</v>
      </c>
      <c r="I14" s="49"/>
      <c r="J14" s="49"/>
      <c r="K14">
        <v>12</v>
      </c>
      <c r="L14" t="str">
        <f t="shared" si="0"/>
        <v>=CONTAR.SI(tbl_h12[Valoracion Numerica],G1)</v>
      </c>
    </row>
    <row r="15" spans="1:12" x14ac:dyDescent="0.25">
      <c r="A15" s="62" t="s">
        <v>311</v>
      </c>
      <c r="B15" s="50" t="s">
        <v>338</v>
      </c>
      <c r="C15" s="21">
        <f>COUNTIF(tbl_h13[Valoracion Numerica],C1)</f>
        <v>0</v>
      </c>
      <c r="D15" s="21">
        <f>COUNTIF(tbl_h13[Valoracion Numerica],D1)</f>
        <v>0</v>
      </c>
      <c r="E15" s="21">
        <f>COUNTIF(tbl_h13[Valoracion Numerica],E1)</f>
        <v>0</v>
      </c>
      <c r="F15" s="21">
        <f>COUNTIF(tbl_h13[Valoracion Numerica],F1)</f>
        <v>0</v>
      </c>
      <c r="G15" s="21">
        <f>COUNTIF(tbl_h13[Valoracion Numerica],G1)</f>
        <v>0</v>
      </c>
      <c r="H15" s="51">
        <f t="shared" si="1"/>
        <v>0</v>
      </c>
      <c r="I15" s="49"/>
      <c r="J15" s="49"/>
      <c r="K15">
        <v>13</v>
      </c>
      <c r="L15" t="str">
        <f t="shared" si="0"/>
        <v>=CONTAR.SI(tbl_h13[Valoracion Numerica],G1)</v>
      </c>
    </row>
    <row r="16" spans="1:12" x14ac:dyDescent="0.25">
      <c r="B16" s="55" t="s">
        <v>341</v>
      </c>
      <c r="C16" s="56">
        <f>SUM(C3:C15)</f>
        <v>0</v>
      </c>
      <c r="D16" s="56">
        <f t="shared" ref="D16:H16" si="2">SUM(D3:D15)</f>
        <v>0</v>
      </c>
      <c r="E16" s="56">
        <f t="shared" si="2"/>
        <v>0</v>
      </c>
      <c r="F16" s="56">
        <f t="shared" si="2"/>
        <v>0</v>
      </c>
      <c r="G16" s="56">
        <f t="shared" si="2"/>
        <v>0</v>
      </c>
      <c r="H16" s="58">
        <f t="shared" si="2"/>
        <v>0</v>
      </c>
    </row>
    <row r="17" spans="3:8" x14ac:dyDescent="0.25">
      <c r="C17" s="57"/>
      <c r="D17" s="57"/>
      <c r="E17" s="57"/>
      <c r="F17" s="57"/>
      <c r="G17" s="57"/>
      <c r="H17" s="59">
        <f>SUM(C17:G17)</f>
        <v>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2" workbookViewId="0">
      <selection activeCell="C3" sqref="C3"/>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s>
  <sheetData>
    <row r="1" spans="1:11" x14ac:dyDescent="0.25">
      <c r="C1" s="45">
        <v>1</v>
      </c>
      <c r="D1" s="45">
        <v>2</v>
      </c>
      <c r="E1" s="45">
        <v>3</v>
      </c>
      <c r="F1" s="45">
        <v>4</v>
      </c>
      <c r="G1" s="46">
        <v>5</v>
      </c>
    </row>
    <row r="2" spans="1:11" ht="45" customHeight="1" x14ac:dyDescent="0.25">
      <c r="B2" s="52" t="s">
        <v>318</v>
      </c>
      <c r="C2" s="53" t="s">
        <v>9</v>
      </c>
      <c r="D2" s="53" t="s">
        <v>13</v>
      </c>
      <c r="E2" s="53" t="s">
        <v>16</v>
      </c>
      <c r="F2" s="53" t="s">
        <v>19</v>
      </c>
      <c r="G2" s="53" t="s">
        <v>23</v>
      </c>
      <c r="H2" s="48"/>
      <c r="I2" s="48"/>
    </row>
    <row r="3" spans="1:11" x14ac:dyDescent="0.25">
      <c r="A3" s="62" t="s">
        <v>36</v>
      </c>
      <c r="B3" s="50" t="s">
        <v>326</v>
      </c>
      <c r="C3" s="60" t="e">
        <f>Tabla2[[#This Row],[No se cumple]]/'Resultados de cumplimiento'!$C$16</f>
        <v>#DIV/0!</v>
      </c>
      <c r="D3" s="60" t="e">
        <f>Tabla2[[#This Row],[Probablemente no se cumple]]/'Resultados de cumplimiento'!$D$16</f>
        <v>#DIV/0!</v>
      </c>
      <c r="E3" s="60" t="e">
        <f>Tabla2[[#This Row],[Medianamente se cumple]]/'Resultados de cumplimiento'!$E$16</f>
        <v>#DIV/0!</v>
      </c>
      <c r="F3" s="60" t="e">
        <f>Tabla2[[#This Row],[Cumplido]]/'Resultados de cumplimiento'!$F$16</f>
        <v>#DIV/0!</v>
      </c>
      <c r="G3" s="60" t="e">
        <f>Tabla2[[#This Row],[Se cumple totalmente]]/'Resultados de cumplimiento'!$G$16</f>
        <v>#DIV/0!</v>
      </c>
      <c r="H3" s="49"/>
      <c r="I3" s="49"/>
      <c r="J3">
        <v>1</v>
      </c>
      <c r="K3" t="str">
        <f t="shared" ref="K3:K15" si="0">CONCATENATE("=CONTAR.SI(tbl_h",J3,"[Valoracion Numerica],G1)")</f>
        <v>=CONTAR.SI(tbl_h1[Valoracion Numerica],G1)</v>
      </c>
    </row>
    <row r="4" spans="1:11" x14ac:dyDescent="0.25">
      <c r="A4" s="63" t="s">
        <v>81</v>
      </c>
      <c r="B4" s="50" t="s">
        <v>327</v>
      </c>
      <c r="C4" s="60" t="e">
        <f>Tabla2[[#This Row],[No se cumple]]/'Resultados de cumplimiento'!$C$16</f>
        <v>#DIV/0!</v>
      </c>
      <c r="D4" s="60" t="e">
        <f>Tabla2[[#This Row],[Probablemente no se cumple]]/'Resultados de cumplimiento'!$D$16</f>
        <v>#DIV/0!</v>
      </c>
      <c r="E4" s="60" t="e">
        <f>Tabla2[[#This Row],[Medianamente se cumple]]/'Resultados de cumplimiento'!$E$16</f>
        <v>#DIV/0!</v>
      </c>
      <c r="F4" s="60" t="e">
        <f>Tabla2[[#This Row],[Cumplido]]/'Resultados de cumplimiento'!$F$16</f>
        <v>#DIV/0!</v>
      </c>
      <c r="G4" s="60" t="e">
        <f>Tabla2[[#This Row],[Se cumple totalmente]]/'Resultados de cumplimiento'!$G$16</f>
        <v>#DIV/0!</v>
      </c>
      <c r="H4" s="49"/>
      <c r="I4" s="49"/>
      <c r="J4">
        <v>2</v>
      </c>
      <c r="K4" t="str">
        <f t="shared" si="0"/>
        <v>=CONTAR.SI(tbl_h2[Valoracion Numerica],G1)</v>
      </c>
    </row>
    <row r="5" spans="1:11" x14ac:dyDescent="0.25">
      <c r="A5" s="62" t="s">
        <v>115</v>
      </c>
      <c r="B5" s="50" t="s">
        <v>328</v>
      </c>
      <c r="C5" s="60" t="e">
        <f>Tabla2[[#This Row],[No se cumple]]/'Resultados de cumplimiento'!$C$16</f>
        <v>#DIV/0!</v>
      </c>
      <c r="D5" s="60" t="e">
        <f>Tabla2[[#This Row],[Probablemente no se cumple]]/'Resultados de cumplimiento'!$D$16</f>
        <v>#DIV/0!</v>
      </c>
      <c r="E5" s="60" t="e">
        <f>Tabla2[[#This Row],[Medianamente se cumple]]/'Resultados de cumplimiento'!$E$16</f>
        <v>#DIV/0!</v>
      </c>
      <c r="F5" s="60" t="e">
        <f>Tabla2[[#This Row],[Cumplido]]/'Resultados de cumplimiento'!$F$16</f>
        <v>#DIV/0!</v>
      </c>
      <c r="G5" s="60" t="e">
        <f>Tabla2[[#This Row],[Se cumple totalmente]]/'Resultados de cumplimiento'!$G$16</f>
        <v>#DIV/0!</v>
      </c>
      <c r="H5" s="49"/>
      <c r="I5" s="49"/>
      <c r="J5">
        <v>3</v>
      </c>
      <c r="K5" t="str">
        <f t="shared" si="0"/>
        <v>=CONTAR.SI(tbl_h3[Valoracion Numerica],G1)</v>
      </c>
    </row>
    <row r="6" spans="1:11" x14ac:dyDescent="0.25">
      <c r="A6" s="63" t="s">
        <v>142</v>
      </c>
      <c r="B6" s="50" t="s">
        <v>329</v>
      </c>
      <c r="C6" s="60" t="e">
        <f>Tabla2[[#This Row],[No se cumple]]/'Resultados de cumplimiento'!$C$16</f>
        <v>#DIV/0!</v>
      </c>
      <c r="D6" s="60" t="e">
        <f>Tabla2[[#This Row],[Probablemente no se cumple]]/'Resultados de cumplimiento'!$D$16</f>
        <v>#DIV/0!</v>
      </c>
      <c r="E6" s="60" t="e">
        <f>Tabla2[[#This Row],[Medianamente se cumple]]/'Resultados de cumplimiento'!$E$16</f>
        <v>#DIV/0!</v>
      </c>
      <c r="F6" s="60" t="e">
        <f>Tabla2[[#This Row],[Cumplido]]/'Resultados de cumplimiento'!$F$16</f>
        <v>#DIV/0!</v>
      </c>
      <c r="G6" s="60" t="e">
        <f>Tabla2[[#This Row],[Se cumple totalmente]]/'Resultados de cumplimiento'!$G$16</f>
        <v>#DIV/0!</v>
      </c>
      <c r="H6" s="49"/>
      <c r="I6" s="49"/>
      <c r="J6">
        <v>4</v>
      </c>
      <c r="K6" t="str">
        <f t="shared" si="0"/>
        <v>=CONTAR.SI(tbl_h4[Valoracion Numerica],G1)</v>
      </c>
    </row>
    <row r="7" spans="1:11" x14ac:dyDescent="0.25">
      <c r="A7" s="62" t="s">
        <v>181</v>
      </c>
      <c r="B7" s="50" t="s">
        <v>330</v>
      </c>
      <c r="C7" s="60" t="e">
        <f>Tabla2[[#This Row],[No se cumple]]/'Resultados de cumplimiento'!$C$16</f>
        <v>#DIV/0!</v>
      </c>
      <c r="D7" s="60" t="e">
        <f>Tabla2[[#This Row],[Probablemente no se cumple]]/'Resultados de cumplimiento'!$D$16</f>
        <v>#DIV/0!</v>
      </c>
      <c r="E7" s="60" t="e">
        <f>Tabla2[[#This Row],[Medianamente se cumple]]/'Resultados de cumplimiento'!$E$16</f>
        <v>#DIV/0!</v>
      </c>
      <c r="F7" s="60" t="e">
        <f>Tabla2[[#This Row],[Cumplido]]/'Resultados de cumplimiento'!$F$16</f>
        <v>#DIV/0!</v>
      </c>
      <c r="G7" s="60" t="e">
        <f>Tabla2[[#This Row],[Se cumple totalmente]]/'Resultados de cumplimiento'!$G$16</f>
        <v>#DIV/0!</v>
      </c>
      <c r="H7" s="49"/>
      <c r="I7" s="49"/>
      <c r="J7">
        <v>5</v>
      </c>
      <c r="K7" t="str">
        <f t="shared" si="0"/>
        <v>=CONTAR.SI(tbl_h5[Valoracion Numerica],G1)</v>
      </c>
    </row>
    <row r="8" spans="1:11" x14ac:dyDescent="0.25">
      <c r="A8" s="63" t="s">
        <v>194</v>
      </c>
      <c r="B8" s="50" t="s">
        <v>331</v>
      </c>
      <c r="C8" s="60" t="e">
        <f>Tabla2[[#This Row],[No se cumple]]/'Resultados de cumplimiento'!$C$16</f>
        <v>#DIV/0!</v>
      </c>
      <c r="D8" s="60" t="e">
        <f>Tabla2[[#This Row],[Probablemente no se cumple]]/'Resultados de cumplimiento'!$D$16</f>
        <v>#DIV/0!</v>
      </c>
      <c r="E8" s="60" t="e">
        <f>Tabla2[[#This Row],[Medianamente se cumple]]/'Resultados de cumplimiento'!$E$16</f>
        <v>#DIV/0!</v>
      </c>
      <c r="F8" s="60" t="e">
        <f>Tabla2[[#This Row],[Cumplido]]/'Resultados de cumplimiento'!$F$16</f>
        <v>#DIV/0!</v>
      </c>
      <c r="G8" s="60" t="e">
        <f>Tabla2[[#This Row],[Se cumple totalmente]]/'Resultados de cumplimiento'!$G$16</f>
        <v>#DIV/0!</v>
      </c>
      <c r="H8" s="49"/>
      <c r="I8" s="49"/>
      <c r="J8">
        <v>6</v>
      </c>
      <c r="K8" t="str">
        <f t="shared" si="0"/>
        <v>=CONTAR.SI(tbl_h6[Valoracion Numerica],G1)</v>
      </c>
    </row>
    <row r="9" spans="1:11" x14ac:dyDescent="0.25">
      <c r="A9" s="62" t="s">
        <v>207</v>
      </c>
      <c r="B9" s="50" t="s">
        <v>332</v>
      </c>
      <c r="C9" s="60" t="e">
        <f>Tabla2[[#This Row],[No se cumple]]/'Resultados de cumplimiento'!$C$16</f>
        <v>#DIV/0!</v>
      </c>
      <c r="D9" s="60" t="e">
        <f>Tabla2[[#This Row],[Probablemente no se cumple]]/'Resultados de cumplimiento'!$D$16</f>
        <v>#DIV/0!</v>
      </c>
      <c r="E9" s="60" t="e">
        <f>Tabla2[[#This Row],[Medianamente se cumple]]/'Resultados de cumplimiento'!$E$16</f>
        <v>#DIV/0!</v>
      </c>
      <c r="F9" s="60" t="e">
        <f>Tabla2[[#This Row],[Cumplido]]/'Resultados de cumplimiento'!$F$16</f>
        <v>#DIV/0!</v>
      </c>
      <c r="G9" s="60" t="e">
        <f>Tabla2[[#This Row],[Se cumple totalmente]]/'Resultados de cumplimiento'!$G$16</f>
        <v>#DIV/0!</v>
      </c>
      <c r="H9" s="49"/>
      <c r="I9" s="49"/>
      <c r="J9">
        <v>7</v>
      </c>
      <c r="K9" t="str">
        <f t="shared" si="0"/>
        <v>=CONTAR.SI(tbl_h7[Valoracion Numerica],G1)</v>
      </c>
    </row>
    <row r="10" spans="1:11" x14ac:dyDescent="0.25">
      <c r="A10" s="63" t="s">
        <v>248</v>
      </c>
      <c r="B10" s="50" t="s">
        <v>333</v>
      </c>
      <c r="C10" s="60" t="e">
        <f>Tabla2[[#This Row],[No se cumple]]/'Resultados de cumplimiento'!$C$16</f>
        <v>#DIV/0!</v>
      </c>
      <c r="D10" s="60" t="e">
        <f>Tabla2[[#This Row],[Probablemente no se cumple]]/'Resultados de cumplimiento'!$D$16</f>
        <v>#DIV/0!</v>
      </c>
      <c r="E10" s="60" t="e">
        <f>Tabla2[[#This Row],[Medianamente se cumple]]/'Resultados de cumplimiento'!$E$16</f>
        <v>#DIV/0!</v>
      </c>
      <c r="F10" s="60" t="e">
        <f>Tabla2[[#This Row],[Cumplido]]/'Resultados de cumplimiento'!$F$16</f>
        <v>#DIV/0!</v>
      </c>
      <c r="G10" s="60" t="e">
        <f>Tabla2[[#This Row],[Se cumple totalmente]]/'Resultados de cumplimiento'!$G$16</f>
        <v>#DIV/0!</v>
      </c>
      <c r="H10" s="49"/>
      <c r="I10" s="49"/>
      <c r="J10">
        <v>8</v>
      </c>
      <c r="K10" t="str">
        <f t="shared" si="0"/>
        <v>=CONTAR.SI(tbl_h8[Valoracion Numerica],G1)</v>
      </c>
    </row>
    <row r="11" spans="1:11" x14ac:dyDescent="0.25">
      <c r="A11" s="62" t="s">
        <v>257</v>
      </c>
      <c r="B11" s="50" t="s">
        <v>334</v>
      </c>
      <c r="C11" s="60" t="e">
        <f>Tabla2[[#This Row],[No se cumple]]/'Resultados de cumplimiento'!$C$16</f>
        <v>#DIV/0!</v>
      </c>
      <c r="D11" s="60" t="e">
        <f>Tabla2[[#This Row],[Probablemente no se cumple]]/'Resultados de cumplimiento'!$D$16</f>
        <v>#DIV/0!</v>
      </c>
      <c r="E11" s="60" t="e">
        <f>Tabla2[[#This Row],[Medianamente se cumple]]/'Resultados de cumplimiento'!$E$16</f>
        <v>#DIV/0!</v>
      </c>
      <c r="F11" s="60" t="e">
        <f>Tabla2[[#This Row],[Cumplido]]/'Resultados de cumplimiento'!$F$16</f>
        <v>#DIV/0!</v>
      </c>
      <c r="G11" s="60" t="e">
        <f>Tabla2[[#This Row],[Se cumple totalmente]]/'Resultados de cumplimiento'!$G$16</f>
        <v>#DIV/0!</v>
      </c>
      <c r="H11" s="49"/>
      <c r="I11" s="49"/>
      <c r="J11">
        <v>9</v>
      </c>
      <c r="K11" t="str">
        <f t="shared" si="0"/>
        <v>=CONTAR.SI(tbl_h9[Valoracion Numerica],G1)</v>
      </c>
    </row>
    <row r="12" spans="1:11" x14ac:dyDescent="0.25">
      <c r="A12" s="63" t="s">
        <v>278</v>
      </c>
      <c r="B12" s="50" t="s">
        <v>335</v>
      </c>
      <c r="C12" s="60" t="e">
        <f>Tabla2[[#This Row],[No se cumple]]/'Resultados de cumplimiento'!$C$16</f>
        <v>#DIV/0!</v>
      </c>
      <c r="D12" s="60" t="e">
        <f>Tabla2[[#This Row],[Probablemente no se cumple]]/'Resultados de cumplimiento'!$D$16</f>
        <v>#DIV/0!</v>
      </c>
      <c r="E12" s="60" t="e">
        <f>Tabla2[[#This Row],[Medianamente se cumple]]/'Resultados de cumplimiento'!$E$16</f>
        <v>#DIV/0!</v>
      </c>
      <c r="F12" s="60" t="e">
        <f>Tabla2[[#This Row],[Cumplido]]/'Resultados de cumplimiento'!$F$16</f>
        <v>#DIV/0!</v>
      </c>
      <c r="G12" s="60" t="e">
        <f>Tabla2[[#This Row],[Se cumple totalmente]]/'Resultados de cumplimiento'!$G$16</f>
        <v>#DIV/0!</v>
      </c>
      <c r="H12" s="49"/>
      <c r="I12" s="49"/>
      <c r="J12">
        <v>10</v>
      </c>
      <c r="K12" t="str">
        <f t="shared" si="0"/>
        <v>=CONTAR.SI(tbl_h10[Valoracion Numerica],G1)</v>
      </c>
    </row>
    <row r="13" spans="1:11" x14ac:dyDescent="0.25">
      <c r="A13" s="62" t="s">
        <v>283</v>
      </c>
      <c r="B13" s="50" t="s">
        <v>336</v>
      </c>
      <c r="C13" s="60" t="e">
        <f>Tabla2[[#This Row],[No se cumple]]/'Resultados de cumplimiento'!$C$16</f>
        <v>#DIV/0!</v>
      </c>
      <c r="D13" s="60" t="e">
        <f>Tabla2[[#This Row],[Probablemente no se cumple]]/'Resultados de cumplimiento'!$D$16</f>
        <v>#DIV/0!</v>
      </c>
      <c r="E13" s="60" t="e">
        <f>Tabla2[[#This Row],[Medianamente se cumple]]/'Resultados de cumplimiento'!$E$16</f>
        <v>#DIV/0!</v>
      </c>
      <c r="F13" s="60" t="e">
        <f>Tabla2[[#This Row],[Cumplido]]/'Resultados de cumplimiento'!$F$16</f>
        <v>#DIV/0!</v>
      </c>
      <c r="G13" s="60" t="e">
        <f>Tabla2[[#This Row],[Se cumple totalmente]]/'Resultados de cumplimiento'!$G$16</f>
        <v>#DIV/0!</v>
      </c>
      <c r="H13" s="49"/>
      <c r="I13" s="49"/>
      <c r="J13">
        <v>11</v>
      </c>
      <c r="K13" t="str">
        <f t="shared" si="0"/>
        <v>=CONTAR.SI(tbl_h11[Valoracion Numerica],G1)</v>
      </c>
    </row>
    <row r="14" spans="1:11" x14ac:dyDescent="0.25">
      <c r="A14" s="63" t="s">
        <v>296</v>
      </c>
      <c r="B14" s="50" t="s">
        <v>337</v>
      </c>
      <c r="C14" s="60" t="e">
        <f>Tabla2[[#This Row],[No se cumple]]/'Resultados de cumplimiento'!$C$16</f>
        <v>#DIV/0!</v>
      </c>
      <c r="D14" s="60" t="e">
        <f>Tabla2[[#This Row],[Probablemente no se cumple]]/'Resultados de cumplimiento'!$D$16</f>
        <v>#DIV/0!</v>
      </c>
      <c r="E14" s="60" t="e">
        <f>Tabla2[[#This Row],[Medianamente se cumple]]/'Resultados de cumplimiento'!$E$16</f>
        <v>#DIV/0!</v>
      </c>
      <c r="F14" s="60" t="e">
        <f>Tabla2[[#This Row],[Cumplido]]/'Resultados de cumplimiento'!$F$16</f>
        <v>#DIV/0!</v>
      </c>
      <c r="G14" s="60" t="e">
        <f>Tabla2[[#This Row],[Se cumple totalmente]]/'Resultados de cumplimiento'!$G$16</f>
        <v>#DIV/0!</v>
      </c>
      <c r="H14" s="49"/>
      <c r="I14" s="49"/>
      <c r="J14">
        <v>12</v>
      </c>
      <c r="K14" t="str">
        <f t="shared" si="0"/>
        <v>=CONTAR.SI(tbl_h12[Valoracion Numerica],G1)</v>
      </c>
    </row>
    <row r="15" spans="1:11" x14ac:dyDescent="0.25">
      <c r="A15" s="62" t="s">
        <v>311</v>
      </c>
      <c r="B15" s="50" t="s">
        <v>338</v>
      </c>
      <c r="C15" s="60" t="e">
        <f>Tabla2[[#This Row],[No se cumple]]/'Resultados de cumplimiento'!$C$16</f>
        <v>#DIV/0!</v>
      </c>
      <c r="D15" s="60" t="e">
        <f>Tabla2[[#This Row],[Probablemente no se cumple]]/'Resultados de cumplimiento'!$D$16</f>
        <v>#DIV/0!</v>
      </c>
      <c r="E15" s="60" t="e">
        <f>Tabla2[[#This Row],[Medianamente se cumple]]/'Resultados de cumplimiento'!$E$16</f>
        <v>#DIV/0!</v>
      </c>
      <c r="F15" s="60" t="e">
        <f>Tabla2[[#This Row],[Cumplido]]/'Resultados de cumplimiento'!$F$16</f>
        <v>#DIV/0!</v>
      </c>
      <c r="G15" s="60" t="e">
        <f>Tabla2[[#This Row],[Se cumple totalmente]]/'Resultados de cumplimiento'!$G$16</f>
        <v>#DIV/0!</v>
      </c>
      <c r="H15" s="49"/>
      <c r="I15" s="49"/>
      <c r="J15">
        <v>13</v>
      </c>
      <c r="K15" t="str">
        <f t="shared" si="0"/>
        <v>=CONTAR.SI(tbl_h13[Valoracion Numerica],G1)</v>
      </c>
    </row>
    <row r="16" spans="1:11" x14ac:dyDescent="0.25">
      <c r="B16" s="55" t="s">
        <v>341</v>
      </c>
      <c r="C16" s="61" t="e">
        <f>SUM(C3:C15)</f>
        <v>#DIV/0!</v>
      </c>
      <c r="D16" s="61" t="e">
        <f t="shared" ref="D16:G16" si="1">SUM(D3:D15)</f>
        <v>#DIV/0!</v>
      </c>
      <c r="E16" s="61" t="e">
        <f t="shared" si="1"/>
        <v>#DIV/0!</v>
      </c>
      <c r="F16" s="61" t="e">
        <f t="shared" si="1"/>
        <v>#DIV/0!</v>
      </c>
      <c r="G16" s="61" t="e">
        <f t="shared" si="1"/>
        <v>#DIV/0!</v>
      </c>
    </row>
    <row r="17" spans="3:7" x14ac:dyDescent="0.25">
      <c r="C17" s="57"/>
      <c r="D17" s="57"/>
      <c r="E17" s="57"/>
      <c r="F17" s="57"/>
      <c r="G17" s="5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9"/>
  <sheetViews>
    <sheetView tabSelected="1" workbookViewId="0">
      <selection activeCell="B13" sqref="B13"/>
    </sheetView>
  </sheetViews>
  <sheetFormatPr baseColWidth="10" defaultColWidth="9" defaultRowHeight="15" x14ac:dyDescent="0.25"/>
  <cols>
    <col min="1" max="1" width="9" style="3"/>
    <col min="2" max="2" width="63.28515625" style="3" customWidth="1"/>
    <col min="3" max="3" width="44.85546875" style="3" customWidth="1"/>
    <col min="4" max="16384" width="9" style="3"/>
  </cols>
  <sheetData>
    <row r="2" spans="2:3" x14ac:dyDescent="0.25">
      <c r="B2" s="73" t="s">
        <v>25</v>
      </c>
      <c r="C2" s="73"/>
    </row>
    <row r="3" spans="2:3" x14ac:dyDescent="0.25">
      <c r="B3" s="73"/>
      <c r="C3" s="73"/>
    </row>
    <row r="4" spans="2:3" x14ac:dyDescent="0.25">
      <c r="B4" s="4" t="s">
        <v>26</v>
      </c>
      <c r="C4" s="65"/>
    </row>
    <row r="5" spans="2:3" x14ac:dyDescent="0.25">
      <c r="B5" s="66" t="s">
        <v>27</v>
      </c>
      <c r="C5" s="65"/>
    </row>
    <row r="6" spans="2:3" x14ac:dyDescent="0.25">
      <c r="B6" s="66" t="s">
        <v>28</v>
      </c>
      <c r="C6" s="65"/>
    </row>
    <row r="7" spans="2:3" x14ac:dyDescent="0.25">
      <c r="B7" s="66" t="s">
        <v>29</v>
      </c>
      <c r="C7" s="65"/>
    </row>
    <row r="8" spans="2:3" x14ac:dyDescent="0.25">
      <c r="B8" s="66" t="s">
        <v>30</v>
      </c>
      <c r="C8" s="65"/>
    </row>
    <row r="9" spans="2:3" x14ac:dyDescent="0.25">
      <c r="B9" s="66" t="s">
        <v>31</v>
      </c>
      <c r="C9" s="65"/>
    </row>
    <row r="10" spans="2:3" x14ac:dyDescent="0.25">
      <c r="B10" s="66" t="s">
        <v>32</v>
      </c>
      <c r="C10" s="65"/>
    </row>
    <row r="11" spans="2:3" ht="15.75" x14ac:dyDescent="0.25">
      <c r="B11" s="5"/>
      <c r="C11" s="67"/>
    </row>
    <row r="49" spans="2:2" x14ac:dyDescent="0.25">
      <c r="B49" s="12"/>
    </row>
  </sheetData>
  <mergeCells count="1">
    <mergeCell ref="B2:C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19" workbookViewId="0">
      <selection activeCell="A3" sqref="A3:B15"/>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s>
  <sheetData>
    <row r="1" spans="1:11" x14ac:dyDescent="0.25">
      <c r="C1" s="45">
        <v>1</v>
      </c>
      <c r="D1" s="45">
        <v>2</v>
      </c>
      <c r="E1" s="45">
        <v>3</v>
      </c>
      <c r="F1" s="45">
        <v>4</v>
      </c>
      <c r="G1" s="46">
        <v>5</v>
      </c>
    </row>
    <row r="2" spans="1:11" ht="45" customHeight="1" x14ac:dyDescent="0.25">
      <c r="B2" s="52" t="s">
        <v>318</v>
      </c>
      <c r="C2" s="53" t="s">
        <v>9</v>
      </c>
      <c r="D2" s="53" t="s">
        <v>13</v>
      </c>
      <c r="E2" s="53" t="s">
        <v>16</v>
      </c>
      <c r="F2" s="53" t="s">
        <v>19</v>
      </c>
      <c r="G2" s="53" t="s">
        <v>23</v>
      </c>
      <c r="H2" s="48"/>
      <c r="I2" s="48"/>
    </row>
    <row r="3" spans="1:11" x14ac:dyDescent="0.25">
      <c r="A3" s="62" t="s">
        <v>36</v>
      </c>
      <c r="B3" s="50" t="s">
        <v>326</v>
      </c>
      <c r="C3" s="60" t="e">
        <f>Tabla2[[#This Row],[No se cumple]]/'Resultados de cumplimiento'!$H$16</f>
        <v>#DIV/0!</v>
      </c>
      <c r="D3" s="60" t="e">
        <f>Tabla2[[#This Row],[Probablemente no se cumple]]/'Resultados de cumplimiento'!$H$16</f>
        <v>#DIV/0!</v>
      </c>
      <c r="E3" s="60" t="e">
        <f>Tabla2[[#This Row],[Medianamente se cumple]]/'Resultados de cumplimiento'!$H$16</f>
        <v>#DIV/0!</v>
      </c>
      <c r="F3" s="60" t="e">
        <f>Tabla2[[#This Row],[Cumplido]]/'Resultados de cumplimiento'!$H$16</f>
        <v>#DIV/0!</v>
      </c>
      <c r="G3" s="60" t="e">
        <f>Tabla2[[#This Row],[Se cumple totalmente]]/'Resultados de cumplimiento'!$H$16</f>
        <v>#DIV/0!</v>
      </c>
      <c r="H3" s="49"/>
      <c r="I3" s="49"/>
      <c r="J3">
        <v>1</v>
      </c>
      <c r="K3" t="str">
        <f t="shared" ref="K3:K15" si="0">CONCATENATE("=CONTAR.SI(tbl_h",J3,"[Valoracion Numerica],G1)")</f>
        <v>=CONTAR.SI(tbl_h1[Valoracion Numerica],G1)</v>
      </c>
    </row>
    <row r="4" spans="1:11" x14ac:dyDescent="0.25">
      <c r="A4" s="63" t="s">
        <v>81</v>
      </c>
      <c r="B4" s="50" t="s">
        <v>327</v>
      </c>
      <c r="C4" s="60" t="e">
        <f>Tabla2[[#This Row],[No se cumple]]/'Resultados de cumplimiento'!$H$16</f>
        <v>#DIV/0!</v>
      </c>
      <c r="D4" s="60" t="e">
        <f>Tabla2[[#This Row],[Probablemente no se cumple]]/'Resultados de cumplimiento'!$H$16</f>
        <v>#DIV/0!</v>
      </c>
      <c r="E4" s="60" t="e">
        <f>Tabla2[[#This Row],[Medianamente se cumple]]/'Resultados de cumplimiento'!$H$16</f>
        <v>#DIV/0!</v>
      </c>
      <c r="F4" s="60" t="e">
        <f>Tabla2[[#This Row],[Cumplido]]/'Resultados de cumplimiento'!$H$16</f>
        <v>#DIV/0!</v>
      </c>
      <c r="G4" s="60" t="e">
        <f>Tabla2[[#This Row],[Se cumple totalmente]]/'Resultados de cumplimiento'!$H$16</f>
        <v>#DIV/0!</v>
      </c>
      <c r="H4" s="49"/>
      <c r="I4" s="49"/>
      <c r="J4">
        <v>2</v>
      </c>
      <c r="K4" t="str">
        <f t="shared" si="0"/>
        <v>=CONTAR.SI(tbl_h2[Valoracion Numerica],G1)</v>
      </c>
    </row>
    <row r="5" spans="1:11" x14ac:dyDescent="0.25">
      <c r="A5" s="62" t="s">
        <v>115</v>
      </c>
      <c r="B5" s="50" t="s">
        <v>328</v>
      </c>
      <c r="C5" s="60" t="e">
        <f>Tabla2[[#This Row],[No se cumple]]/'Resultados de cumplimiento'!$H$16</f>
        <v>#DIV/0!</v>
      </c>
      <c r="D5" s="60" t="e">
        <f>Tabla2[[#This Row],[Probablemente no se cumple]]/'Resultados de cumplimiento'!$H$16</f>
        <v>#DIV/0!</v>
      </c>
      <c r="E5" s="60" t="e">
        <f>Tabla2[[#This Row],[Medianamente se cumple]]/'Resultados de cumplimiento'!$H$16</f>
        <v>#DIV/0!</v>
      </c>
      <c r="F5" s="60" t="e">
        <f>Tabla2[[#This Row],[Cumplido]]/'Resultados de cumplimiento'!$H$16</f>
        <v>#DIV/0!</v>
      </c>
      <c r="G5" s="60" t="e">
        <f>Tabla2[[#This Row],[Se cumple totalmente]]/'Resultados de cumplimiento'!$H$16</f>
        <v>#DIV/0!</v>
      </c>
      <c r="H5" s="49"/>
      <c r="I5" s="49"/>
      <c r="J5">
        <v>3</v>
      </c>
      <c r="K5" t="str">
        <f t="shared" si="0"/>
        <v>=CONTAR.SI(tbl_h3[Valoracion Numerica],G1)</v>
      </c>
    </row>
    <row r="6" spans="1:11" x14ac:dyDescent="0.25">
      <c r="A6" s="63" t="s">
        <v>142</v>
      </c>
      <c r="B6" s="50" t="s">
        <v>329</v>
      </c>
      <c r="C6" s="60" t="e">
        <f>Tabla2[[#This Row],[No se cumple]]/'Resultados de cumplimiento'!$H$16</f>
        <v>#DIV/0!</v>
      </c>
      <c r="D6" s="60" t="e">
        <f>Tabla2[[#This Row],[Probablemente no se cumple]]/'Resultados de cumplimiento'!$H$16</f>
        <v>#DIV/0!</v>
      </c>
      <c r="E6" s="60" t="e">
        <f>Tabla2[[#This Row],[Medianamente se cumple]]/'Resultados de cumplimiento'!$H$16</f>
        <v>#DIV/0!</v>
      </c>
      <c r="F6" s="60" t="e">
        <f>Tabla2[[#This Row],[Cumplido]]/'Resultados de cumplimiento'!$H$16</f>
        <v>#DIV/0!</v>
      </c>
      <c r="G6" s="60" t="e">
        <f>Tabla2[[#This Row],[Se cumple totalmente]]/'Resultados de cumplimiento'!$H$16</f>
        <v>#DIV/0!</v>
      </c>
      <c r="H6" s="49"/>
      <c r="I6" s="49"/>
      <c r="J6">
        <v>4</v>
      </c>
      <c r="K6" t="str">
        <f t="shared" si="0"/>
        <v>=CONTAR.SI(tbl_h4[Valoracion Numerica],G1)</v>
      </c>
    </row>
    <row r="7" spans="1:11" x14ac:dyDescent="0.25">
      <c r="A7" s="62" t="s">
        <v>181</v>
      </c>
      <c r="B7" s="50" t="s">
        <v>330</v>
      </c>
      <c r="C7" s="60" t="e">
        <f>Tabla2[[#This Row],[No se cumple]]/'Resultados de cumplimiento'!$H$16</f>
        <v>#DIV/0!</v>
      </c>
      <c r="D7" s="60" t="e">
        <f>Tabla2[[#This Row],[Probablemente no se cumple]]/'Resultados de cumplimiento'!$H$16</f>
        <v>#DIV/0!</v>
      </c>
      <c r="E7" s="60" t="e">
        <f>Tabla2[[#This Row],[Medianamente se cumple]]/'Resultados de cumplimiento'!$H$16</f>
        <v>#DIV/0!</v>
      </c>
      <c r="F7" s="60" t="e">
        <f>Tabla2[[#This Row],[Cumplido]]/'Resultados de cumplimiento'!$H$16</f>
        <v>#DIV/0!</v>
      </c>
      <c r="G7" s="60" t="e">
        <f>Tabla2[[#This Row],[Se cumple totalmente]]/'Resultados de cumplimiento'!$H$16</f>
        <v>#DIV/0!</v>
      </c>
      <c r="H7" s="49"/>
      <c r="I7" s="49"/>
      <c r="J7">
        <v>5</v>
      </c>
      <c r="K7" t="str">
        <f t="shared" si="0"/>
        <v>=CONTAR.SI(tbl_h5[Valoracion Numerica],G1)</v>
      </c>
    </row>
    <row r="8" spans="1:11" x14ac:dyDescent="0.25">
      <c r="A8" s="63" t="s">
        <v>194</v>
      </c>
      <c r="B8" s="50" t="s">
        <v>331</v>
      </c>
      <c r="C8" s="60" t="e">
        <f>Tabla2[[#This Row],[No se cumple]]/'Resultados de cumplimiento'!$H$16</f>
        <v>#DIV/0!</v>
      </c>
      <c r="D8" s="60" t="e">
        <f>Tabla2[[#This Row],[Probablemente no se cumple]]/'Resultados de cumplimiento'!$H$16</f>
        <v>#DIV/0!</v>
      </c>
      <c r="E8" s="60" t="e">
        <f>Tabla2[[#This Row],[Medianamente se cumple]]/'Resultados de cumplimiento'!$H$16</f>
        <v>#DIV/0!</v>
      </c>
      <c r="F8" s="60" t="e">
        <f>Tabla2[[#This Row],[Cumplido]]/'Resultados de cumplimiento'!$H$16</f>
        <v>#DIV/0!</v>
      </c>
      <c r="G8" s="60" t="e">
        <f>Tabla2[[#This Row],[Se cumple totalmente]]/'Resultados de cumplimiento'!$H$16</f>
        <v>#DIV/0!</v>
      </c>
      <c r="H8" s="49"/>
      <c r="I8" s="49"/>
      <c r="J8">
        <v>6</v>
      </c>
      <c r="K8" t="str">
        <f t="shared" si="0"/>
        <v>=CONTAR.SI(tbl_h6[Valoracion Numerica],G1)</v>
      </c>
    </row>
    <row r="9" spans="1:11" x14ac:dyDescent="0.25">
      <c r="A9" s="62" t="s">
        <v>207</v>
      </c>
      <c r="B9" s="50" t="s">
        <v>332</v>
      </c>
      <c r="C9" s="60" t="e">
        <f>Tabla2[[#This Row],[No se cumple]]/'Resultados de cumplimiento'!$H$16</f>
        <v>#DIV/0!</v>
      </c>
      <c r="D9" s="60" t="e">
        <f>Tabla2[[#This Row],[Probablemente no se cumple]]/'Resultados de cumplimiento'!$H$16</f>
        <v>#DIV/0!</v>
      </c>
      <c r="E9" s="60" t="e">
        <f>Tabla2[[#This Row],[Medianamente se cumple]]/'Resultados de cumplimiento'!$H$16</f>
        <v>#DIV/0!</v>
      </c>
      <c r="F9" s="60" t="e">
        <f>Tabla2[[#This Row],[Cumplido]]/'Resultados de cumplimiento'!$H$16</f>
        <v>#DIV/0!</v>
      </c>
      <c r="G9" s="60" t="e">
        <f>Tabla2[[#This Row],[Se cumple totalmente]]/'Resultados de cumplimiento'!$H$16</f>
        <v>#DIV/0!</v>
      </c>
      <c r="H9" s="49"/>
      <c r="I9" s="49"/>
      <c r="J9">
        <v>7</v>
      </c>
      <c r="K9" t="str">
        <f t="shared" si="0"/>
        <v>=CONTAR.SI(tbl_h7[Valoracion Numerica],G1)</v>
      </c>
    </row>
    <row r="10" spans="1:11" x14ac:dyDescent="0.25">
      <c r="A10" s="63" t="s">
        <v>248</v>
      </c>
      <c r="B10" s="50" t="s">
        <v>333</v>
      </c>
      <c r="C10" s="60" t="e">
        <f>Tabla2[[#This Row],[No se cumple]]/'Resultados de cumplimiento'!$H$16</f>
        <v>#DIV/0!</v>
      </c>
      <c r="D10" s="60" t="e">
        <f>Tabla2[[#This Row],[Probablemente no se cumple]]/'Resultados de cumplimiento'!$H$16</f>
        <v>#DIV/0!</v>
      </c>
      <c r="E10" s="60" t="e">
        <f>Tabla2[[#This Row],[Medianamente se cumple]]/'Resultados de cumplimiento'!$H$16</f>
        <v>#DIV/0!</v>
      </c>
      <c r="F10" s="60" t="e">
        <f>Tabla2[[#This Row],[Cumplido]]/'Resultados de cumplimiento'!$H$16</f>
        <v>#DIV/0!</v>
      </c>
      <c r="G10" s="60" t="e">
        <f>Tabla2[[#This Row],[Se cumple totalmente]]/'Resultados de cumplimiento'!$H$16</f>
        <v>#DIV/0!</v>
      </c>
      <c r="H10" s="49"/>
      <c r="I10" s="49"/>
      <c r="J10">
        <v>8</v>
      </c>
      <c r="K10" t="str">
        <f t="shared" si="0"/>
        <v>=CONTAR.SI(tbl_h8[Valoracion Numerica],G1)</v>
      </c>
    </row>
    <row r="11" spans="1:11" x14ac:dyDescent="0.25">
      <c r="A11" s="62" t="s">
        <v>257</v>
      </c>
      <c r="B11" s="50" t="s">
        <v>334</v>
      </c>
      <c r="C11" s="60" t="e">
        <f>Tabla2[[#This Row],[No se cumple]]/'Resultados de cumplimiento'!$H$16</f>
        <v>#DIV/0!</v>
      </c>
      <c r="D11" s="60" t="e">
        <f>Tabla2[[#This Row],[Probablemente no se cumple]]/'Resultados de cumplimiento'!$H$16</f>
        <v>#DIV/0!</v>
      </c>
      <c r="E11" s="60" t="e">
        <f>Tabla2[[#This Row],[Medianamente se cumple]]/'Resultados de cumplimiento'!$H$16</f>
        <v>#DIV/0!</v>
      </c>
      <c r="F11" s="60" t="e">
        <f>Tabla2[[#This Row],[Cumplido]]/'Resultados de cumplimiento'!$H$16</f>
        <v>#DIV/0!</v>
      </c>
      <c r="G11" s="60" t="e">
        <f>Tabla2[[#This Row],[Se cumple totalmente]]/'Resultados de cumplimiento'!$H$16</f>
        <v>#DIV/0!</v>
      </c>
      <c r="H11" s="49"/>
      <c r="I11" s="49"/>
      <c r="J11">
        <v>9</v>
      </c>
      <c r="K11" t="str">
        <f t="shared" si="0"/>
        <v>=CONTAR.SI(tbl_h9[Valoracion Numerica],G1)</v>
      </c>
    </row>
    <row r="12" spans="1:11" x14ac:dyDescent="0.25">
      <c r="A12" s="63" t="s">
        <v>278</v>
      </c>
      <c r="B12" s="50" t="s">
        <v>335</v>
      </c>
      <c r="C12" s="60" t="e">
        <f>Tabla2[[#This Row],[No se cumple]]/'Resultados de cumplimiento'!$H$16</f>
        <v>#DIV/0!</v>
      </c>
      <c r="D12" s="60" t="e">
        <f>Tabla2[[#This Row],[Probablemente no se cumple]]/'Resultados de cumplimiento'!$H$16</f>
        <v>#DIV/0!</v>
      </c>
      <c r="E12" s="60" t="e">
        <f>Tabla2[[#This Row],[Medianamente se cumple]]/'Resultados de cumplimiento'!$H$16</f>
        <v>#DIV/0!</v>
      </c>
      <c r="F12" s="60" t="e">
        <f>Tabla2[[#This Row],[Cumplido]]/'Resultados de cumplimiento'!$H$16</f>
        <v>#DIV/0!</v>
      </c>
      <c r="G12" s="60" t="e">
        <f>Tabla2[[#This Row],[Se cumple totalmente]]/'Resultados de cumplimiento'!$H$16</f>
        <v>#DIV/0!</v>
      </c>
      <c r="H12" s="49"/>
      <c r="I12" s="49"/>
      <c r="J12">
        <v>10</v>
      </c>
      <c r="K12" t="str">
        <f t="shared" si="0"/>
        <v>=CONTAR.SI(tbl_h10[Valoracion Numerica],G1)</v>
      </c>
    </row>
    <row r="13" spans="1:11" x14ac:dyDescent="0.25">
      <c r="A13" s="62" t="s">
        <v>283</v>
      </c>
      <c r="B13" s="50" t="s">
        <v>336</v>
      </c>
      <c r="C13" s="60" t="e">
        <f>Tabla2[[#This Row],[No se cumple]]/'Resultados de cumplimiento'!$H$16</f>
        <v>#DIV/0!</v>
      </c>
      <c r="D13" s="60" t="e">
        <f>Tabla2[[#This Row],[Probablemente no se cumple]]/'Resultados de cumplimiento'!$H$16</f>
        <v>#DIV/0!</v>
      </c>
      <c r="E13" s="60" t="e">
        <f>Tabla2[[#This Row],[Medianamente se cumple]]/'Resultados de cumplimiento'!$H$16</f>
        <v>#DIV/0!</v>
      </c>
      <c r="F13" s="60" t="e">
        <f>Tabla2[[#This Row],[Cumplido]]/'Resultados de cumplimiento'!$H$16</f>
        <v>#DIV/0!</v>
      </c>
      <c r="G13" s="60" t="e">
        <f>Tabla2[[#This Row],[Se cumple totalmente]]/'Resultados de cumplimiento'!$H$16</f>
        <v>#DIV/0!</v>
      </c>
      <c r="H13" s="49"/>
      <c r="I13" s="49"/>
      <c r="J13">
        <v>11</v>
      </c>
      <c r="K13" t="str">
        <f t="shared" si="0"/>
        <v>=CONTAR.SI(tbl_h11[Valoracion Numerica],G1)</v>
      </c>
    </row>
    <row r="14" spans="1:11" x14ac:dyDescent="0.25">
      <c r="A14" s="63" t="s">
        <v>296</v>
      </c>
      <c r="B14" s="50" t="s">
        <v>337</v>
      </c>
      <c r="C14" s="60" t="e">
        <f>Tabla2[[#This Row],[No se cumple]]/'Resultados de cumplimiento'!$H$16</f>
        <v>#DIV/0!</v>
      </c>
      <c r="D14" s="60" t="e">
        <f>Tabla2[[#This Row],[Probablemente no se cumple]]/'Resultados de cumplimiento'!$H$16</f>
        <v>#DIV/0!</v>
      </c>
      <c r="E14" s="60" t="e">
        <f>Tabla2[[#This Row],[Medianamente se cumple]]/'Resultados de cumplimiento'!$H$16</f>
        <v>#DIV/0!</v>
      </c>
      <c r="F14" s="60" t="e">
        <f>Tabla2[[#This Row],[Cumplido]]/'Resultados de cumplimiento'!$H$16</f>
        <v>#DIV/0!</v>
      </c>
      <c r="G14" s="60" t="e">
        <f>Tabla2[[#This Row],[Se cumple totalmente]]/'Resultados de cumplimiento'!$H$16</f>
        <v>#DIV/0!</v>
      </c>
      <c r="H14" s="49"/>
      <c r="I14" s="49"/>
      <c r="J14">
        <v>12</v>
      </c>
      <c r="K14" t="str">
        <f t="shared" si="0"/>
        <v>=CONTAR.SI(tbl_h12[Valoracion Numerica],G1)</v>
      </c>
    </row>
    <row r="15" spans="1:11" x14ac:dyDescent="0.25">
      <c r="A15" s="62" t="s">
        <v>311</v>
      </c>
      <c r="B15" s="50" t="s">
        <v>338</v>
      </c>
      <c r="C15" s="60" t="e">
        <f>Tabla2[[#This Row],[No se cumple]]/'Resultados de cumplimiento'!$H$16</f>
        <v>#DIV/0!</v>
      </c>
      <c r="D15" s="60" t="e">
        <f>Tabla2[[#This Row],[Probablemente no se cumple]]/'Resultados de cumplimiento'!$H$16</f>
        <v>#DIV/0!</v>
      </c>
      <c r="E15" s="60" t="e">
        <f>Tabla2[[#This Row],[Medianamente se cumple]]/'Resultados de cumplimiento'!$H$16</f>
        <v>#DIV/0!</v>
      </c>
      <c r="F15" s="60" t="e">
        <f>Tabla2[[#This Row],[Cumplido]]/'Resultados de cumplimiento'!$H$16</f>
        <v>#DIV/0!</v>
      </c>
      <c r="G15" s="60" t="e">
        <f>Tabla2[[#This Row],[Se cumple totalmente]]/'Resultados de cumplimiento'!$H$16</f>
        <v>#DIV/0!</v>
      </c>
      <c r="H15" s="49"/>
      <c r="I15" s="49"/>
      <c r="J15">
        <v>13</v>
      </c>
      <c r="K15" t="str">
        <f t="shared" si="0"/>
        <v>=CONTAR.SI(tbl_h13[Valoracion Numerica],G1)</v>
      </c>
    </row>
    <row r="16" spans="1:11" x14ac:dyDescent="0.25">
      <c r="B16" s="55" t="s">
        <v>341</v>
      </c>
      <c r="C16" s="61" t="e">
        <f>SUM(C3:C15)</f>
        <v>#DIV/0!</v>
      </c>
      <c r="D16" s="61" t="e">
        <f t="shared" ref="D16" si="1">SUM(D3:D15)</f>
        <v>#DIV/0!</v>
      </c>
      <c r="E16" s="60" t="e">
        <f>Tabla2[[#This Row],[Medianamente se cumple]]/'Resultados de cumplimiento'!$H$16</f>
        <v>#DIV/0!</v>
      </c>
      <c r="F16" s="60" t="e">
        <f>Tabla2[[#This Row],[Cumplido]]/'Resultados de cumplimiento'!$H$16</f>
        <v>#DIV/0!</v>
      </c>
      <c r="G16" s="60" t="e">
        <f>Tabla2[[#This Row],[Se cumple totalmente]]/'Resultados de cumplimiento'!$H$16</f>
        <v>#DIV/0!</v>
      </c>
    </row>
    <row r="17" spans="3:7" x14ac:dyDescent="0.25">
      <c r="C17" s="57"/>
      <c r="D17" s="57"/>
      <c r="E17" s="57"/>
      <c r="F17" s="57"/>
      <c r="G17" s="57"/>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C16" sqref="C16"/>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 min="8" max="8" width="29.5703125" customWidth="1"/>
  </cols>
  <sheetData>
    <row r="1" spans="1:12" x14ac:dyDescent="0.25">
      <c r="C1" s="45">
        <v>1</v>
      </c>
      <c r="D1" s="45">
        <v>2</v>
      </c>
      <c r="E1" s="45">
        <v>3</v>
      </c>
      <c r="F1" s="45">
        <v>4</v>
      </c>
      <c r="G1" s="46">
        <v>5</v>
      </c>
      <c r="H1" s="7"/>
    </row>
    <row r="2" spans="1:12" ht="45" customHeight="1" x14ac:dyDescent="0.25">
      <c r="B2" s="52" t="s">
        <v>318</v>
      </c>
      <c r="C2" s="53" t="s">
        <v>12</v>
      </c>
      <c r="D2" s="53" t="s">
        <v>15</v>
      </c>
      <c r="E2" s="53" t="s">
        <v>18</v>
      </c>
      <c r="F2" s="53" t="s">
        <v>22</v>
      </c>
      <c r="G2" s="53" t="s">
        <v>24</v>
      </c>
      <c r="H2" s="54" t="s">
        <v>342</v>
      </c>
      <c r="I2" s="48"/>
      <c r="J2" s="48"/>
    </row>
    <row r="3" spans="1:12" x14ac:dyDescent="0.25">
      <c r="A3" s="62" t="s">
        <v>36</v>
      </c>
      <c r="B3" s="50" t="s">
        <v>326</v>
      </c>
      <c r="C3" s="21">
        <f>COUNTIF(tbl_h1[Valoracion numerica severidad impacto],C1)</f>
        <v>0</v>
      </c>
      <c r="D3" s="21">
        <f>COUNTIF(tbl_h1[Valoracion numerica severidad impacto],D1)</f>
        <v>0</v>
      </c>
      <c r="E3" s="21">
        <f>COUNTIF(tbl_h1[Valoracion numerica severidad impacto],E1)</f>
        <v>0</v>
      </c>
      <c r="F3" s="21">
        <f>COUNTIF(tbl_h1[Valoracion numerica severidad impacto],F1)</f>
        <v>0</v>
      </c>
      <c r="G3" s="21">
        <f>COUNTIF(tbl_h1[Valoracion numerica severidad impacto],G1)</f>
        <v>0</v>
      </c>
      <c r="H3" s="51">
        <f>SUM(C3:G3)</f>
        <v>0</v>
      </c>
      <c r="I3" s="49"/>
      <c r="J3" s="49"/>
      <c r="K3">
        <v>1</v>
      </c>
      <c r="L3" t="str">
        <f t="shared" ref="L3:L15" si="0">CONCATENATE("=CONTAR.SI(tbl_h",K3,"[Severidad del impacto],G1)")</f>
        <v>=CONTAR.SI(tbl_h1[Severidad del impacto],G1)</v>
      </c>
    </row>
    <row r="4" spans="1:12" x14ac:dyDescent="0.25">
      <c r="A4" s="63" t="s">
        <v>81</v>
      </c>
      <c r="B4" s="50" t="s">
        <v>327</v>
      </c>
      <c r="C4" s="21">
        <f>COUNTIF(tbl_h2[Valoracion numerica severidad impacto],C1)</f>
        <v>0</v>
      </c>
      <c r="D4" s="21">
        <f>COUNTIF(tbl_h2[Valoracion numerica severidad impacto],D1)</f>
        <v>0</v>
      </c>
      <c r="E4" s="21">
        <f>COUNTIF(tbl_h2[Valoracion numerica severidad impacto],E1)</f>
        <v>0</v>
      </c>
      <c r="F4" s="21">
        <f>COUNTIF(tbl_h2[Valoracion numerica severidad impacto],F1)</f>
        <v>0</v>
      </c>
      <c r="G4" s="21">
        <f>COUNTIF(tbl_h2[Valoracion numerica severidad impacto],G1)</f>
        <v>0</v>
      </c>
      <c r="H4" s="51">
        <f t="shared" ref="H4:H15" si="1">SUM(C4:G4)</f>
        <v>0</v>
      </c>
      <c r="I4" s="49"/>
      <c r="J4" s="49"/>
      <c r="K4">
        <v>2</v>
      </c>
      <c r="L4" t="str">
        <f t="shared" si="0"/>
        <v>=CONTAR.SI(tbl_h2[Severidad del impacto],G1)</v>
      </c>
    </row>
    <row r="5" spans="1:12" x14ac:dyDescent="0.25">
      <c r="A5" s="62" t="s">
        <v>115</v>
      </c>
      <c r="B5" s="50" t="s">
        <v>328</v>
      </c>
      <c r="C5" s="21">
        <f>COUNTIF(tbl_h3[Valoracion numerica severidad impacto],C1)</f>
        <v>0</v>
      </c>
      <c r="D5" s="21">
        <f>COUNTIF(tbl_h3[Valoracion numerica severidad impacto],D1)</f>
        <v>0</v>
      </c>
      <c r="E5" s="21">
        <f>COUNTIF(tbl_h3[Valoracion numerica severidad impacto],E1)</f>
        <v>0</v>
      </c>
      <c r="F5" s="21">
        <f>COUNTIF(tbl_h3[Valoracion numerica severidad impacto],F1)</f>
        <v>0</v>
      </c>
      <c r="G5" s="21">
        <f>COUNTIF(tbl_h3[Valoracion numerica severidad impacto],G1)</f>
        <v>0</v>
      </c>
      <c r="H5" s="51">
        <f t="shared" si="1"/>
        <v>0</v>
      </c>
      <c r="I5" s="49"/>
      <c r="J5" s="49"/>
      <c r="K5">
        <v>3</v>
      </c>
      <c r="L5" t="str">
        <f t="shared" si="0"/>
        <v>=CONTAR.SI(tbl_h3[Severidad del impacto],G1)</v>
      </c>
    </row>
    <row r="6" spans="1:12" x14ac:dyDescent="0.25">
      <c r="A6" s="63" t="s">
        <v>142</v>
      </c>
      <c r="B6" s="50" t="s">
        <v>329</v>
      </c>
      <c r="C6" s="21">
        <f>COUNTIF(tbl_h4[Valoracion numerica severidad impacto],C1)</f>
        <v>0</v>
      </c>
      <c r="D6" s="21">
        <f>COUNTIF(tbl_h4[Valoracion numerica severidad impacto],D1)</f>
        <v>0</v>
      </c>
      <c r="E6" s="21">
        <f>COUNTIF(tbl_h4[Valoracion numerica severidad impacto],E1)</f>
        <v>0</v>
      </c>
      <c r="F6" s="21">
        <f>COUNTIF(tbl_h4[Valoracion numerica severidad impacto],F1)</f>
        <v>0</v>
      </c>
      <c r="G6" s="21">
        <f>COUNTIF(tbl_h4[Valoracion numerica severidad impacto],G1)</f>
        <v>0</v>
      </c>
      <c r="H6" s="51">
        <f t="shared" si="1"/>
        <v>0</v>
      </c>
      <c r="I6" s="49"/>
      <c r="J6" s="49"/>
      <c r="K6">
        <v>4</v>
      </c>
      <c r="L6" t="str">
        <f t="shared" si="0"/>
        <v>=CONTAR.SI(tbl_h4[Severidad del impacto],G1)</v>
      </c>
    </row>
    <row r="7" spans="1:12" x14ac:dyDescent="0.25">
      <c r="A7" s="62" t="s">
        <v>181</v>
      </c>
      <c r="B7" s="50" t="s">
        <v>330</v>
      </c>
      <c r="C7" s="21">
        <f>COUNTIF(tbl_h5[Valoracion numerica severidad impacto],C1)</f>
        <v>0</v>
      </c>
      <c r="D7" s="21">
        <f>COUNTIF(tbl_h5[Valoracion numerica severidad impacto],D1)</f>
        <v>0</v>
      </c>
      <c r="E7" s="21">
        <f>COUNTIF(tbl_h5[Valoracion numerica severidad impacto],E1)</f>
        <v>0</v>
      </c>
      <c r="F7" s="21">
        <f>COUNTIF(tbl_h5[Valoracion numerica severidad impacto],F1)</f>
        <v>0</v>
      </c>
      <c r="G7" s="21">
        <f>COUNTIF(tbl_h5[Valoracion numerica severidad impacto],G1)</f>
        <v>0</v>
      </c>
      <c r="H7" s="51">
        <f t="shared" si="1"/>
        <v>0</v>
      </c>
      <c r="I7" s="49"/>
      <c r="J7" s="49"/>
      <c r="K7">
        <v>5</v>
      </c>
      <c r="L7" t="str">
        <f t="shared" si="0"/>
        <v>=CONTAR.SI(tbl_h5[Severidad del impacto],G1)</v>
      </c>
    </row>
    <row r="8" spans="1:12" x14ac:dyDescent="0.25">
      <c r="A8" s="63" t="s">
        <v>194</v>
      </c>
      <c r="B8" s="50" t="s">
        <v>331</v>
      </c>
      <c r="C8" s="21">
        <f>COUNTIF(tbl_h6[Valoracion numerica severidad impacto],C1)</f>
        <v>0</v>
      </c>
      <c r="D8" s="21">
        <f>COUNTIF(tbl_h6[Valoracion numerica severidad impacto],D1)</f>
        <v>0</v>
      </c>
      <c r="E8" s="21">
        <f>COUNTIF(tbl_h6[Valoracion numerica severidad impacto],E1)</f>
        <v>0</v>
      </c>
      <c r="F8" s="21">
        <f>COUNTIF(tbl_h6[Valoracion numerica severidad impacto],F1)</f>
        <v>0</v>
      </c>
      <c r="G8" s="21">
        <f>COUNTIF(tbl_h6[Valoracion numerica severidad impacto],G1)</f>
        <v>0</v>
      </c>
      <c r="H8" s="51">
        <f t="shared" si="1"/>
        <v>0</v>
      </c>
      <c r="I8" s="49"/>
      <c r="J8" s="49"/>
      <c r="K8">
        <v>6</v>
      </c>
      <c r="L8" t="str">
        <f t="shared" si="0"/>
        <v>=CONTAR.SI(tbl_h6[Severidad del impacto],G1)</v>
      </c>
    </row>
    <row r="9" spans="1:12" x14ac:dyDescent="0.25">
      <c r="A9" s="62" t="s">
        <v>207</v>
      </c>
      <c r="B9" s="50" t="s">
        <v>332</v>
      </c>
      <c r="C9" s="21">
        <f>COUNTIF(tbl_h7[Valoracion numerica severidad impacto],C1)</f>
        <v>0</v>
      </c>
      <c r="D9" s="21">
        <f>COUNTIF(tbl_h7[Valoracion numerica severidad impacto],D1)</f>
        <v>0</v>
      </c>
      <c r="E9" s="21">
        <f>COUNTIF(tbl_h7[Valoracion numerica severidad impacto],E1)</f>
        <v>0</v>
      </c>
      <c r="F9" s="21">
        <f>COUNTIF(tbl_h7[Valoracion numerica severidad impacto],F1)</f>
        <v>0</v>
      </c>
      <c r="G9" s="21">
        <f>COUNTIF(tbl_h7[Valoracion numerica severidad impacto],G1)</f>
        <v>0</v>
      </c>
      <c r="H9" s="51">
        <f t="shared" si="1"/>
        <v>0</v>
      </c>
      <c r="I9" s="49"/>
      <c r="J9" s="49"/>
      <c r="K9">
        <v>7</v>
      </c>
      <c r="L9" t="str">
        <f t="shared" si="0"/>
        <v>=CONTAR.SI(tbl_h7[Severidad del impacto],G1)</v>
      </c>
    </row>
    <row r="10" spans="1:12" x14ac:dyDescent="0.25">
      <c r="A10" s="63" t="s">
        <v>248</v>
      </c>
      <c r="B10" s="50" t="s">
        <v>333</v>
      </c>
      <c r="C10" s="21">
        <f>COUNTIF(tbl_h8[Valoracion numerica severidad impacto],C1)</f>
        <v>0</v>
      </c>
      <c r="D10" s="21">
        <f>COUNTIF(tbl_h8[Valoracion numerica severidad impacto],D1)</f>
        <v>0</v>
      </c>
      <c r="E10" s="21">
        <f>COUNTIF(tbl_h8[Valoracion numerica severidad impacto],E1)</f>
        <v>0</v>
      </c>
      <c r="F10" s="21">
        <f>COUNTIF(tbl_h8[Valoracion numerica severidad impacto],F1)</f>
        <v>0</v>
      </c>
      <c r="G10" s="21">
        <f>COUNTIF(tbl_h8[Valoracion numerica severidad impacto],G1)</f>
        <v>0</v>
      </c>
      <c r="H10" s="51">
        <f t="shared" si="1"/>
        <v>0</v>
      </c>
      <c r="I10" s="49"/>
      <c r="J10" s="49"/>
      <c r="K10">
        <v>8</v>
      </c>
      <c r="L10" t="str">
        <f t="shared" si="0"/>
        <v>=CONTAR.SI(tbl_h8[Severidad del impacto],G1)</v>
      </c>
    </row>
    <row r="11" spans="1:12" x14ac:dyDescent="0.25">
      <c r="A11" s="62" t="s">
        <v>257</v>
      </c>
      <c r="B11" s="50" t="s">
        <v>334</v>
      </c>
      <c r="C11" s="21">
        <f>COUNTIF(tbl_h9[Valoracion numerica severidad impacto],C1)</f>
        <v>0</v>
      </c>
      <c r="D11" s="21">
        <f>COUNTIF(tbl_h9[Valoracion numerica severidad impacto],D1)</f>
        <v>0</v>
      </c>
      <c r="E11" s="21">
        <f>COUNTIF(tbl_h9[Valoracion numerica severidad impacto],E1)</f>
        <v>0</v>
      </c>
      <c r="F11" s="21">
        <f>COUNTIF(tbl_h9[Valoracion numerica severidad impacto],F1)</f>
        <v>0</v>
      </c>
      <c r="G11" s="21">
        <f>COUNTIF(tbl_h9[Valoracion numerica severidad impacto],G1)</f>
        <v>0</v>
      </c>
      <c r="H11" s="51">
        <f t="shared" si="1"/>
        <v>0</v>
      </c>
      <c r="I11" s="49"/>
      <c r="J11" s="49"/>
      <c r="K11">
        <v>9</v>
      </c>
      <c r="L11" t="str">
        <f t="shared" si="0"/>
        <v>=CONTAR.SI(tbl_h9[Severidad del impacto],G1)</v>
      </c>
    </row>
    <row r="12" spans="1:12" x14ac:dyDescent="0.25">
      <c r="A12" s="63" t="s">
        <v>278</v>
      </c>
      <c r="B12" s="50" t="s">
        <v>335</v>
      </c>
      <c r="C12" s="21">
        <f>COUNTIF(tbl_h10[Valoracion numerica severidad impacto],C1)</f>
        <v>0</v>
      </c>
      <c r="D12" s="21">
        <f>COUNTIF(tbl_h10[Valoracion numerica severidad impacto],D1)</f>
        <v>0</v>
      </c>
      <c r="E12" s="21">
        <f>COUNTIF(tbl_h10[Valoracion numerica severidad impacto],E1)</f>
        <v>0</v>
      </c>
      <c r="F12" s="21">
        <f>COUNTIF(tbl_h10[Valoracion numerica severidad impacto],F1)</f>
        <v>0</v>
      </c>
      <c r="G12" s="21">
        <f>COUNTIF(tbl_h10[Valoracion numerica severidad impacto],G1)</f>
        <v>0</v>
      </c>
      <c r="H12" s="51">
        <f t="shared" si="1"/>
        <v>0</v>
      </c>
      <c r="I12" s="49"/>
      <c r="J12" s="49"/>
      <c r="K12">
        <v>10</v>
      </c>
      <c r="L12" t="str">
        <f t="shared" si="0"/>
        <v>=CONTAR.SI(tbl_h10[Severidad del impacto],G1)</v>
      </c>
    </row>
    <row r="13" spans="1:12" x14ac:dyDescent="0.25">
      <c r="A13" s="62" t="s">
        <v>283</v>
      </c>
      <c r="B13" s="50" t="s">
        <v>336</v>
      </c>
      <c r="C13" s="21">
        <f>COUNTIF(tbl_h11[Valoracion numerica severidad impacto],C1)</f>
        <v>0</v>
      </c>
      <c r="D13" s="21">
        <f>COUNTIF(tbl_h11[Valoracion numerica severidad impacto],D1)</f>
        <v>0</v>
      </c>
      <c r="E13" s="21">
        <f>COUNTIF(tbl_h11[Valoracion numerica severidad impacto],E1)</f>
        <v>0</v>
      </c>
      <c r="F13" s="21">
        <f>COUNTIF(tbl_h11[Valoracion numerica severidad impacto],F1)</f>
        <v>0</v>
      </c>
      <c r="G13" s="21">
        <f>COUNTIF(tbl_h11[Valoracion numerica severidad impacto],G1)</f>
        <v>0</v>
      </c>
      <c r="H13" s="51">
        <f t="shared" si="1"/>
        <v>0</v>
      </c>
      <c r="I13" s="49"/>
      <c r="J13" s="49"/>
      <c r="K13">
        <v>11</v>
      </c>
      <c r="L13" t="str">
        <f t="shared" si="0"/>
        <v>=CONTAR.SI(tbl_h11[Severidad del impacto],G1)</v>
      </c>
    </row>
    <row r="14" spans="1:12" x14ac:dyDescent="0.25">
      <c r="A14" s="63" t="s">
        <v>296</v>
      </c>
      <c r="B14" s="50" t="s">
        <v>337</v>
      </c>
      <c r="C14" s="21">
        <f>COUNTIF(tbl_h12[Valoracion numerica severidad impacto],C1)</f>
        <v>0</v>
      </c>
      <c r="D14" s="21">
        <f>COUNTIF(tbl_h12[Valoracion numerica severidad impacto],D1)</f>
        <v>0</v>
      </c>
      <c r="E14" s="21">
        <f>COUNTIF(tbl_h12[Valoracion numerica severidad impacto],E1)</f>
        <v>0</v>
      </c>
      <c r="F14" s="21">
        <f>COUNTIF(tbl_h12[Valoracion numerica severidad impacto],F1)</f>
        <v>0</v>
      </c>
      <c r="G14" s="21">
        <f>COUNTIF(tbl_h12[Valoracion numerica severidad impacto],G1)</f>
        <v>0</v>
      </c>
      <c r="H14" s="51">
        <f t="shared" si="1"/>
        <v>0</v>
      </c>
      <c r="I14" s="49"/>
      <c r="J14" s="49"/>
      <c r="K14">
        <v>12</v>
      </c>
      <c r="L14" t="str">
        <f t="shared" si="0"/>
        <v>=CONTAR.SI(tbl_h12[Severidad del impacto],G1)</v>
      </c>
    </row>
    <row r="15" spans="1:12" x14ac:dyDescent="0.25">
      <c r="A15" s="62" t="s">
        <v>311</v>
      </c>
      <c r="B15" s="50" t="s">
        <v>338</v>
      </c>
      <c r="C15" s="21">
        <f>COUNTIF(tbl_h13[Valoracion numerica severidad impacto],C1)</f>
        <v>0</v>
      </c>
      <c r="D15" s="21">
        <f>COUNTIF(tbl_h13[Valoracion numerica severidad impacto],D1)</f>
        <v>0</v>
      </c>
      <c r="E15" s="21">
        <f>COUNTIF(tbl_h13[Valoracion numerica severidad impacto],E1)</f>
        <v>0</v>
      </c>
      <c r="F15" s="21">
        <f>COUNTIF(tbl_h13[Valoracion numerica severidad impacto],F1)</f>
        <v>0</v>
      </c>
      <c r="G15" s="21">
        <f>COUNTIF(tbl_h13[Valoracion numerica severidad impacto],G1)</f>
        <v>0</v>
      </c>
      <c r="H15" s="51">
        <f t="shared" si="1"/>
        <v>0</v>
      </c>
      <c r="I15" s="49"/>
      <c r="J15" s="49"/>
      <c r="K15">
        <v>13</v>
      </c>
      <c r="L15" t="str">
        <f t="shared" si="0"/>
        <v>=CONTAR.SI(tbl_h13[Severidad del impacto],G1)</v>
      </c>
    </row>
    <row r="16" spans="1:12" x14ac:dyDescent="0.25">
      <c r="B16" s="55" t="s">
        <v>341</v>
      </c>
      <c r="C16" s="56">
        <f>SUM(C3:C15)</f>
        <v>0</v>
      </c>
      <c r="D16" s="56">
        <f t="shared" ref="D16:H16" si="2">SUM(D3:D15)</f>
        <v>0</v>
      </c>
      <c r="E16" s="56">
        <f t="shared" si="2"/>
        <v>0</v>
      </c>
      <c r="F16" s="56">
        <f t="shared" si="2"/>
        <v>0</v>
      </c>
      <c r="G16" s="56">
        <f t="shared" si="2"/>
        <v>0</v>
      </c>
      <c r="H16" s="58">
        <f t="shared" si="2"/>
        <v>0</v>
      </c>
    </row>
    <row r="17" spans="3:8" x14ac:dyDescent="0.25">
      <c r="C17" s="57"/>
      <c r="D17" s="57"/>
      <c r="E17" s="57"/>
      <c r="F17" s="57"/>
      <c r="G17" s="57"/>
      <c r="H17" s="59">
        <f>SUM(C17:G17)</f>
        <v>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A5" sqref="A5"/>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s>
  <sheetData>
    <row r="1" spans="1:11" x14ac:dyDescent="0.25">
      <c r="C1" s="45">
        <v>1</v>
      </c>
      <c r="D1" s="45">
        <v>2</v>
      </c>
      <c r="E1" s="45">
        <v>3</v>
      </c>
      <c r="F1" s="45">
        <v>4</v>
      </c>
      <c r="G1" s="46">
        <v>5</v>
      </c>
    </row>
    <row r="2" spans="1:11" ht="45" customHeight="1" x14ac:dyDescent="0.25">
      <c r="B2" s="52" t="s">
        <v>318</v>
      </c>
      <c r="C2" s="53" t="s">
        <v>12</v>
      </c>
      <c r="D2" s="53" t="s">
        <v>15</v>
      </c>
      <c r="E2" s="53" t="s">
        <v>18</v>
      </c>
      <c r="F2" s="53" t="s">
        <v>22</v>
      </c>
      <c r="G2" s="53" t="s">
        <v>24</v>
      </c>
      <c r="H2" s="48"/>
      <c r="I2" s="48"/>
    </row>
    <row r="3" spans="1:11" x14ac:dyDescent="0.25">
      <c r="A3" s="62" t="s">
        <v>36</v>
      </c>
      <c r="B3" s="50" t="s">
        <v>326</v>
      </c>
      <c r="C3" s="60" t="e">
        <f>Tabla24[[#This Row],[Problema minimo]]/'Resultados de impacto '!C$16</f>
        <v>#DIV/0!</v>
      </c>
      <c r="D3" s="60" t="e">
        <f>Tabla24[[#This Row],[Problema cosmético]]/'Resultados de impacto '!D$16</f>
        <v>#DIV/0!</v>
      </c>
      <c r="E3" s="60" t="e">
        <f>Tabla24[[#This Row],[Problema menor, arreglar con el tiempo y que son fáciles de hacerlo]]/'Resultados de impacto '!E$16</f>
        <v>#DIV/0!</v>
      </c>
      <c r="F3" s="60" t="e">
        <f>Tabla24[[#This Row],[Problema mayor, importante arreglar]]/'Resultados de impacto '!F$16</f>
        <v>#DIV/0!</v>
      </c>
      <c r="G3" s="60" t="e">
        <f>Tabla24[[#This Row],[Problema catastrófico, urgencia inmediata de arreglo]]/'Resultados de impacto '!G$16</f>
        <v>#DIV/0!</v>
      </c>
      <c r="H3" s="49"/>
      <c r="I3" s="49"/>
      <c r="J3">
        <v>1</v>
      </c>
      <c r="K3" t="str">
        <f t="shared" ref="K3:K15" si="0">CONCATENATE("=CONTAR.SI(tbl_h",J3,"[Severidad del impacto],G1)")</f>
        <v>=CONTAR.SI(tbl_h1[Severidad del impacto],G1)</v>
      </c>
    </row>
    <row r="4" spans="1:11" x14ac:dyDescent="0.25">
      <c r="A4" s="63" t="s">
        <v>81</v>
      </c>
      <c r="B4" s="50" t="s">
        <v>327</v>
      </c>
      <c r="C4" s="60" t="e">
        <f>Tabla24[[#This Row],[Problema minimo]]/'Resultados de impacto '!C$16</f>
        <v>#DIV/0!</v>
      </c>
      <c r="D4" s="60" t="e">
        <f>Tabla24[[#This Row],[Problema cosmético]]/'Resultados de impacto '!D$16</f>
        <v>#DIV/0!</v>
      </c>
      <c r="E4" s="60" t="e">
        <f>Tabla24[[#This Row],[Problema menor, arreglar con el tiempo y que son fáciles de hacerlo]]/'Resultados de impacto '!E$16</f>
        <v>#DIV/0!</v>
      </c>
      <c r="F4" s="60" t="e">
        <f>Tabla24[[#This Row],[Problema mayor, importante arreglar]]/'Resultados de impacto '!F$16</f>
        <v>#DIV/0!</v>
      </c>
      <c r="G4" s="60" t="e">
        <f>Tabla24[[#This Row],[Problema catastrófico, urgencia inmediata de arreglo]]/'Resultados de impacto '!G$16</f>
        <v>#DIV/0!</v>
      </c>
      <c r="H4" s="49"/>
      <c r="I4" s="49"/>
      <c r="J4">
        <v>2</v>
      </c>
      <c r="K4" t="str">
        <f t="shared" si="0"/>
        <v>=CONTAR.SI(tbl_h2[Severidad del impacto],G1)</v>
      </c>
    </row>
    <row r="5" spans="1:11" x14ac:dyDescent="0.25">
      <c r="A5" s="62" t="s">
        <v>115</v>
      </c>
      <c r="B5" s="50" t="s">
        <v>328</v>
      </c>
      <c r="C5" s="60" t="e">
        <f>Tabla24[[#This Row],[Problema minimo]]/'Resultados de impacto '!C$16</f>
        <v>#DIV/0!</v>
      </c>
      <c r="D5" s="60" t="e">
        <f>Tabla24[[#This Row],[Problema cosmético]]/'Resultados de impacto '!D$16</f>
        <v>#DIV/0!</v>
      </c>
      <c r="E5" s="60" t="e">
        <f>Tabla24[[#This Row],[Problema menor, arreglar con el tiempo y que son fáciles de hacerlo]]/'Resultados de impacto '!E$16</f>
        <v>#DIV/0!</v>
      </c>
      <c r="F5" s="60" t="e">
        <f>Tabla24[[#This Row],[Problema mayor, importante arreglar]]/'Resultados de impacto '!F$16</f>
        <v>#DIV/0!</v>
      </c>
      <c r="G5" s="60" t="e">
        <f>Tabla24[[#This Row],[Problema catastrófico, urgencia inmediata de arreglo]]/'Resultados de impacto '!G$16</f>
        <v>#DIV/0!</v>
      </c>
      <c r="H5" s="49"/>
      <c r="I5" s="49"/>
      <c r="J5">
        <v>3</v>
      </c>
      <c r="K5" t="str">
        <f t="shared" si="0"/>
        <v>=CONTAR.SI(tbl_h3[Severidad del impacto],G1)</v>
      </c>
    </row>
    <row r="6" spans="1:11" x14ac:dyDescent="0.25">
      <c r="A6" s="63" t="s">
        <v>142</v>
      </c>
      <c r="B6" s="50" t="s">
        <v>329</v>
      </c>
      <c r="C6" s="60" t="e">
        <f>Tabla24[[#This Row],[Problema minimo]]/'Resultados de impacto '!C$16</f>
        <v>#DIV/0!</v>
      </c>
      <c r="D6" s="60" t="e">
        <f>Tabla24[[#This Row],[Problema cosmético]]/'Resultados de impacto '!D$16</f>
        <v>#DIV/0!</v>
      </c>
      <c r="E6" s="60" t="e">
        <f>Tabla24[[#This Row],[Problema menor, arreglar con el tiempo y que son fáciles de hacerlo]]/'Resultados de impacto '!E$16</f>
        <v>#DIV/0!</v>
      </c>
      <c r="F6" s="60" t="e">
        <f>Tabla24[[#This Row],[Problema mayor, importante arreglar]]/'Resultados de impacto '!F$16</f>
        <v>#DIV/0!</v>
      </c>
      <c r="G6" s="60" t="e">
        <f>Tabla24[[#This Row],[Problema catastrófico, urgencia inmediata de arreglo]]/'Resultados de impacto '!G$16</f>
        <v>#DIV/0!</v>
      </c>
      <c r="H6" s="49"/>
      <c r="I6" s="49"/>
      <c r="J6">
        <v>4</v>
      </c>
      <c r="K6" t="str">
        <f t="shared" si="0"/>
        <v>=CONTAR.SI(tbl_h4[Severidad del impacto],G1)</v>
      </c>
    </row>
    <row r="7" spans="1:11" x14ac:dyDescent="0.25">
      <c r="A7" s="62" t="s">
        <v>181</v>
      </c>
      <c r="B7" s="50" t="s">
        <v>330</v>
      </c>
      <c r="C7" s="60" t="e">
        <f>Tabla24[[#This Row],[Problema minimo]]/'Resultados de impacto '!C$16</f>
        <v>#DIV/0!</v>
      </c>
      <c r="D7" s="60" t="e">
        <f>Tabla24[[#This Row],[Problema cosmético]]/'Resultados de impacto '!D$16</f>
        <v>#DIV/0!</v>
      </c>
      <c r="E7" s="60" t="e">
        <f>Tabla24[[#This Row],[Problema menor, arreglar con el tiempo y que son fáciles de hacerlo]]/'Resultados de impacto '!E$16</f>
        <v>#DIV/0!</v>
      </c>
      <c r="F7" s="60" t="e">
        <f>Tabla24[[#This Row],[Problema mayor, importante arreglar]]/'Resultados de impacto '!F$16</f>
        <v>#DIV/0!</v>
      </c>
      <c r="G7" s="60" t="e">
        <f>Tabla24[[#This Row],[Problema catastrófico, urgencia inmediata de arreglo]]/'Resultados de impacto '!G$16</f>
        <v>#DIV/0!</v>
      </c>
      <c r="H7" s="49"/>
      <c r="I7" s="49"/>
      <c r="J7">
        <v>5</v>
      </c>
      <c r="K7" t="str">
        <f t="shared" si="0"/>
        <v>=CONTAR.SI(tbl_h5[Severidad del impacto],G1)</v>
      </c>
    </row>
    <row r="8" spans="1:11" x14ac:dyDescent="0.25">
      <c r="A8" s="63" t="s">
        <v>194</v>
      </c>
      <c r="B8" s="50" t="s">
        <v>331</v>
      </c>
      <c r="C8" s="60" t="e">
        <f>Tabla24[[#This Row],[Problema minimo]]/'Resultados de impacto '!C$16</f>
        <v>#DIV/0!</v>
      </c>
      <c r="D8" s="60" t="e">
        <f>Tabla24[[#This Row],[Problema cosmético]]/'Resultados de impacto '!D$16</f>
        <v>#DIV/0!</v>
      </c>
      <c r="E8" s="60" t="e">
        <f>Tabla24[[#This Row],[Problema menor, arreglar con el tiempo y que son fáciles de hacerlo]]/'Resultados de impacto '!E$16</f>
        <v>#DIV/0!</v>
      </c>
      <c r="F8" s="60" t="e">
        <f>Tabla24[[#This Row],[Problema mayor, importante arreglar]]/'Resultados de impacto '!F$16</f>
        <v>#DIV/0!</v>
      </c>
      <c r="G8" s="60" t="e">
        <f>Tabla24[[#This Row],[Problema catastrófico, urgencia inmediata de arreglo]]/'Resultados de impacto '!G$16</f>
        <v>#DIV/0!</v>
      </c>
      <c r="H8" s="49"/>
      <c r="I8" s="49"/>
      <c r="J8">
        <v>6</v>
      </c>
      <c r="K8" t="str">
        <f t="shared" si="0"/>
        <v>=CONTAR.SI(tbl_h6[Severidad del impacto],G1)</v>
      </c>
    </row>
    <row r="9" spans="1:11" x14ac:dyDescent="0.25">
      <c r="A9" s="62" t="s">
        <v>207</v>
      </c>
      <c r="B9" s="50" t="s">
        <v>332</v>
      </c>
      <c r="C9" s="60" t="e">
        <f>Tabla24[[#This Row],[Problema minimo]]/'Resultados de impacto '!C$16</f>
        <v>#DIV/0!</v>
      </c>
      <c r="D9" s="60" t="e">
        <f>Tabla24[[#This Row],[Problema cosmético]]/'Resultados de impacto '!D$16</f>
        <v>#DIV/0!</v>
      </c>
      <c r="E9" s="60" t="e">
        <f>Tabla24[[#This Row],[Problema menor, arreglar con el tiempo y que son fáciles de hacerlo]]/'Resultados de impacto '!E$16</f>
        <v>#DIV/0!</v>
      </c>
      <c r="F9" s="60" t="e">
        <f>Tabla24[[#This Row],[Problema mayor, importante arreglar]]/'Resultados de impacto '!F$16</f>
        <v>#DIV/0!</v>
      </c>
      <c r="G9" s="60" t="e">
        <f>Tabla24[[#This Row],[Problema catastrófico, urgencia inmediata de arreglo]]/'Resultados de impacto '!G$16</f>
        <v>#DIV/0!</v>
      </c>
      <c r="H9" s="49"/>
      <c r="I9" s="49"/>
      <c r="J9">
        <v>7</v>
      </c>
      <c r="K9" t="str">
        <f t="shared" si="0"/>
        <v>=CONTAR.SI(tbl_h7[Severidad del impacto],G1)</v>
      </c>
    </row>
    <row r="10" spans="1:11" x14ac:dyDescent="0.25">
      <c r="A10" s="63" t="s">
        <v>248</v>
      </c>
      <c r="B10" s="50" t="s">
        <v>333</v>
      </c>
      <c r="C10" s="60" t="e">
        <f>Tabla24[[#This Row],[Problema minimo]]/'Resultados de impacto '!C$16</f>
        <v>#DIV/0!</v>
      </c>
      <c r="D10" s="60" t="e">
        <f>Tabla24[[#This Row],[Problema cosmético]]/'Resultados de impacto '!D$16</f>
        <v>#DIV/0!</v>
      </c>
      <c r="E10" s="60" t="e">
        <f>Tabla24[[#This Row],[Problema menor, arreglar con el tiempo y que son fáciles de hacerlo]]/'Resultados de impacto '!E$16</f>
        <v>#DIV/0!</v>
      </c>
      <c r="F10" s="60" t="e">
        <f>Tabla24[[#This Row],[Problema mayor, importante arreglar]]/'Resultados de impacto '!F$16</f>
        <v>#DIV/0!</v>
      </c>
      <c r="G10" s="60" t="e">
        <f>Tabla24[[#This Row],[Problema catastrófico, urgencia inmediata de arreglo]]/'Resultados de impacto '!G$16</f>
        <v>#DIV/0!</v>
      </c>
      <c r="H10" s="49"/>
      <c r="I10" s="49"/>
      <c r="J10">
        <v>8</v>
      </c>
      <c r="K10" t="str">
        <f t="shared" si="0"/>
        <v>=CONTAR.SI(tbl_h8[Severidad del impacto],G1)</v>
      </c>
    </row>
    <row r="11" spans="1:11" x14ac:dyDescent="0.25">
      <c r="A11" s="62" t="s">
        <v>257</v>
      </c>
      <c r="B11" s="50" t="s">
        <v>334</v>
      </c>
      <c r="C11" s="60" t="e">
        <f>Tabla24[[#This Row],[Problema minimo]]/'Resultados de impacto '!C$16</f>
        <v>#DIV/0!</v>
      </c>
      <c r="D11" s="60" t="e">
        <f>Tabla24[[#This Row],[Problema cosmético]]/'Resultados de impacto '!D$16</f>
        <v>#DIV/0!</v>
      </c>
      <c r="E11" s="60" t="e">
        <f>Tabla24[[#This Row],[Problema menor, arreglar con el tiempo y que son fáciles de hacerlo]]/'Resultados de impacto '!E$16</f>
        <v>#DIV/0!</v>
      </c>
      <c r="F11" s="60" t="e">
        <f>Tabla24[[#This Row],[Problema mayor, importante arreglar]]/'Resultados de impacto '!F$16</f>
        <v>#DIV/0!</v>
      </c>
      <c r="G11" s="60" t="e">
        <f>Tabla24[[#This Row],[Problema catastrófico, urgencia inmediata de arreglo]]/'Resultados de impacto '!G$16</f>
        <v>#DIV/0!</v>
      </c>
      <c r="H11" s="49"/>
      <c r="I11" s="49"/>
      <c r="J11">
        <v>9</v>
      </c>
      <c r="K11" t="str">
        <f t="shared" si="0"/>
        <v>=CONTAR.SI(tbl_h9[Severidad del impacto],G1)</v>
      </c>
    </row>
    <row r="12" spans="1:11" x14ac:dyDescent="0.25">
      <c r="A12" s="63" t="s">
        <v>278</v>
      </c>
      <c r="B12" s="50" t="s">
        <v>335</v>
      </c>
      <c r="C12" s="60" t="e">
        <f>Tabla24[[#This Row],[Problema minimo]]/'Resultados de impacto '!C$16</f>
        <v>#DIV/0!</v>
      </c>
      <c r="D12" s="60" t="e">
        <f>Tabla24[[#This Row],[Problema cosmético]]/'Resultados de impacto '!D$16</f>
        <v>#DIV/0!</v>
      </c>
      <c r="E12" s="60" t="e">
        <f>Tabla24[[#This Row],[Problema menor, arreglar con el tiempo y que son fáciles de hacerlo]]/'Resultados de impacto '!E$16</f>
        <v>#DIV/0!</v>
      </c>
      <c r="F12" s="60" t="e">
        <f>Tabla24[[#This Row],[Problema mayor, importante arreglar]]/'Resultados de impacto '!F$16</f>
        <v>#DIV/0!</v>
      </c>
      <c r="G12" s="60" t="e">
        <f>Tabla24[[#This Row],[Problema catastrófico, urgencia inmediata de arreglo]]/'Resultados de impacto '!G$16</f>
        <v>#DIV/0!</v>
      </c>
      <c r="H12" s="49"/>
      <c r="I12" s="49"/>
      <c r="J12">
        <v>10</v>
      </c>
      <c r="K12" t="str">
        <f t="shared" si="0"/>
        <v>=CONTAR.SI(tbl_h10[Severidad del impacto],G1)</v>
      </c>
    </row>
    <row r="13" spans="1:11" x14ac:dyDescent="0.25">
      <c r="A13" s="62" t="s">
        <v>283</v>
      </c>
      <c r="B13" s="50" t="s">
        <v>336</v>
      </c>
      <c r="C13" s="60" t="e">
        <f>Tabla24[[#This Row],[Problema minimo]]/'Resultados de impacto '!C$16</f>
        <v>#DIV/0!</v>
      </c>
      <c r="D13" s="60" t="e">
        <f>Tabla24[[#This Row],[Problema cosmético]]/'Resultados de impacto '!D$16</f>
        <v>#DIV/0!</v>
      </c>
      <c r="E13" s="60" t="e">
        <f>Tabla24[[#This Row],[Problema menor, arreglar con el tiempo y que son fáciles de hacerlo]]/'Resultados de impacto '!E$16</f>
        <v>#DIV/0!</v>
      </c>
      <c r="F13" s="60" t="e">
        <f>Tabla24[[#This Row],[Problema mayor, importante arreglar]]/'Resultados de impacto '!F$16</f>
        <v>#DIV/0!</v>
      </c>
      <c r="G13" s="60" t="e">
        <f>Tabla24[[#This Row],[Problema catastrófico, urgencia inmediata de arreglo]]/'Resultados de impacto '!G$16</f>
        <v>#DIV/0!</v>
      </c>
      <c r="H13" s="49"/>
      <c r="I13" s="49"/>
      <c r="J13">
        <v>11</v>
      </c>
      <c r="K13" t="str">
        <f t="shared" si="0"/>
        <v>=CONTAR.SI(tbl_h11[Severidad del impacto],G1)</v>
      </c>
    </row>
    <row r="14" spans="1:11" x14ac:dyDescent="0.25">
      <c r="A14" s="63" t="s">
        <v>296</v>
      </c>
      <c r="B14" s="50" t="s">
        <v>337</v>
      </c>
      <c r="C14" s="60" t="e">
        <f>Tabla24[[#This Row],[Problema minimo]]/'Resultados de impacto '!C$16</f>
        <v>#DIV/0!</v>
      </c>
      <c r="D14" s="60" t="e">
        <f>Tabla24[[#This Row],[Problema cosmético]]/'Resultados de impacto '!D$16</f>
        <v>#DIV/0!</v>
      </c>
      <c r="E14" s="60" t="e">
        <f>Tabla24[[#This Row],[Problema menor, arreglar con el tiempo y que son fáciles de hacerlo]]/'Resultados de impacto '!E$16</f>
        <v>#DIV/0!</v>
      </c>
      <c r="F14" s="60" t="e">
        <f>Tabla24[[#This Row],[Problema mayor, importante arreglar]]/'Resultados de impacto '!F$16</f>
        <v>#DIV/0!</v>
      </c>
      <c r="G14" s="60" t="e">
        <f>Tabla24[[#This Row],[Problema catastrófico, urgencia inmediata de arreglo]]/'Resultados de impacto '!G$16</f>
        <v>#DIV/0!</v>
      </c>
      <c r="H14" s="49"/>
      <c r="I14" s="49"/>
      <c r="J14">
        <v>12</v>
      </c>
      <c r="K14" t="str">
        <f t="shared" si="0"/>
        <v>=CONTAR.SI(tbl_h12[Severidad del impacto],G1)</v>
      </c>
    </row>
    <row r="15" spans="1:11" x14ac:dyDescent="0.25">
      <c r="A15" s="62" t="s">
        <v>311</v>
      </c>
      <c r="B15" s="50" t="s">
        <v>338</v>
      </c>
      <c r="C15" s="60" t="e">
        <f>Tabla24[[#This Row],[Problema minimo]]/'Resultados de impacto '!C$16</f>
        <v>#DIV/0!</v>
      </c>
      <c r="D15" s="60" t="e">
        <f>Tabla24[[#This Row],[Problema cosmético]]/'Resultados de impacto '!D$16</f>
        <v>#DIV/0!</v>
      </c>
      <c r="E15" s="60" t="e">
        <f>Tabla24[[#This Row],[Problema menor, arreglar con el tiempo y que son fáciles de hacerlo]]/'Resultados de impacto '!E$16</f>
        <v>#DIV/0!</v>
      </c>
      <c r="F15" s="60" t="e">
        <f>Tabla24[[#This Row],[Problema mayor, importante arreglar]]/'Resultados de impacto '!F$16</f>
        <v>#DIV/0!</v>
      </c>
      <c r="G15" s="60" t="e">
        <f>Tabla24[[#This Row],[Problema catastrófico, urgencia inmediata de arreglo]]/'Resultados de impacto '!G$16</f>
        <v>#DIV/0!</v>
      </c>
      <c r="H15" s="49"/>
      <c r="I15" s="49"/>
      <c r="J15">
        <v>13</v>
      </c>
      <c r="K15" t="str">
        <f t="shared" si="0"/>
        <v>=CONTAR.SI(tbl_h13[Severidad del impacto],G1)</v>
      </c>
    </row>
    <row r="16" spans="1:11" x14ac:dyDescent="0.25">
      <c r="B16" s="55" t="s">
        <v>341</v>
      </c>
      <c r="C16" s="61" t="e">
        <f>SUM(C3:C15)</f>
        <v>#DIV/0!</v>
      </c>
      <c r="D16" s="60" t="e">
        <f>Tabla24[[#This Row],[Problema cosmético]]/'Resultados de impacto '!$D$16</f>
        <v>#DIV/0!</v>
      </c>
      <c r="E16" s="61" t="e">
        <f t="shared" ref="E16:G16" si="1">SUM(E3:E15)</f>
        <v>#DIV/0!</v>
      </c>
      <c r="F16" s="61" t="e">
        <f t="shared" si="1"/>
        <v>#DIV/0!</v>
      </c>
      <c r="G16" s="61" t="e">
        <f t="shared" si="1"/>
        <v>#DIV/0!</v>
      </c>
    </row>
    <row r="17" spans="3:7" x14ac:dyDescent="0.25">
      <c r="C17" s="57"/>
      <c r="D17" s="57"/>
      <c r="E17" s="57"/>
      <c r="F17" s="57"/>
      <c r="G17" s="57"/>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D9" sqref="D9"/>
    </sheetView>
  </sheetViews>
  <sheetFormatPr baseColWidth="10" defaultColWidth="11.42578125" defaultRowHeight="15" x14ac:dyDescent="0.25"/>
  <cols>
    <col min="2" max="2" width="56.140625" bestFit="1" customWidth="1"/>
    <col min="3" max="3" width="15.140625" customWidth="1"/>
    <col min="4" max="4" width="29.140625" customWidth="1"/>
    <col min="5" max="5" width="26.28515625" customWidth="1"/>
    <col min="6" max="6" width="11.7109375" customWidth="1"/>
    <col min="7" max="7" width="22.7109375" customWidth="1"/>
  </cols>
  <sheetData>
    <row r="1" spans="1:11" x14ac:dyDescent="0.25">
      <c r="C1" s="45">
        <v>1</v>
      </c>
      <c r="D1" s="45">
        <v>2</v>
      </c>
      <c r="E1" s="45">
        <v>3</v>
      </c>
      <c r="F1" s="45">
        <v>4</v>
      </c>
      <c r="G1" s="46">
        <v>5</v>
      </c>
    </row>
    <row r="2" spans="1:11" ht="45" customHeight="1" x14ac:dyDescent="0.25">
      <c r="B2" s="52" t="s">
        <v>318</v>
      </c>
      <c r="C2" s="53" t="s">
        <v>12</v>
      </c>
      <c r="D2" s="53" t="s">
        <v>15</v>
      </c>
      <c r="E2" s="53" t="s">
        <v>18</v>
      </c>
      <c r="F2" s="53" t="s">
        <v>22</v>
      </c>
      <c r="G2" s="53" t="s">
        <v>24</v>
      </c>
      <c r="H2" s="48"/>
      <c r="I2" s="48"/>
    </row>
    <row r="3" spans="1:11" x14ac:dyDescent="0.25">
      <c r="A3" s="62" t="s">
        <v>36</v>
      </c>
      <c r="B3" s="50" t="s">
        <v>326</v>
      </c>
      <c r="C3" s="60" t="e">
        <f>Tabla24[[#This Row],[Problema minimo]]/'Resultados de impacto '!$H$16</f>
        <v>#DIV/0!</v>
      </c>
      <c r="D3" s="60" t="e">
        <f>Tabla24[[#This Row],[Problema cosmético]]/'Resultados de impacto '!$H$16</f>
        <v>#DIV/0!</v>
      </c>
      <c r="E3" s="60" t="e">
        <f>Tabla24[[#This Row],[Problema menor, arreglar con el tiempo y que son fáciles de hacerlo]]/'Resultados de impacto '!$H$16</f>
        <v>#DIV/0!</v>
      </c>
      <c r="F3" s="60" t="e">
        <f>Tabla24[[#This Row],[Problema mayor, importante arreglar]]/'Resultados de impacto '!$H$16</f>
        <v>#DIV/0!</v>
      </c>
      <c r="G3" s="60" t="e">
        <f>Tabla24[[#This Row],[Problema catastrófico, urgencia inmediata de arreglo]]/'Resultados de impacto '!$H$16</f>
        <v>#DIV/0!</v>
      </c>
      <c r="H3" s="49"/>
      <c r="I3" s="49"/>
      <c r="J3">
        <v>1</v>
      </c>
      <c r="K3" t="str">
        <f t="shared" ref="K3:K15" si="0">CONCATENATE("=CONTAR.SI(tbl_h",J3,"[Severidad del impacto],G1)")</f>
        <v>=CONTAR.SI(tbl_h1[Severidad del impacto],G1)</v>
      </c>
    </row>
    <row r="4" spans="1:11" x14ac:dyDescent="0.25">
      <c r="A4" s="63" t="s">
        <v>81</v>
      </c>
      <c r="B4" s="50" t="s">
        <v>327</v>
      </c>
      <c r="C4" s="60" t="e">
        <f>Tabla24[[#This Row],[Problema minimo]]/'Resultados de impacto '!$H$16</f>
        <v>#DIV/0!</v>
      </c>
      <c r="D4" s="60" t="e">
        <f>Tabla24[[#This Row],[Problema cosmético]]/'Resultados de impacto '!$H$16</f>
        <v>#DIV/0!</v>
      </c>
      <c r="E4" s="60" t="e">
        <f>Tabla24[[#This Row],[Problema menor, arreglar con el tiempo y que son fáciles de hacerlo]]/'Resultados de impacto '!$H$16</f>
        <v>#DIV/0!</v>
      </c>
      <c r="F4" s="60" t="e">
        <f>Tabla24[[#This Row],[Problema mayor, importante arreglar]]/'Resultados de impacto '!$H$16</f>
        <v>#DIV/0!</v>
      </c>
      <c r="G4" s="60" t="e">
        <f>Tabla24[[#This Row],[Problema catastrófico, urgencia inmediata de arreglo]]/'Resultados de impacto '!$H$16</f>
        <v>#DIV/0!</v>
      </c>
      <c r="H4" s="49"/>
      <c r="I4" s="49"/>
      <c r="J4">
        <v>2</v>
      </c>
      <c r="K4" t="str">
        <f t="shared" si="0"/>
        <v>=CONTAR.SI(tbl_h2[Severidad del impacto],G1)</v>
      </c>
    </row>
    <row r="5" spans="1:11" x14ac:dyDescent="0.25">
      <c r="A5" s="62" t="s">
        <v>115</v>
      </c>
      <c r="B5" s="50" t="s">
        <v>328</v>
      </c>
      <c r="C5" s="60" t="e">
        <f>Tabla24[[#This Row],[Problema minimo]]/'Resultados de impacto '!$H$16</f>
        <v>#DIV/0!</v>
      </c>
      <c r="D5" s="60" t="e">
        <f>Tabla24[[#This Row],[Problema cosmético]]/'Resultados de impacto '!$H$16</f>
        <v>#DIV/0!</v>
      </c>
      <c r="E5" s="60" t="e">
        <f>Tabla24[[#This Row],[Problema menor, arreglar con el tiempo y que son fáciles de hacerlo]]/'Resultados de impacto '!$H$16</f>
        <v>#DIV/0!</v>
      </c>
      <c r="F5" s="60" t="e">
        <f>Tabla24[[#This Row],[Problema mayor, importante arreglar]]/'Resultados de impacto '!$H$16</f>
        <v>#DIV/0!</v>
      </c>
      <c r="G5" s="60" t="e">
        <f>Tabla24[[#This Row],[Problema catastrófico, urgencia inmediata de arreglo]]/'Resultados de impacto '!$H$16</f>
        <v>#DIV/0!</v>
      </c>
      <c r="H5" s="49"/>
      <c r="I5" s="49"/>
      <c r="J5">
        <v>3</v>
      </c>
      <c r="K5" t="str">
        <f t="shared" si="0"/>
        <v>=CONTAR.SI(tbl_h3[Severidad del impacto],G1)</v>
      </c>
    </row>
    <row r="6" spans="1:11" x14ac:dyDescent="0.25">
      <c r="A6" s="63" t="s">
        <v>142</v>
      </c>
      <c r="B6" s="50" t="s">
        <v>329</v>
      </c>
      <c r="C6" s="60" t="e">
        <f>Tabla24[[#This Row],[Problema minimo]]/'Resultados de impacto '!$H$16</f>
        <v>#DIV/0!</v>
      </c>
      <c r="D6" s="60" t="e">
        <f>Tabla24[[#This Row],[Problema cosmético]]/'Resultados de impacto '!$H$16</f>
        <v>#DIV/0!</v>
      </c>
      <c r="E6" s="60" t="e">
        <f>Tabla24[[#This Row],[Problema menor, arreglar con el tiempo y que son fáciles de hacerlo]]/'Resultados de impacto '!$H$16</f>
        <v>#DIV/0!</v>
      </c>
      <c r="F6" s="60" t="e">
        <f>Tabla24[[#This Row],[Problema mayor, importante arreglar]]/'Resultados de impacto '!$H$16</f>
        <v>#DIV/0!</v>
      </c>
      <c r="G6" s="60" t="e">
        <f>Tabla24[[#This Row],[Problema catastrófico, urgencia inmediata de arreglo]]/'Resultados de impacto '!$H$16</f>
        <v>#DIV/0!</v>
      </c>
      <c r="H6" s="49"/>
      <c r="I6" s="49"/>
      <c r="J6">
        <v>4</v>
      </c>
      <c r="K6" t="str">
        <f t="shared" si="0"/>
        <v>=CONTAR.SI(tbl_h4[Severidad del impacto],G1)</v>
      </c>
    </row>
    <row r="7" spans="1:11" x14ac:dyDescent="0.25">
      <c r="A7" s="62" t="s">
        <v>181</v>
      </c>
      <c r="B7" s="50" t="s">
        <v>330</v>
      </c>
      <c r="C7" s="60" t="e">
        <f>Tabla24[[#This Row],[Problema minimo]]/'Resultados de impacto '!$H$16</f>
        <v>#DIV/0!</v>
      </c>
      <c r="D7" s="60" t="e">
        <f>Tabla24[[#This Row],[Problema cosmético]]/'Resultados de impacto '!$H$16</f>
        <v>#DIV/0!</v>
      </c>
      <c r="E7" s="60" t="e">
        <f>Tabla24[[#This Row],[Problema menor, arreglar con el tiempo y que son fáciles de hacerlo]]/'Resultados de impacto '!$H$16</f>
        <v>#DIV/0!</v>
      </c>
      <c r="F7" s="60" t="e">
        <f>Tabla24[[#This Row],[Problema mayor, importante arreglar]]/'Resultados de impacto '!$H$16</f>
        <v>#DIV/0!</v>
      </c>
      <c r="G7" s="60" t="e">
        <f>Tabla24[[#This Row],[Problema catastrófico, urgencia inmediata de arreglo]]/'Resultados de impacto '!$H$16</f>
        <v>#DIV/0!</v>
      </c>
      <c r="H7" s="49"/>
      <c r="I7" s="49"/>
      <c r="J7">
        <v>5</v>
      </c>
      <c r="K7" t="str">
        <f t="shared" si="0"/>
        <v>=CONTAR.SI(tbl_h5[Severidad del impacto],G1)</v>
      </c>
    </row>
    <row r="8" spans="1:11" x14ac:dyDescent="0.25">
      <c r="A8" s="63" t="s">
        <v>194</v>
      </c>
      <c r="B8" s="50" t="s">
        <v>331</v>
      </c>
      <c r="C8" s="60" t="e">
        <f>Tabla24[[#This Row],[Problema minimo]]/'Resultados de impacto '!$H$16</f>
        <v>#DIV/0!</v>
      </c>
      <c r="D8" s="60" t="e">
        <f>Tabla24[[#This Row],[Problema cosmético]]/'Resultados de impacto '!$H$16</f>
        <v>#DIV/0!</v>
      </c>
      <c r="E8" s="60" t="e">
        <f>Tabla24[[#This Row],[Problema menor, arreglar con el tiempo y que son fáciles de hacerlo]]/'Resultados de impacto '!$H$16</f>
        <v>#DIV/0!</v>
      </c>
      <c r="F8" s="60" t="e">
        <f>Tabla24[[#This Row],[Problema mayor, importante arreglar]]/'Resultados de impacto '!$H$16</f>
        <v>#DIV/0!</v>
      </c>
      <c r="G8" s="60" t="e">
        <f>Tabla24[[#This Row],[Problema catastrófico, urgencia inmediata de arreglo]]/'Resultados de impacto '!$H$16</f>
        <v>#DIV/0!</v>
      </c>
      <c r="H8" s="49"/>
      <c r="I8" s="49"/>
      <c r="J8">
        <v>6</v>
      </c>
      <c r="K8" t="str">
        <f t="shared" si="0"/>
        <v>=CONTAR.SI(tbl_h6[Severidad del impacto],G1)</v>
      </c>
    </row>
    <row r="9" spans="1:11" x14ac:dyDescent="0.25">
      <c r="A9" s="62" t="s">
        <v>207</v>
      </c>
      <c r="B9" s="50" t="s">
        <v>332</v>
      </c>
      <c r="C9" s="60" t="e">
        <f>Tabla24[[#This Row],[Problema minimo]]/'Resultados de impacto '!$H$16</f>
        <v>#DIV/0!</v>
      </c>
      <c r="D9" s="60" t="e">
        <f>Tabla24[[#This Row],[Problema cosmético]]/'Resultados de impacto '!$H$16</f>
        <v>#DIV/0!</v>
      </c>
      <c r="E9" s="60" t="e">
        <f>Tabla24[[#This Row],[Problema menor, arreglar con el tiempo y que son fáciles de hacerlo]]/'Resultados de impacto '!$H$16</f>
        <v>#DIV/0!</v>
      </c>
      <c r="F9" s="60" t="e">
        <f>Tabla24[[#This Row],[Problema mayor, importante arreglar]]/'Resultados de impacto '!$H$16</f>
        <v>#DIV/0!</v>
      </c>
      <c r="G9" s="60" t="e">
        <f>Tabla24[[#This Row],[Problema catastrófico, urgencia inmediata de arreglo]]/'Resultados de impacto '!$H$16</f>
        <v>#DIV/0!</v>
      </c>
      <c r="H9" s="49"/>
      <c r="I9" s="49"/>
      <c r="J9">
        <v>7</v>
      </c>
      <c r="K9" t="str">
        <f t="shared" si="0"/>
        <v>=CONTAR.SI(tbl_h7[Severidad del impacto],G1)</v>
      </c>
    </row>
    <row r="10" spans="1:11" x14ac:dyDescent="0.25">
      <c r="A10" s="63" t="s">
        <v>248</v>
      </c>
      <c r="B10" s="50" t="s">
        <v>333</v>
      </c>
      <c r="C10" s="60" t="e">
        <f>Tabla24[[#This Row],[Problema minimo]]/'Resultados de impacto '!$H$16</f>
        <v>#DIV/0!</v>
      </c>
      <c r="D10" s="60" t="e">
        <f>Tabla24[[#This Row],[Problema cosmético]]/'Resultados de impacto '!$H$16</f>
        <v>#DIV/0!</v>
      </c>
      <c r="E10" s="60" t="e">
        <f>Tabla24[[#This Row],[Problema menor, arreglar con el tiempo y que son fáciles de hacerlo]]/'Resultados de impacto '!$H$16</f>
        <v>#DIV/0!</v>
      </c>
      <c r="F10" s="60" t="e">
        <f>Tabla24[[#This Row],[Problema mayor, importante arreglar]]/'Resultados de impacto '!$H$16</f>
        <v>#DIV/0!</v>
      </c>
      <c r="G10" s="60" t="e">
        <f>Tabla24[[#This Row],[Problema catastrófico, urgencia inmediata de arreglo]]/'Resultados de impacto '!$H$16</f>
        <v>#DIV/0!</v>
      </c>
      <c r="H10" s="49"/>
      <c r="I10" s="49"/>
      <c r="J10">
        <v>8</v>
      </c>
      <c r="K10" t="str">
        <f t="shared" si="0"/>
        <v>=CONTAR.SI(tbl_h8[Severidad del impacto],G1)</v>
      </c>
    </row>
    <row r="11" spans="1:11" x14ac:dyDescent="0.25">
      <c r="A11" s="62" t="s">
        <v>257</v>
      </c>
      <c r="B11" s="50" t="s">
        <v>334</v>
      </c>
      <c r="C11" s="60" t="e">
        <f>Tabla24[[#This Row],[Problema minimo]]/'Resultados de impacto '!$H$16</f>
        <v>#DIV/0!</v>
      </c>
      <c r="D11" s="60" t="e">
        <f>Tabla24[[#This Row],[Problema cosmético]]/'Resultados de impacto '!$H$16</f>
        <v>#DIV/0!</v>
      </c>
      <c r="E11" s="60" t="e">
        <f>Tabla24[[#This Row],[Problema menor, arreglar con el tiempo y que son fáciles de hacerlo]]/'Resultados de impacto '!$H$16</f>
        <v>#DIV/0!</v>
      </c>
      <c r="F11" s="60" t="e">
        <f>Tabla24[[#This Row],[Problema mayor, importante arreglar]]/'Resultados de impacto '!$H$16</f>
        <v>#DIV/0!</v>
      </c>
      <c r="G11" s="60" t="e">
        <f>Tabla24[[#This Row],[Problema catastrófico, urgencia inmediata de arreglo]]/'Resultados de impacto '!$H$16</f>
        <v>#DIV/0!</v>
      </c>
      <c r="H11" s="49"/>
      <c r="I11" s="49"/>
      <c r="J11">
        <v>9</v>
      </c>
      <c r="K11" t="str">
        <f t="shared" si="0"/>
        <v>=CONTAR.SI(tbl_h9[Severidad del impacto],G1)</v>
      </c>
    </row>
    <row r="12" spans="1:11" x14ac:dyDescent="0.25">
      <c r="A12" s="63" t="s">
        <v>278</v>
      </c>
      <c r="B12" s="50" t="s">
        <v>335</v>
      </c>
      <c r="C12" s="60" t="e">
        <f>Tabla24[[#This Row],[Problema minimo]]/'Resultados de impacto '!$H$16</f>
        <v>#DIV/0!</v>
      </c>
      <c r="D12" s="60" t="e">
        <f>Tabla24[[#This Row],[Problema cosmético]]/'Resultados de impacto '!$H$16</f>
        <v>#DIV/0!</v>
      </c>
      <c r="E12" s="60" t="e">
        <f>Tabla24[[#This Row],[Problema menor, arreglar con el tiempo y que son fáciles de hacerlo]]/'Resultados de impacto '!$H$16</f>
        <v>#DIV/0!</v>
      </c>
      <c r="F12" s="60" t="e">
        <f>Tabla24[[#This Row],[Problema mayor, importante arreglar]]/'Resultados de impacto '!$H$16</f>
        <v>#DIV/0!</v>
      </c>
      <c r="G12" s="60" t="e">
        <f>Tabla24[[#This Row],[Problema catastrófico, urgencia inmediata de arreglo]]/'Resultados de impacto '!$H$16</f>
        <v>#DIV/0!</v>
      </c>
      <c r="H12" s="49"/>
      <c r="I12" s="49"/>
      <c r="J12">
        <v>10</v>
      </c>
      <c r="K12" t="str">
        <f t="shared" si="0"/>
        <v>=CONTAR.SI(tbl_h10[Severidad del impacto],G1)</v>
      </c>
    </row>
    <row r="13" spans="1:11" x14ac:dyDescent="0.25">
      <c r="A13" s="62" t="s">
        <v>283</v>
      </c>
      <c r="B13" s="50" t="s">
        <v>336</v>
      </c>
      <c r="C13" s="60" t="e">
        <f>Tabla24[[#This Row],[Problema minimo]]/'Resultados de impacto '!$H$16</f>
        <v>#DIV/0!</v>
      </c>
      <c r="D13" s="60" t="e">
        <f>Tabla24[[#This Row],[Problema cosmético]]/'Resultados de impacto '!$H$16</f>
        <v>#DIV/0!</v>
      </c>
      <c r="E13" s="60" t="e">
        <f>Tabla24[[#This Row],[Problema menor, arreglar con el tiempo y que son fáciles de hacerlo]]/'Resultados de impacto '!$H$16</f>
        <v>#DIV/0!</v>
      </c>
      <c r="F13" s="60" t="e">
        <f>Tabla24[[#This Row],[Problema mayor, importante arreglar]]/'Resultados de impacto '!$H$16</f>
        <v>#DIV/0!</v>
      </c>
      <c r="G13" s="60" t="e">
        <f>Tabla24[[#This Row],[Problema catastrófico, urgencia inmediata de arreglo]]/'Resultados de impacto '!$H$16</f>
        <v>#DIV/0!</v>
      </c>
      <c r="H13" s="49"/>
      <c r="I13" s="49"/>
      <c r="J13">
        <v>11</v>
      </c>
      <c r="K13" t="str">
        <f t="shared" si="0"/>
        <v>=CONTAR.SI(tbl_h11[Severidad del impacto],G1)</v>
      </c>
    </row>
    <row r="14" spans="1:11" x14ac:dyDescent="0.25">
      <c r="A14" s="63" t="s">
        <v>296</v>
      </c>
      <c r="B14" s="50" t="s">
        <v>337</v>
      </c>
      <c r="C14" s="60" t="e">
        <f>Tabla24[[#This Row],[Problema minimo]]/'Resultados de impacto '!$H$16</f>
        <v>#DIV/0!</v>
      </c>
      <c r="D14" s="60" t="e">
        <f>Tabla24[[#This Row],[Problema cosmético]]/'Resultados de impacto '!$H$16</f>
        <v>#DIV/0!</v>
      </c>
      <c r="E14" s="60" t="e">
        <f>Tabla24[[#This Row],[Problema menor, arreglar con el tiempo y que son fáciles de hacerlo]]/'Resultados de impacto '!$H$16</f>
        <v>#DIV/0!</v>
      </c>
      <c r="F14" s="60" t="e">
        <f>Tabla24[[#This Row],[Problema mayor, importante arreglar]]/'Resultados de impacto '!$H$16</f>
        <v>#DIV/0!</v>
      </c>
      <c r="G14" s="60" t="e">
        <f>Tabla24[[#This Row],[Problema catastrófico, urgencia inmediata de arreglo]]/'Resultados de impacto '!$H$16</f>
        <v>#DIV/0!</v>
      </c>
      <c r="H14" s="49"/>
      <c r="I14" s="49"/>
      <c r="J14">
        <v>12</v>
      </c>
      <c r="K14" t="str">
        <f t="shared" si="0"/>
        <v>=CONTAR.SI(tbl_h12[Severidad del impacto],G1)</v>
      </c>
    </row>
    <row r="15" spans="1:11" x14ac:dyDescent="0.25">
      <c r="A15" s="62" t="s">
        <v>311</v>
      </c>
      <c r="B15" s="50" t="s">
        <v>338</v>
      </c>
      <c r="C15" s="60" t="e">
        <f>Tabla24[[#This Row],[Problema minimo]]/'Resultados de impacto '!$H$16</f>
        <v>#DIV/0!</v>
      </c>
      <c r="D15" s="60" t="e">
        <f>Tabla24[[#This Row],[Problema cosmético]]/'Resultados de impacto '!$H$16</f>
        <v>#DIV/0!</v>
      </c>
      <c r="E15" s="60" t="e">
        <f>Tabla24[[#This Row],[Problema menor, arreglar con el tiempo y que son fáciles de hacerlo]]/'Resultados de impacto '!$H$16</f>
        <v>#DIV/0!</v>
      </c>
      <c r="F15" s="60" t="e">
        <f>Tabla24[[#This Row],[Problema mayor, importante arreglar]]/'Resultados de impacto '!$H$16</f>
        <v>#DIV/0!</v>
      </c>
      <c r="G15" s="60" t="e">
        <f>Tabla24[[#This Row],[Problema catastrófico, urgencia inmediata de arreglo]]/'Resultados de impacto '!$H$16</f>
        <v>#DIV/0!</v>
      </c>
      <c r="H15" s="49"/>
      <c r="I15" s="49"/>
      <c r="J15">
        <v>13</v>
      </c>
      <c r="K15" t="str">
        <f t="shared" si="0"/>
        <v>=CONTAR.SI(tbl_h13[Severidad del impacto],G1)</v>
      </c>
    </row>
    <row r="16" spans="1:11" x14ac:dyDescent="0.25">
      <c r="B16" s="55" t="s">
        <v>341</v>
      </c>
      <c r="C16" s="61" t="e">
        <f>SUM(C3:C15)</f>
        <v>#DIV/0!</v>
      </c>
      <c r="D16" s="61" t="e">
        <f t="shared" ref="D16:G16" si="1">SUM(D3:D15)</f>
        <v>#DIV/0!</v>
      </c>
      <c r="E16" s="61" t="e">
        <f t="shared" si="1"/>
        <v>#DIV/0!</v>
      </c>
      <c r="F16" s="61" t="e">
        <f t="shared" si="1"/>
        <v>#DIV/0!</v>
      </c>
      <c r="G16" s="61" t="e">
        <f t="shared" si="1"/>
        <v>#DIV/0!</v>
      </c>
    </row>
    <row r="17" spans="3:7" x14ac:dyDescent="0.25">
      <c r="C17" s="57"/>
      <c r="D17" s="57"/>
      <c r="E17" s="57"/>
      <c r="F17" s="57"/>
      <c r="G17" s="5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17"/>
  <sheetViews>
    <sheetView topLeftCell="A82" workbookViewId="0">
      <selection activeCell="A93" sqref="A93"/>
    </sheetView>
  </sheetViews>
  <sheetFormatPr baseColWidth="10" defaultColWidth="11.42578125" defaultRowHeight="15" x14ac:dyDescent="0.25"/>
  <cols>
    <col min="2" max="2" width="12" customWidth="1"/>
    <col min="3" max="3" width="11.85546875" customWidth="1"/>
    <col min="4" max="4" width="53.85546875" customWidth="1"/>
    <col min="5" max="5" width="11.28515625" customWidth="1"/>
    <col min="6" max="6" width="27.42578125" bestFit="1" customWidth="1"/>
    <col min="7" max="7" width="22.42578125" customWidth="1"/>
    <col min="8" max="8" width="22.85546875" customWidth="1"/>
    <col min="9" max="9" width="25.7109375" customWidth="1"/>
    <col min="10" max="12" width="24.7109375" customWidth="1"/>
    <col min="13" max="13" width="16.140625" customWidth="1"/>
  </cols>
  <sheetData>
    <row r="3" spans="2:13" ht="30" x14ac:dyDescent="0.25">
      <c r="B3" s="44" t="s">
        <v>343</v>
      </c>
      <c r="C3" s="41" t="s">
        <v>45</v>
      </c>
      <c r="D3" s="41" t="s">
        <v>46</v>
      </c>
      <c r="E3" s="41" t="s">
        <v>47</v>
      </c>
      <c r="F3" s="41" t="s">
        <v>0</v>
      </c>
      <c r="G3" s="41" t="s">
        <v>48</v>
      </c>
      <c r="H3" s="41" t="s">
        <v>49</v>
      </c>
      <c r="I3" s="41" t="s">
        <v>50</v>
      </c>
      <c r="J3" s="41" t="s">
        <v>51</v>
      </c>
      <c r="K3" s="41" t="s">
        <v>344</v>
      </c>
      <c r="L3" s="41" t="s">
        <v>345</v>
      </c>
      <c r="M3" s="41" t="s">
        <v>52</v>
      </c>
    </row>
    <row r="4" spans="2:13" x14ac:dyDescent="0.25">
      <c r="B4" s="7" t="s">
        <v>36</v>
      </c>
      <c r="C4" s="7" t="str">
        <f>'H1. Visibilidad y estado'!B13</f>
        <v>H1-1</v>
      </c>
      <c r="D4" t="str">
        <f>'H1. Visibilidad y estado'!C13</f>
        <v>Se incluye de forma visible el título en cada página, sección o contenido</v>
      </c>
      <c r="E4" s="7" t="str">
        <f>'H1. Visibilidad y estado'!D13</f>
        <v>NA</v>
      </c>
      <c r="F4" t="str">
        <f>'H1. Visibilidad y estado'!E13</f>
        <v>-</v>
      </c>
      <c r="G4" s="7">
        <f>'H1. Visibilidad y estado'!F13</f>
        <v>0</v>
      </c>
      <c r="H4" t="str">
        <f>'H1. Visibilidad y estado'!G13</f>
        <v>-</v>
      </c>
      <c r="I4" s="7">
        <f>'H1. Visibilidad y estado'!H13</f>
        <v>0</v>
      </c>
      <c r="J4" t="str">
        <f>'H1. Visibilidad y estado'!I13</f>
        <v>-</v>
      </c>
      <c r="K4">
        <f xml:space="preserve"> IF(tbl_consolidado[[#This Row],[Valoracion Numerica]]=5,0,   IFERROR(0.5*(tbl_consolidado[[#This Row],[Valoracion numerica severidad impacto]]+tbl_consolidado[[#This Row],[Valoración numérica de persistencia de impacto]]+2),""))</f>
        <v>1</v>
      </c>
      <c r="L4" t="str">
        <f>IF(tbl_consolidado[[#This Row],[Valoracion de impacto]]=0,"No existe",IF(K4&lt;&gt;"",IF(K4&lt;=1,Datos!$L$4,IF(AND(K4&gt;1,K4&lt;=2),Datos!$L$5,IF(AND(K4&gt;2,K4&lt;=3),Datos!$L$6,IF(AND(K4&gt;3,K4&lt;=4),Datos!$L$7,IF(K4&gt;4,Datos!$L$8,""))))),""))</f>
        <v>Problema minimo</v>
      </c>
      <c r="M4">
        <f>'H1. Visibilidad y estado'!J13</f>
        <v>0</v>
      </c>
    </row>
    <row r="5" spans="2:13" x14ac:dyDescent="0.25">
      <c r="B5" s="7" t="s">
        <v>36</v>
      </c>
      <c r="C5" s="7" t="str">
        <f>'H1. Visibilidad y estado'!B14</f>
        <v>H1-2</v>
      </c>
      <c r="D5" t="str">
        <f>'H1. Visibilidad y estado'!C14</f>
        <v>Existen feedback todas las acciones u operaciones</v>
      </c>
      <c r="E5" s="7" t="str">
        <f>'H1. Visibilidad y estado'!D14</f>
        <v>NA</v>
      </c>
      <c r="F5" t="str">
        <f>'H1. Visibilidad y estado'!E14</f>
        <v>-</v>
      </c>
      <c r="G5" s="7">
        <f>'H1. Visibilidad y estado'!F14</f>
        <v>0</v>
      </c>
      <c r="H5" t="str">
        <f>'H1. Visibilidad y estado'!G14</f>
        <v>-</v>
      </c>
      <c r="I5" s="7">
        <f>'H1. Visibilidad y estado'!H14</f>
        <v>0</v>
      </c>
      <c r="J5" t="str">
        <f>'H1. Visibilidad y estado'!I14</f>
        <v>-</v>
      </c>
      <c r="K5">
        <f xml:space="preserve"> IF(tbl_consolidado[[#This Row],[Valoracion Numerica]]=5,0,   IFERROR(0.5*(tbl_consolidado[[#This Row],[Valoracion numerica severidad impacto]]+tbl_consolidado[[#This Row],[Valoración numérica de persistencia de impacto]]+2),""))</f>
        <v>1</v>
      </c>
      <c r="L5" t="str">
        <f>IF(tbl_consolidado[[#This Row],[Valoracion de impacto]]=0,"No existe",IF(K5&lt;&gt;"",IF(K5&lt;=1,Datos!$L$4,IF(AND(K5&gt;1,K5&lt;=2),Datos!$L$5,IF(AND(K5&gt;2,K5&lt;=3),Datos!$L$6,IF(AND(K5&gt;3,K5&lt;=4),Datos!$L$7,IF(K5&gt;4,Datos!$L$8,""))))),""))</f>
        <v>Problema minimo</v>
      </c>
      <c r="M5">
        <f>'H1. Visibilidad y estado'!J14</f>
        <v>0</v>
      </c>
    </row>
    <row r="6" spans="2:13" x14ac:dyDescent="0.25">
      <c r="B6" s="7" t="s">
        <v>36</v>
      </c>
      <c r="C6" s="7" t="str">
        <f>'H1. Visibilidad y estado'!B15</f>
        <v>H1-3</v>
      </c>
      <c r="D6" t="str">
        <f>'H1. Visibilidad y estado'!C15</f>
        <v>Los formularios o menús de la interfaz implementan algún tipo de “feedback” que permite saber si esas acciones se encuentran disponibles o no.</v>
      </c>
      <c r="E6" s="7" t="str">
        <f>'H1. Visibilidad y estado'!D15</f>
        <v>NA</v>
      </c>
      <c r="F6" t="str">
        <f>'H1. Visibilidad y estado'!E15</f>
        <v>-</v>
      </c>
      <c r="G6" s="7">
        <f>'H1. Visibilidad y estado'!F15</f>
        <v>0</v>
      </c>
      <c r="H6" t="str">
        <f>'H1. Visibilidad y estado'!G15</f>
        <v>-</v>
      </c>
      <c r="I6" s="7">
        <f>'H1. Visibilidad y estado'!H15</f>
        <v>0</v>
      </c>
      <c r="J6" t="str">
        <f>'H1. Visibilidad y estado'!I15</f>
        <v>-</v>
      </c>
      <c r="K6">
        <f xml:space="preserve"> IF(tbl_consolidado[[#This Row],[Valoracion Numerica]]=5,0,   IFERROR(0.5*(tbl_consolidado[[#This Row],[Valoracion numerica severidad impacto]]+tbl_consolidado[[#This Row],[Valoración numérica de persistencia de impacto]]+2),""))</f>
        <v>1</v>
      </c>
      <c r="L6" t="str">
        <f>IF(tbl_consolidado[[#This Row],[Valoracion de impacto]]=0,"No existe",IF(K6&lt;&gt;"",IF(K6&lt;=1,Datos!$L$4,IF(AND(K6&gt;1,K6&lt;=2),Datos!$L$5,IF(AND(K6&gt;2,K6&lt;=3),Datos!$L$6,IF(AND(K6&gt;3,K6&lt;=4),Datos!$L$7,IF(K6&gt;4,Datos!$L$8,""))))),""))</f>
        <v>Problema minimo</v>
      </c>
      <c r="M6">
        <f>'H1. Visibilidad y estado'!J15</f>
        <v>0</v>
      </c>
    </row>
    <row r="7" spans="2:13" x14ac:dyDescent="0.25">
      <c r="B7" s="7" t="s">
        <v>36</v>
      </c>
      <c r="C7" s="7" t="str">
        <f>'H1. Visibilidad y estado'!B16</f>
        <v>H1-4</v>
      </c>
      <c r="D7" t="str">
        <f>'H1. Visibilidad y estado'!C16</f>
        <v>Si hay menús, select , radios o checkbox donde se puedan seleccionar múltiples opciones ,la interfaz muestra algún tipo de "feedback" que indique cuales de las opciones ya han sido seleccionadas</v>
      </c>
      <c r="E7" s="7" t="str">
        <f>'H1. Visibilidad y estado'!D16</f>
        <v>NA</v>
      </c>
      <c r="F7" t="str">
        <f>'H1. Visibilidad y estado'!E16</f>
        <v>-</v>
      </c>
      <c r="G7" s="7">
        <f>'H1. Visibilidad y estado'!F16</f>
        <v>0</v>
      </c>
      <c r="H7" t="str">
        <f>'H1. Visibilidad y estado'!G16</f>
        <v>-</v>
      </c>
      <c r="I7" s="7">
        <f>'H1. Visibilidad y estado'!H16</f>
        <v>0</v>
      </c>
      <c r="J7" t="str">
        <f>'H1. Visibilidad y estado'!I16</f>
        <v>-</v>
      </c>
      <c r="K7">
        <f xml:space="preserve"> IF(tbl_consolidado[[#This Row],[Valoracion Numerica]]=5,0,   IFERROR(0.5*(tbl_consolidado[[#This Row],[Valoracion numerica severidad impacto]]+tbl_consolidado[[#This Row],[Valoración numérica de persistencia de impacto]]+2),""))</f>
        <v>1</v>
      </c>
      <c r="L7" t="str">
        <f>IF(tbl_consolidado[[#This Row],[Valoracion de impacto]]=0,"No existe",IF(K7&lt;&gt;"",IF(K7&lt;=1,Datos!$L$4,IF(AND(K7&gt;1,K7&lt;=2),Datos!$L$5,IF(AND(K7&gt;2,K7&lt;=3),Datos!$L$6,IF(AND(K7&gt;3,K7&lt;=4),Datos!$L$7,IF(K7&gt;4,Datos!$L$8,""))))),""))</f>
        <v>Problema minimo</v>
      </c>
      <c r="M7">
        <f>'H1. Visibilidad y estado'!J16</f>
        <v>0</v>
      </c>
    </row>
    <row r="8" spans="2:13" x14ac:dyDescent="0.25">
      <c r="B8" s="7" t="s">
        <v>36</v>
      </c>
      <c r="C8" s="7" t="str">
        <f>'H1. Visibilidad y estado'!B17</f>
        <v>H1-5</v>
      </c>
      <c r="D8" t="str">
        <f>'H1. Visibilidad y estado'!C17</f>
        <v>Se  puede identificar claramente el estado de los íconos o elementos que permitan realizar alguna acción.</v>
      </c>
      <c r="E8" s="7" t="str">
        <f>'H1. Visibilidad y estado'!D17</f>
        <v>NA</v>
      </c>
      <c r="F8" t="str">
        <f>'H1. Visibilidad y estado'!E17</f>
        <v>-</v>
      </c>
      <c r="G8" s="7">
        <f>'H1. Visibilidad y estado'!F17</f>
        <v>0</v>
      </c>
      <c r="H8" t="str">
        <f>'H1. Visibilidad y estado'!G17</f>
        <v>-</v>
      </c>
      <c r="I8" s="7">
        <f>'H1. Visibilidad y estado'!H17</f>
        <v>0</v>
      </c>
      <c r="J8" t="str">
        <f>'H1. Visibilidad y estado'!I17</f>
        <v>-</v>
      </c>
      <c r="K8">
        <f xml:space="preserve"> IF(tbl_consolidado[[#This Row],[Valoracion Numerica]]=5,0,   IFERROR(0.5*(tbl_consolidado[[#This Row],[Valoracion numerica severidad impacto]]+tbl_consolidado[[#This Row],[Valoración numérica de persistencia de impacto]]+2),""))</f>
        <v>1</v>
      </c>
      <c r="L8" t="str">
        <f>IF(tbl_consolidado[[#This Row],[Valoracion de impacto]]=0,"No existe",IF(K8&lt;&gt;"",IF(K8&lt;=1,Datos!$L$4,IF(AND(K8&gt;1,K8&lt;=2),Datos!$L$5,IF(AND(K8&gt;2,K8&lt;=3),Datos!$L$6,IF(AND(K8&gt;3,K8&lt;=4),Datos!$L$7,IF(K8&gt;4,Datos!$L$8,""))))),""))</f>
        <v>Problema minimo</v>
      </c>
      <c r="M8">
        <f>'H1. Visibilidad y estado'!J17</f>
        <v>0</v>
      </c>
    </row>
    <row r="9" spans="2:13" x14ac:dyDescent="0.25">
      <c r="B9" s="7" t="s">
        <v>36</v>
      </c>
      <c r="C9" s="7" t="str">
        <f>'H1. Visibilidad y estado'!B18</f>
        <v>H1-6</v>
      </c>
      <c r="D9" t="str">
        <f>'H1. Visibilidad y estado'!C18</f>
        <v>Los tiempos de respuesta para cada tarea son apropiados</v>
      </c>
      <c r="E9" s="7" t="str">
        <f>'H1. Visibilidad y estado'!D18</f>
        <v>NA</v>
      </c>
      <c r="F9" t="str">
        <f>'H1. Visibilidad y estado'!E18</f>
        <v>-</v>
      </c>
      <c r="G9" s="7">
        <f>'H1. Visibilidad y estado'!F18</f>
        <v>0</v>
      </c>
      <c r="H9" t="str">
        <f>'H1. Visibilidad y estado'!G18</f>
        <v>-</v>
      </c>
      <c r="I9" s="7">
        <f>'H1. Visibilidad y estado'!H18</f>
        <v>0</v>
      </c>
      <c r="J9" t="str">
        <f>'H1. Visibilidad y estado'!I18</f>
        <v>-</v>
      </c>
      <c r="K9">
        <f xml:space="preserve"> IF(tbl_consolidado[[#This Row],[Valoracion Numerica]]=5,0,   IFERROR(0.5*(tbl_consolidado[[#This Row],[Valoracion numerica severidad impacto]]+tbl_consolidado[[#This Row],[Valoración numérica de persistencia de impacto]]+2),""))</f>
        <v>1</v>
      </c>
      <c r="L9" t="str">
        <f>IF(tbl_consolidado[[#This Row],[Valoracion de impacto]]=0,"No existe",IF(K9&lt;&gt;"",IF(K9&lt;=1,Datos!$L$4,IF(AND(K9&gt;1,K9&lt;=2),Datos!$L$5,IF(AND(K9&gt;2,K9&lt;=3),Datos!$L$6,IF(AND(K9&gt;3,K9&lt;=4),Datos!$L$7,IF(K9&gt;4,Datos!$L$8,""))))),""))</f>
        <v>Problema minimo</v>
      </c>
      <c r="M9">
        <f>'H1. Visibilidad y estado'!J18</f>
        <v>0</v>
      </c>
    </row>
    <row r="10" spans="2:13" x14ac:dyDescent="0.25">
      <c r="B10" s="7" t="s">
        <v>36</v>
      </c>
      <c r="C10" s="7" t="str">
        <f>'H1. Visibilidad y estado'!B19</f>
        <v>H1-7</v>
      </c>
      <c r="D10" t="str">
        <f>'H1. Visibilidad y estado'!C19</f>
        <v>Si el usuario navega en múltiples niveles de pantallas. el sistema brinda información de donde se encuentra ubicado(migas de pan, marcas de navegación)</v>
      </c>
      <c r="E10" s="7" t="str">
        <f>'H1. Visibilidad y estado'!D19</f>
        <v>NA</v>
      </c>
      <c r="F10" t="str">
        <f>'H1. Visibilidad y estado'!E19</f>
        <v>-</v>
      </c>
      <c r="G10" s="7">
        <f>'H1. Visibilidad y estado'!F19</f>
        <v>0</v>
      </c>
      <c r="H10" t="str">
        <f>'H1. Visibilidad y estado'!G19</f>
        <v>-</v>
      </c>
      <c r="I10" s="7">
        <f>'H1. Visibilidad y estado'!H19</f>
        <v>0</v>
      </c>
      <c r="J10" t="str">
        <f>'H1. Visibilidad y estado'!I19</f>
        <v>-</v>
      </c>
      <c r="K10">
        <f xml:space="preserve"> IF(tbl_consolidado[[#This Row],[Valoracion Numerica]]=5,0,   IFERROR(0.5*(tbl_consolidado[[#This Row],[Valoracion numerica severidad impacto]]+tbl_consolidado[[#This Row],[Valoración numérica de persistencia de impacto]]+2),""))</f>
        <v>1</v>
      </c>
      <c r="L10" t="str">
        <f>IF(tbl_consolidado[[#This Row],[Valoracion de impacto]]=0,"No existe",IF(K10&lt;&gt;"",IF(K10&lt;=1,Datos!$L$4,IF(AND(K10&gt;1,K10&lt;=2),Datos!$L$5,IF(AND(K10&gt;2,K10&lt;=3),Datos!$L$6,IF(AND(K10&gt;3,K10&lt;=4),Datos!$L$7,IF(K10&gt;4,Datos!$L$8,""))))),""))</f>
        <v>Problema minimo</v>
      </c>
      <c r="M10">
        <f>'H1. Visibilidad y estado'!J19</f>
        <v>0</v>
      </c>
    </row>
    <row r="11" spans="2:13" x14ac:dyDescent="0.25">
      <c r="B11" s="7" t="s">
        <v>36</v>
      </c>
      <c r="C11" s="7" t="str">
        <f>'H1. Visibilidad y estado'!B20</f>
        <v>H1-8</v>
      </c>
      <c r="D11" t="str">
        <f>'H1. Visibilidad y estado'!C20</f>
        <v>Existen indicadores en el progreso de una tarea.</v>
      </c>
      <c r="E11" s="7" t="str">
        <f>'H1. Visibilidad y estado'!D20</f>
        <v>NA</v>
      </c>
      <c r="F11" t="str">
        <f>'H1. Visibilidad y estado'!E20</f>
        <v>-</v>
      </c>
      <c r="G11" s="7">
        <f>'H1. Visibilidad y estado'!F20</f>
        <v>0</v>
      </c>
      <c r="H11" t="str">
        <f>'H1. Visibilidad y estado'!G20</f>
        <v>-</v>
      </c>
      <c r="I11" s="7">
        <f>'H1. Visibilidad y estado'!H20</f>
        <v>0</v>
      </c>
      <c r="J11" t="str">
        <f>'H1. Visibilidad y estado'!I20</f>
        <v>-</v>
      </c>
      <c r="K11">
        <f xml:space="preserve"> IF(tbl_consolidado[[#This Row],[Valoracion Numerica]]=5,0,   IFERROR(0.5*(tbl_consolidado[[#This Row],[Valoracion numerica severidad impacto]]+tbl_consolidado[[#This Row],[Valoración numérica de persistencia de impacto]]+2),""))</f>
        <v>1</v>
      </c>
      <c r="L11" t="str">
        <f>IF(tbl_consolidado[[#This Row],[Valoracion de impacto]]=0,"No existe",IF(K11&lt;&gt;"",IF(K11&lt;=1,Datos!$L$4,IF(AND(K11&gt;1,K11&lt;=2),Datos!$L$5,IF(AND(K11&gt;2,K11&lt;=3),Datos!$L$6,IF(AND(K11&gt;3,K11&lt;=4),Datos!$L$7,IF(K11&gt;4,Datos!$L$8,""))))),""))</f>
        <v>Problema minimo</v>
      </c>
      <c r="M11">
        <f>'H1. Visibilidad y estado'!J20</f>
        <v>0</v>
      </c>
    </row>
    <row r="12" spans="2:13" x14ac:dyDescent="0.25">
      <c r="B12" s="7" t="s">
        <v>36</v>
      </c>
      <c r="C12" s="7" t="str">
        <f>'H1. Visibilidad y estado'!B21</f>
        <v>H1-9</v>
      </c>
      <c r="D12" t="str">
        <f>'H1. Visibilidad y estado'!C21</f>
        <v>Si el sitio tiene actualizaciones constantes, se indica cuando se realizará la actualización</v>
      </c>
      <c r="E12" s="7" t="str">
        <f>'H1. Visibilidad y estado'!D21</f>
        <v>NA</v>
      </c>
      <c r="F12" t="str">
        <f>'H1. Visibilidad y estado'!E21</f>
        <v>-</v>
      </c>
      <c r="G12" s="7">
        <f>'H1. Visibilidad y estado'!F21</f>
        <v>0</v>
      </c>
      <c r="H12" t="str">
        <f>'H1. Visibilidad y estado'!G21</f>
        <v>-</v>
      </c>
      <c r="I12" s="7">
        <f>'H1. Visibilidad y estado'!H21</f>
        <v>0</v>
      </c>
      <c r="J12" t="str">
        <f>'H1. Visibilidad y estado'!I21</f>
        <v>-</v>
      </c>
      <c r="K12">
        <f xml:space="preserve"> IF(tbl_consolidado[[#This Row],[Valoracion Numerica]]=5,0,   IFERROR(0.5*(tbl_consolidado[[#This Row],[Valoracion numerica severidad impacto]]+tbl_consolidado[[#This Row],[Valoración numérica de persistencia de impacto]]+2),""))</f>
        <v>1</v>
      </c>
      <c r="L12" t="str">
        <f>IF(tbl_consolidado[[#This Row],[Valoracion de impacto]]=0,"No existe",IF(K12&lt;&gt;"",IF(K12&lt;=1,Datos!$L$4,IF(AND(K12&gt;1,K12&lt;=2),Datos!$L$5,IF(AND(K12&gt;2,K12&lt;=3),Datos!$L$6,IF(AND(K12&gt;3,K12&lt;=4),Datos!$L$7,IF(K12&gt;4,Datos!$L$8,""))))),""))</f>
        <v>Problema minimo</v>
      </c>
      <c r="M12">
        <f>'H1. Visibilidad y estado'!J21</f>
        <v>0</v>
      </c>
    </row>
    <row r="13" spans="2:13" x14ac:dyDescent="0.25">
      <c r="B13" s="7" t="s">
        <v>36</v>
      </c>
      <c r="C13" s="7" t="str">
        <f>'H1. Visibilidad y estado'!B22</f>
        <v>H1-10</v>
      </c>
      <c r="D13" t="str">
        <f>'H1. Visibilidad y estado'!C22</f>
        <v>Se indican las fechas de inicio, finalización y tiempo disponible de las actividades y/o tareas que tiene cada usuario en el sistema</v>
      </c>
      <c r="E13" s="7" t="str">
        <f>'H1. Visibilidad y estado'!D22</f>
        <v>NA</v>
      </c>
      <c r="F13" t="str">
        <f>'H1. Visibilidad y estado'!E22</f>
        <v>-</v>
      </c>
      <c r="G13" s="7">
        <f>'H1. Visibilidad y estado'!F22</f>
        <v>0</v>
      </c>
      <c r="H13" t="str">
        <f>'H1. Visibilidad y estado'!G22</f>
        <v>-</v>
      </c>
      <c r="I13" s="7">
        <f>'H1. Visibilidad y estado'!H22</f>
        <v>0</v>
      </c>
      <c r="J13" t="str">
        <f>'H1. Visibilidad y estado'!I22</f>
        <v>-</v>
      </c>
      <c r="K13">
        <f xml:space="preserve"> IF(tbl_consolidado[[#This Row],[Valoracion Numerica]]=5,0,   IFERROR(0.5*(tbl_consolidado[[#This Row],[Valoracion numerica severidad impacto]]+tbl_consolidado[[#This Row],[Valoración numérica de persistencia de impacto]]+2),""))</f>
        <v>1</v>
      </c>
      <c r="L13" t="str">
        <f>IF(tbl_consolidado[[#This Row],[Valoracion de impacto]]=0,"No existe",IF(K13&lt;&gt;"",IF(K13&lt;=1,Datos!$L$4,IF(AND(K13&gt;1,K13&lt;=2),Datos!$L$5,IF(AND(K13&gt;2,K13&lt;=3),Datos!$L$6,IF(AND(K13&gt;3,K13&lt;=4),Datos!$L$7,IF(K13&gt;4,Datos!$L$8,""))))),""))</f>
        <v>Problema minimo</v>
      </c>
      <c r="M13">
        <f>'H1. Visibilidad y estado'!J22</f>
        <v>0</v>
      </c>
    </row>
    <row r="14" spans="2:13" x14ac:dyDescent="0.25">
      <c r="B14" s="7" t="s">
        <v>36</v>
      </c>
      <c r="C14" s="7" t="str">
        <f>'H1. Visibilidad y estado'!B23</f>
        <v>H1-11</v>
      </c>
      <c r="D14" t="str">
        <f>'H1. Visibilidad y estado'!C23</f>
        <v>Los enlaces son claramente reconocidos al igual en el estado en que se encuentran</v>
      </c>
      <c r="E14" s="7" t="str">
        <f>'H1. Visibilidad y estado'!D23</f>
        <v>NA</v>
      </c>
      <c r="F14" t="str">
        <f>'H1. Visibilidad y estado'!E23</f>
        <v>-</v>
      </c>
      <c r="G14" s="7">
        <f>'H1. Visibilidad y estado'!F23</f>
        <v>0</v>
      </c>
      <c r="H14" t="str">
        <f>'H1. Visibilidad y estado'!G23</f>
        <v>-</v>
      </c>
      <c r="I14" s="7">
        <f>'H1. Visibilidad y estado'!H23</f>
        <v>0</v>
      </c>
      <c r="J14" t="str">
        <f>'H1. Visibilidad y estado'!I23</f>
        <v>-</v>
      </c>
      <c r="K14">
        <f xml:space="preserve"> IF(tbl_consolidado[[#This Row],[Valoracion Numerica]]=5,0,   IFERROR(0.5*(tbl_consolidado[[#This Row],[Valoracion numerica severidad impacto]]+tbl_consolidado[[#This Row],[Valoración numérica de persistencia de impacto]]+2),""))</f>
        <v>1</v>
      </c>
      <c r="L14" t="str">
        <f>IF(tbl_consolidado[[#This Row],[Valoracion de impacto]]=0,"No existe",IF(K14&lt;&gt;"",IF(K14&lt;=1,Datos!$L$4,IF(AND(K14&gt;1,K14&lt;=2),Datos!$L$5,IF(AND(K14&gt;2,K14&lt;=3),Datos!$L$6,IF(AND(K14&gt;3,K14&lt;=4),Datos!$L$7,IF(K14&gt;4,Datos!$L$8,""))))),""))</f>
        <v>Problema minimo</v>
      </c>
      <c r="M14">
        <f>'H1. Visibilidad y estado'!J23</f>
        <v>0</v>
      </c>
    </row>
    <row r="15" spans="2:13" x14ac:dyDescent="0.25">
      <c r="B15" s="7" t="s">
        <v>36</v>
      </c>
      <c r="C15" s="7" t="str">
        <f>'H1. Visibilidad y estado'!B24</f>
        <v>H1-12</v>
      </c>
      <c r="D15" t="str">
        <f>'H1. Visibilidad y estado'!C24</f>
        <v>El sistema emplea iconos o indicadores visuales o metáforas comprensibles.</v>
      </c>
      <c r="E15" s="7" t="str">
        <f>'H1. Visibilidad y estado'!D24</f>
        <v>NA</v>
      </c>
      <c r="F15" t="str">
        <f>'H1. Visibilidad y estado'!E24</f>
        <v>-</v>
      </c>
      <c r="G15" s="7">
        <f>'H1. Visibilidad y estado'!F24</f>
        <v>0</v>
      </c>
      <c r="H15" t="str">
        <f>'H1. Visibilidad y estado'!G24</f>
        <v>-</v>
      </c>
      <c r="I15" s="7">
        <f>'H1. Visibilidad y estado'!H24</f>
        <v>0</v>
      </c>
      <c r="J15" t="str">
        <f>'H1. Visibilidad y estado'!I24</f>
        <v>-</v>
      </c>
      <c r="K15">
        <f xml:space="preserve"> IF(tbl_consolidado[[#This Row],[Valoracion Numerica]]=5,0,   IFERROR(0.5*(tbl_consolidado[[#This Row],[Valoracion numerica severidad impacto]]+tbl_consolidado[[#This Row],[Valoración numérica de persistencia de impacto]]+2),""))</f>
        <v>1</v>
      </c>
      <c r="L15" t="str">
        <f>IF(tbl_consolidado[[#This Row],[Valoracion de impacto]]=0,"No existe",IF(K15&lt;&gt;"",IF(K15&lt;=1,Datos!$L$4,IF(AND(K15&gt;1,K15&lt;=2),Datos!$L$5,IF(AND(K15&gt;2,K15&lt;=3),Datos!$L$6,IF(AND(K15&gt;3,K15&lt;=4),Datos!$L$7,IF(K15&gt;4,Datos!$L$8,""))))),""))</f>
        <v>Problema minimo</v>
      </c>
      <c r="M15">
        <f>'H1. Visibilidad y estado'!J24</f>
        <v>0</v>
      </c>
    </row>
    <row r="16" spans="2:13" x14ac:dyDescent="0.25">
      <c r="B16" s="7" t="s">
        <v>36</v>
      </c>
      <c r="C16" s="7" t="str">
        <f>'H1. Visibilidad y estado'!B25</f>
        <v>H1-13</v>
      </c>
      <c r="D16" t="str">
        <f>'H1. Visibilidad y estado'!C25</f>
        <v>Los elementos principales en el área de navegación se encuentran visibles sin realizar ninguna acción extra</v>
      </c>
      <c r="E16" s="7" t="str">
        <f>'H1. Visibilidad y estado'!D25</f>
        <v>NA</v>
      </c>
      <c r="F16" t="str">
        <f>'H1. Visibilidad y estado'!E25</f>
        <v>-</v>
      </c>
      <c r="G16" s="7">
        <f>'H1. Visibilidad y estado'!F25</f>
        <v>0</v>
      </c>
      <c r="H16" t="str">
        <f>'H1. Visibilidad y estado'!G25</f>
        <v>-</v>
      </c>
      <c r="I16" s="7">
        <f>'H1. Visibilidad y estado'!H25</f>
        <v>0</v>
      </c>
      <c r="J16" t="str">
        <f>'H1. Visibilidad y estado'!I25</f>
        <v>-</v>
      </c>
      <c r="K16">
        <f xml:space="preserve"> IF(tbl_consolidado[[#This Row],[Valoracion Numerica]]=5,0,   IFERROR(0.5*(tbl_consolidado[[#This Row],[Valoracion numerica severidad impacto]]+tbl_consolidado[[#This Row],[Valoración numérica de persistencia de impacto]]+2),""))</f>
        <v>1</v>
      </c>
      <c r="L16" t="str">
        <f>IF(tbl_consolidado[[#This Row],[Valoracion de impacto]]=0,"No existe",IF(K16&lt;&gt;"",IF(K16&lt;=1,Datos!$L$4,IF(AND(K16&gt;1,K16&lt;=2),Datos!$L$5,IF(AND(K16&gt;2,K16&lt;=3),Datos!$L$6,IF(AND(K16&gt;3,K16&lt;=4),Datos!$L$7,IF(K16&gt;4,Datos!$L$8,""))))),""))</f>
        <v>Problema minimo</v>
      </c>
      <c r="M16">
        <f>'H1. Visibilidad y estado'!J25</f>
        <v>0</v>
      </c>
    </row>
    <row r="17" spans="2:13" x14ac:dyDescent="0.25">
      <c r="B17" s="7" t="s">
        <v>36</v>
      </c>
      <c r="C17" s="7" t="str">
        <f>'H1. Visibilidad y estado'!B26</f>
        <v>H1-14</v>
      </c>
      <c r="D17" t="str">
        <f>'H1. Visibilidad y estado'!C26</f>
        <v>El sistema se mantiene actualizado y muestra información actual</v>
      </c>
      <c r="E17" s="7" t="str">
        <f>'H1. Visibilidad y estado'!D26</f>
        <v>NA</v>
      </c>
      <c r="F17" t="str">
        <f>'H1. Visibilidad y estado'!E26</f>
        <v>-</v>
      </c>
      <c r="G17" s="7">
        <f>'H1. Visibilidad y estado'!F26</f>
        <v>0</v>
      </c>
      <c r="H17" t="str">
        <f>'H1. Visibilidad y estado'!G26</f>
        <v>-</v>
      </c>
      <c r="I17" s="7">
        <f>'H1. Visibilidad y estado'!H26</f>
        <v>0</v>
      </c>
      <c r="J17" t="str">
        <f>'H1. Visibilidad y estado'!I26</f>
        <v>-</v>
      </c>
      <c r="K17">
        <f xml:space="preserve"> IF(tbl_consolidado[[#This Row],[Valoracion Numerica]]=5,0,   IFERROR(0.5*(tbl_consolidado[[#This Row],[Valoracion numerica severidad impacto]]+tbl_consolidado[[#This Row],[Valoración numérica de persistencia de impacto]]+2),""))</f>
        <v>1</v>
      </c>
      <c r="L17" t="str">
        <f>IF(tbl_consolidado[[#This Row],[Valoracion de impacto]]=0,"No existe",IF(K17&lt;&gt;"",IF(K17&lt;=1,Datos!$L$4,IF(AND(K17&gt;1,K17&lt;=2),Datos!$L$5,IF(AND(K17&gt;2,K17&lt;=3),Datos!$L$6,IF(AND(K17&gt;3,K17&lt;=4),Datos!$L$7,IF(K17&gt;4,Datos!$L$8,""))))),""))</f>
        <v>Problema minimo</v>
      </c>
      <c r="M17">
        <f>'H1. Visibilidad y estado'!J26</f>
        <v>0</v>
      </c>
    </row>
    <row r="18" spans="2:13" x14ac:dyDescent="0.25">
      <c r="B18" s="7" t="s">
        <v>81</v>
      </c>
      <c r="C18" s="7" t="str">
        <f>'H2. Relacion sistema-mundo-real'!B13</f>
        <v>H2-1</v>
      </c>
      <c r="D18" t="str">
        <f>'H2. Relacion sistema-mundo-real'!C13</f>
        <v>El sistema utiliza un lenguaje entendible, con palabras, frases o conceptos familiares para el usuario en vez de tecnicismos del sistema o lenguaje complejo difícil de entender</v>
      </c>
      <c r="E18" s="7" t="str">
        <f>'H2. Relacion sistema-mundo-real'!D13</f>
        <v>NA</v>
      </c>
      <c r="F18" t="str">
        <f>'H2. Relacion sistema-mundo-real'!E13</f>
        <v>-</v>
      </c>
      <c r="G18" s="7">
        <f>'H2. Relacion sistema-mundo-real'!F13</f>
        <v>0</v>
      </c>
      <c r="H18" t="str">
        <f>'H2. Relacion sistema-mundo-real'!G13</f>
        <v>-</v>
      </c>
      <c r="I18" s="7">
        <f>'H2. Relacion sistema-mundo-real'!H13</f>
        <v>0</v>
      </c>
      <c r="J18" t="str">
        <f>'H2. Relacion sistema-mundo-real'!I13</f>
        <v>-</v>
      </c>
      <c r="K18">
        <f xml:space="preserve"> IF(tbl_consolidado[[#This Row],[Valoracion Numerica]]=5,0,   IFERROR(0.5*(tbl_consolidado[[#This Row],[Valoracion numerica severidad impacto]]+tbl_consolidado[[#This Row],[Valoración numérica de persistencia de impacto]]+2),""))</f>
        <v>1</v>
      </c>
      <c r="L18" t="str">
        <f>IF(tbl_consolidado[[#This Row],[Valoracion de impacto]]=0,"No existe",IF(K18&lt;&gt;"",IF(K18&lt;=1,Datos!$L$4,IF(AND(K18&gt;1,K18&lt;=2),Datos!$L$5,IF(AND(K18&gt;2,K18&lt;=3),Datos!$L$6,IF(AND(K18&gt;3,K18&lt;=4),Datos!$L$7,IF(K18&gt;4,Datos!$L$8,""))))),""))</f>
        <v>Problema minimo</v>
      </c>
      <c r="M18">
        <f>'H2. Relacion sistema-mundo-real'!J13</f>
        <v>0</v>
      </c>
    </row>
    <row r="19" spans="2:13" x14ac:dyDescent="0.25">
      <c r="B19" s="7" t="s">
        <v>81</v>
      </c>
      <c r="C19" s="7" t="str">
        <f>'H2. Relacion sistema-mundo-real'!B14</f>
        <v>H2-2</v>
      </c>
      <c r="D19" t="str">
        <f>'H2. Relacion sistema-mundo-real'!C14</f>
        <v>Los contenidos mostrados en cada página tienen un orden lógico y comprensible</v>
      </c>
      <c r="E19" s="7" t="str">
        <f>'H2. Relacion sistema-mundo-real'!D14</f>
        <v>NA</v>
      </c>
      <c r="F19" t="str">
        <f>'H2. Relacion sistema-mundo-real'!E14</f>
        <v>-</v>
      </c>
      <c r="G19" s="7">
        <f>'H2. Relacion sistema-mundo-real'!F14</f>
        <v>0</v>
      </c>
      <c r="H19" t="str">
        <f>'H2. Relacion sistema-mundo-real'!G14</f>
        <v>-</v>
      </c>
      <c r="I19" s="7">
        <f>'H2. Relacion sistema-mundo-real'!H14</f>
        <v>0</v>
      </c>
      <c r="J19" t="str">
        <f>'H2. Relacion sistema-mundo-real'!I14</f>
        <v>-</v>
      </c>
      <c r="K19">
        <f xml:space="preserve"> IF(tbl_consolidado[[#This Row],[Valoracion Numerica]]=5,0,   IFERROR(0.5*(tbl_consolidado[[#This Row],[Valoracion numerica severidad impacto]]+tbl_consolidado[[#This Row],[Valoración numérica de persistencia de impacto]]+2),""))</f>
        <v>1</v>
      </c>
      <c r="L19" t="str">
        <f>IF(tbl_consolidado[[#This Row],[Valoracion de impacto]]=0,"No existe",IF(K19&lt;&gt;"",IF(K19&lt;=1,Datos!$L$4,IF(AND(K19&gt;1,K19&lt;=2),Datos!$L$5,IF(AND(K19&gt;2,K19&lt;=3),Datos!$L$6,IF(AND(K19&gt;3,K19&lt;=4),Datos!$L$7,IF(K19&gt;4,Datos!$L$8,""))))),""))</f>
        <v>Problema minimo</v>
      </c>
      <c r="M19">
        <f>'H2. Relacion sistema-mundo-real'!J14</f>
        <v>0</v>
      </c>
    </row>
    <row r="20" spans="2:13" x14ac:dyDescent="0.25">
      <c r="B20" s="7" t="s">
        <v>81</v>
      </c>
      <c r="C20" s="7" t="str">
        <f>'H2. Relacion sistema-mundo-real'!B15</f>
        <v>H2-3</v>
      </c>
      <c r="D20" t="str">
        <f>'H2. Relacion sistema-mundo-real'!C15</f>
        <v>La información está estructurada con títulos, negritas y viñetas</v>
      </c>
      <c r="E20" s="7" t="str">
        <f>'H2. Relacion sistema-mundo-real'!D15</f>
        <v>NA</v>
      </c>
      <c r="F20" t="str">
        <f>'H2. Relacion sistema-mundo-real'!E15</f>
        <v>-</v>
      </c>
      <c r="G20" s="7">
        <f>'H2. Relacion sistema-mundo-real'!F15</f>
        <v>0</v>
      </c>
      <c r="H20" t="str">
        <f>'H2. Relacion sistema-mundo-real'!G15</f>
        <v>-</v>
      </c>
      <c r="I20" s="7">
        <f>'H2. Relacion sistema-mundo-real'!H15</f>
        <v>0</v>
      </c>
      <c r="J20" t="str">
        <f>'H2. Relacion sistema-mundo-real'!I15</f>
        <v>-</v>
      </c>
      <c r="K20">
        <f xml:space="preserve"> IF(tbl_consolidado[[#This Row],[Valoracion Numerica]]=5,0,   IFERROR(0.5*(tbl_consolidado[[#This Row],[Valoracion numerica severidad impacto]]+tbl_consolidado[[#This Row],[Valoración numérica de persistencia de impacto]]+2),""))</f>
        <v>1</v>
      </c>
      <c r="L20" t="str">
        <f>IF(tbl_consolidado[[#This Row],[Valoracion de impacto]]=0,"No existe",IF(K20&lt;&gt;"",IF(K20&lt;=1,Datos!$L$4,IF(AND(K20&gt;1,K20&lt;=2),Datos!$L$5,IF(AND(K20&gt;2,K20&lt;=3),Datos!$L$6,IF(AND(K20&gt;3,K20&lt;=4),Datos!$L$7,IF(K20&gt;4,Datos!$L$8,""))))),""))</f>
        <v>Problema minimo</v>
      </c>
      <c r="M20">
        <f>'H2. Relacion sistema-mundo-real'!J15</f>
        <v>0</v>
      </c>
    </row>
    <row r="21" spans="2:13" x14ac:dyDescent="0.25">
      <c r="B21" s="7" t="s">
        <v>81</v>
      </c>
      <c r="C21" s="7" t="str">
        <f>'H2. Relacion sistema-mundo-real'!B16</f>
        <v>H2-4</v>
      </c>
      <c r="D21" t="str">
        <f>'H2. Relacion sistema-mundo-real'!C16</f>
        <v>Los textos y enunciados de los campos están redactados de forma afirmativa</v>
      </c>
      <c r="E21" s="7" t="str">
        <f>'H2. Relacion sistema-mundo-real'!D16</f>
        <v>NA</v>
      </c>
      <c r="F21" t="str">
        <f>'H2. Relacion sistema-mundo-real'!E16</f>
        <v>-</v>
      </c>
      <c r="G21" s="7">
        <f>'H2. Relacion sistema-mundo-real'!F16</f>
        <v>0</v>
      </c>
      <c r="H21" t="str">
        <f>'H2. Relacion sistema-mundo-real'!G16</f>
        <v>-</v>
      </c>
      <c r="I21" s="7">
        <f>'H2. Relacion sistema-mundo-real'!H16</f>
        <v>0</v>
      </c>
      <c r="J21" t="str">
        <f>'H2. Relacion sistema-mundo-real'!I16</f>
        <v>-</v>
      </c>
      <c r="K21">
        <f xml:space="preserve"> IF(tbl_consolidado[[#This Row],[Valoracion Numerica]]=5,0,   IFERROR(0.5*(tbl_consolidado[[#This Row],[Valoracion numerica severidad impacto]]+tbl_consolidado[[#This Row],[Valoración numérica de persistencia de impacto]]+2),""))</f>
        <v>1</v>
      </c>
      <c r="L21" t="str">
        <f>IF(tbl_consolidado[[#This Row],[Valoracion de impacto]]=0,"No existe",IF(K21&lt;&gt;"",IF(K21&lt;=1,Datos!$L$4,IF(AND(K21&gt;1,K21&lt;=2),Datos!$L$5,IF(AND(K21&gt;2,K21&lt;=3),Datos!$L$6,IF(AND(K21&gt;3,K21&lt;=4),Datos!$L$7,IF(K21&gt;4,Datos!$L$8,""))))),""))</f>
        <v>Problema minimo</v>
      </c>
      <c r="M21">
        <f>'H2. Relacion sistema-mundo-real'!J16</f>
        <v>0</v>
      </c>
    </row>
    <row r="22" spans="2:13" x14ac:dyDescent="0.25">
      <c r="B22" s="7" t="s">
        <v>81</v>
      </c>
      <c r="C22" s="7" t="str">
        <f>'H2. Relacion sistema-mundo-real'!B17</f>
        <v>H2-5</v>
      </c>
      <c r="D22" t="str">
        <f>'H2. Relacion sistema-mundo-real'!C17</f>
        <v>Se utiliza un lenguaje de forma directa y no impersonal</v>
      </c>
      <c r="E22" s="7" t="str">
        <f>'H2. Relacion sistema-mundo-real'!D17</f>
        <v>NA</v>
      </c>
      <c r="F22" t="str">
        <f>'H2. Relacion sistema-mundo-real'!E17</f>
        <v>-</v>
      </c>
      <c r="G22" s="7">
        <f>'H2. Relacion sistema-mundo-real'!F17</f>
        <v>0</v>
      </c>
      <c r="H22" t="str">
        <f>'H2. Relacion sistema-mundo-real'!G17</f>
        <v>-</v>
      </c>
      <c r="I22" s="7">
        <f>'H2. Relacion sistema-mundo-real'!H17</f>
        <v>0</v>
      </c>
      <c r="J22" t="str">
        <f>'H2. Relacion sistema-mundo-real'!I17</f>
        <v>-</v>
      </c>
      <c r="K22">
        <f xml:space="preserve"> IF(tbl_consolidado[[#This Row],[Valoracion Numerica]]=5,0,   IFERROR(0.5*(tbl_consolidado[[#This Row],[Valoracion numerica severidad impacto]]+tbl_consolidado[[#This Row],[Valoración numérica de persistencia de impacto]]+2),""))</f>
        <v>1</v>
      </c>
      <c r="L22" t="str">
        <f>IF(tbl_consolidado[[#This Row],[Valoracion de impacto]]=0,"No existe",IF(K22&lt;&gt;"",IF(K22&lt;=1,Datos!$L$4,IF(AND(K22&gt;1,K22&lt;=2),Datos!$L$5,IF(AND(K22&gt;2,K22&lt;=3),Datos!$L$6,IF(AND(K22&gt;3,K22&lt;=4),Datos!$L$7,IF(K22&gt;4,Datos!$L$8,""))))),""))</f>
        <v>Problema minimo</v>
      </c>
      <c r="M22">
        <f>'H2. Relacion sistema-mundo-real'!J17</f>
        <v>0</v>
      </c>
    </row>
    <row r="23" spans="2:13" x14ac:dyDescent="0.25">
      <c r="B23" s="7" t="s">
        <v>81</v>
      </c>
      <c r="C23" s="7" t="str">
        <f>'H2. Relacion sistema-mundo-real'!B18</f>
        <v>H2-6</v>
      </c>
      <c r="D23" t="str">
        <f>'H2. Relacion sistema-mundo-real'!C18</f>
        <v>Las estructuras que poseen las páginas, formularios y/o contenidos están alineados a la estructura de la institución educativa</v>
      </c>
      <c r="E23" s="7" t="str">
        <f>'H2. Relacion sistema-mundo-real'!D18</f>
        <v>NA</v>
      </c>
      <c r="F23" t="str">
        <f>'H2. Relacion sistema-mundo-real'!E18</f>
        <v>-</v>
      </c>
      <c r="G23" s="7">
        <f>'H2. Relacion sistema-mundo-real'!F18</f>
        <v>0</v>
      </c>
      <c r="H23" t="str">
        <f>'H2. Relacion sistema-mundo-real'!G18</f>
        <v>-</v>
      </c>
      <c r="I23" s="7">
        <f>'H2. Relacion sistema-mundo-real'!H18</f>
        <v>0</v>
      </c>
      <c r="J23" t="str">
        <f>'H2. Relacion sistema-mundo-real'!I18</f>
        <v>-</v>
      </c>
      <c r="K23">
        <f xml:space="preserve"> IF(tbl_consolidado[[#This Row],[Valoracion Numerica]]=5,0,   IFERROR(0.5*(tbl_consolidado[[#This Row],[Valoracion numerica severidad impacto]]+tbl_consolidado[[#This Row],[Valoración numérica de persistencia de impacto]]+2),""))</f>
        <v>1</v>
      </c>
      <c r="L23" t="str">
        <f>IF(tbl_consolidado[[#This Row],[Valoracion de impacto]]=0,"No existe",IF(K23&lt;&gt;"",IF(K23&lt;=1,Datos!$L$4,IF(AND(K23&gt;1,K23&lt;=2),Datos!$L$5,IF(AND(K23&gt;2,K23&lt;=3),Datos!$L$6,IF(AND(K23&gt;3,K23&lt;=4),Datos!$L$7,IF(K23&gt;4,Datos!$L$8,""))))),""))</f>
        <v>Problema minimo</v>
      </c>
      <c r="M23">
        <f>'H2. Relacion sistema-mundo-real'!J18</f>
        <v>0</v>
      </c>
    </row>
    <row r="24" spans="2:13" x14ac:dyDescent="0.25">
      <c r="B24" s="7" t="s">
        <v>81</v>
      </c>
      <c r="C24" s="7" t="str">
        <f>'H2. Relacion sistema-mundo-real'!B19</f>
        <v>H2-7</v>
      </c>
      <c r="D24" t="str">
        <f>'H2. Relacion sistema-mundo-real'!C19</f>
        <v>Los colores aplicados a las páginas concuerdan con la imagen institucional que ofrece el  instituto</v>
      </c>
      <c r="E24" s="7" t="str">
        <f>'H2. Relacion sistema-mundo-real'!D19</f>
        <v>NA</v>
      </c>
      <c r="F24" t="str">
        <f>'H2. Relacion sistema-mundo-real'!E19</f>
        <v>-</v>
      </c>
      <c r="G24" s="7">
        <f>'H2. Relacion sistema-mundo-real'!F19</f>
        <v>0</v>
      </c>
      <c r="H24" t="str">
        <f>'H2. Relacion sistema-mundo-real'!G19</f>
        <v>-</v>
      </c>
      <c r="I24" s="7">
        <f>'H2. Relacion sistema-mundo-real'!H19</f>
        <v>0</v>
      </c>
      <c r="J24" t="str">
        <f>'H2. Relacion sistema-mundo-real'!I19</f>
        <v>-</v>
      </c>
      <c r="K24">
        <f xml:space="preserve"> IF(tbl_consolidado[[#This Row],[Valoracion Numerica]]=5,0,   IFERROR(0.5*(tbl_consolidado[[#This Row],[Valoracion numerica severidad impacto]]+tbl_consolidado[[#This Row],[Valoración numérica de persistencia de impacto]]+2),""))</f>
        <v>1</v>
      </c>
      <c r="L24" t="str">
        <f>IF(tbl_consolidado[[#This Row],[Valoracion de impacto]]=0,"No existe",IF(K24&lt;&gt;"",IF(K24&lt;=1,Datos!$L$4,IF(AND(K24&gt;1,K24&lt;=2),Datos!$L$5,IF(AND(K24&gt;2,K24&lt;=3),Datos!$L$6,IF(AND(K24&gt;3,K24&lt;=4),Datos!$L$7,IF(K24&gt;4,Datos!$L$8,""))))),""))</f>
        <v>Problema minimo</v>
      </c>
      <c r="M24">
        <f>'H2. Relacion sistema-mundo-real'!J19</f>
        <v>0</v>
      </c>
    </row>
    <row r="25" spans="2:13" x14ac:dyDescent="0.25">
      <c r="B25" s="7" t="s">
        <v>81</v>
      </c>
      <c r="C25" s="7" t="str">
        <f>'H2. Relacion sistema-mundo-real'!B20</f>
        <v>H2-8</v>
      </c>
      <c r="D25" t="str">
        <f>'H2. Relacion sistema-mundo-real'!C20</f>
        <v>Los iconos o imágenes son claros y familiares que permiten al usuario distinguir fácilmente su significado(bien recortadas, resolución y preso óptimo)</v>
      </c>
      <c r="E25" s="7" t="str">
        <f>'H2. Relacion sistema-mundo-real'!D20</f>
        <v>NA</v>
      </c>
      <c r="F25" t="str">
        <f>'H2. Relacion sistema-mundo-real'!E20</f>
        <v>-</v>
      </c>
      <c r="G25" s="7">
        <f>'H2. Relacion sistema-mundo-real'!F20</f>
        <v>0</v>
      </c>
      <c r="H25" t="str">
        <f>'H2. Relacion sistema-mundo-real'!G20</f>
        <v>-</v>
      </c>
      <c r="I25" s="7">
        <f>'H2. Relacion sistema-mundo-real'!H20</f>
        <v>0</v>
      </c>
      <c r="J25" t="str">
        <f>'H2. Relacion sistema-mundo-real'!I20</f>
        <v>-</v>
      </c>
      <c r="K25">
        <f xml:space="preserve"> IF(tbl_consolidado[[#This Row],[Valoracion Numerica]]=5,0,   IFERROR(0.5*(tbl_consolidado[[#This Row],[Valoracion numerica severidad impacto]]+tbl_consolidado[[#This Row],[Valoración numérica de persistencia de impacto]]+2),""))</f>
        <v>1</v>
      </c>
      <c r="L25" t="str">
        <f>IF(tbl_consolidado[[#This Row],[Valoracion de impacto]]=0,"No existe",IF(K25&lt;&gt;"",IF(K25&lt;=1,Datos!$L$4,IF(AND(K25&gt;1,K25&lt;=2),Datos!$L$5,IF(AND(K25&gt;2,K25&lt;=3),Datos!$L$6,IF(AND(K25&gt;3,K25&lt;=4),Datos!$L$7,IF(K25&gt;4,Datos!$L$8,""))))),""))</f>
        <v>Problema minimo</v>
      </c>
      <c r="M25">
        <f>'H2. Relacion sistema-mundo-real'!J20</f>
        <v>0</v>
      </c>
    </row>
    <row r="26" spans="2:13" x14ac:dyDescent="0.25">
      <c r="B26" s="7" t="s">
        <v>81</v>
      </c>
      <c r="C26" s="7" t="str">
        <f>'H2. Relacion sistema-mundo-real'!B21</f>
        <v>H2-9</v>
      </c>
      <c r="D26" t="str">
        <f>'H2. Relacion sistema-mundo-real'!C21</f>
        <v>Las opciones de los menús están alineados a la estructura organizacional de la institución</v>
      </c>
      <c r="E26" s="7" t="str">
        <f>'H2. Relacion sistema-mundo-real'!D21</f>
        <v>NA</v>
      </c>
      <c r="F26" t="str">
        <f>'H2. Relacion sistema-mundo-real'!E21</f>
        <v>-</v>
      </c>
      <c r="G26" s="7">
        <f>'H2. Relacion sistema-mundo-real'!F21</f>
        <v>0</v>
      </c>
      <c r="H26" t="str">
        <f>'H2. Relacion sistema-mundo-real'!G21</f>
        <v>-</v>
      </c>
      <c r="I26" s="7">
        <f>'H2. Relacion sistema-mundo-real'!H21</f>
        <v>0</v>
      </c>
      <c r="J26" t="str">
        <f>'H2. Relacion sistema-mundo-real'!I21</f>
        <v>-</v>
      </c>
      <c r="K26">
        <f xml:space="preserve"> IF(tbl_consolidado[[#This Row],[Valoracion Numerica]]=5,0,   IFERROR(0.5*(tbl_consolidado[[#This Row],[Valoracion numerica severidad impacto]]+tbl_consolidado[[#This Row],[Valoración numérica de persistencia de impacto]]+2),""))</f>
        <v>1</v>
      </c>
      <c r="L26" t="str">
        <f>IF(tbl_consolidado[[#This Row],[Valoracion de impacto]]=0,"No existe",IF(K26&lt;&gt;"",IF(K26&lt;=1,Datos!$L$4,IF(AND(K26&gt;1,K26&lt;=2),Datos!$L$5,IF(AND(K26&gt;2,K26&lt;=3),Datos!$L$6,IF(AND(K26&gt;3,K26&lt;=4),Datos!$L$7,IF(K26&gt;4,Datos!$L$8,""))))),""))</f>
        <v>Problema minimo</v>
      </c>
      <c r="M26">
        <f>'H2. Relacion sistema-mundo-real'!J21</f>
        <v>0</v>
      </c>
    </row>
    <row r="27" spans="2:13" x14ac:dyDescent="0.25">
      <c r="B27" s="7" t="s">
        <v>81</v>
      </c>
      <c r="C27" s="7" t="str">
        <f>'H2. Relacion sistema-mundo-real'!B22</f>
        <v>H2-10</v>
      </c>
      <c r="D27" t="str">
        <f>'H2. Relacion sistema-mundo-real'!C22</f>
        <v>El sistema formatea correctamente los números en formato decimal</v>
      </c>
      <c r="E27" s="7" t="str">
        <f>'H2. Relacion sistema-mundo-real'!D22</f>
        <v>NA</v>
      </c>
      <c r="F27" t="str">
        <f>'H2. Relacion sistema-mundo-real'!E22</f>
        <v>-</v>
      </c>
      <c r="G27" s="7">
        <f>'H2. Relacion sistema-mundo-real'!F22</f>
        <v>0</v>
      </c>
      <c r="H27" t="str">
        <f>'H2. Relacion sistema-mundo-real'!G22</f>
        <v>-</v>
      </c>
      <c r="I27" s="7">
        <f>'H2. Relacion sistema-mundo-real'!H22</f>
        <v>0</v>
      </c>
      <c r="J27" t="str">
        <f>'H2. Relacion sistema-mundo-real'!I22</f>
        <v>-</v>
      </c>
      <c r="K27">
        <f xml:space="preserve"> IF(tbl_consolidado[[#This Row],[Valoracion Numerica]]=5,0,   IFERROR(0.5*(tbl_consolidado[[#This Row],[Valoracion numerica severidad impacto]]+tbl_consolidado[[#This Row],[Valoración numérica de persistencia de impacto]]+2),""))</f>
        <v>1</v>
      </c>
      <c r="L27" t="str">
        <f>IF(tbl_consolidado[[#This Row],[Valoracion de impacto]]=0,"No existe",IF(K27&lt;&gt;"",IF(K27&lt;=1,Datos!$L$4,IF(AND(K27&gt;1,K27&lt;=2),Datos!$L$5,IF(AND(K27&gt;2,K27&lt;=3),Datos!$L$6,IF(AND(K27&gt;3,K27&lt;=4),Datos!$L$7,IF(K27&gt;4,Datos!$L$8,""))))),""))</f>
        <v>Problema minimo</v>
      </c>
      <c r="M27">
        <f>'H2. Relacion sistema-mundo-real'!J22</f>
        <v>0</v>
      </c>
    </row>
    <row r="28" spans="2:13" x14ac:dyDescent="0.25">
      <c r="B28" s="7" t="s">
        <v>81</v>
      </c>
      <c r="C28" s="7" t="str">
        <f>'H2. Relacion sistema-mundo-real'!B23</f>
        <v>H2-11</v>
      </c>
      <c r="D28" t="str">
        <f>'H2. Relacion sistema-mundo-real'!C23</f>
        <v>El sistema ingresa automáticamente símbolos de dólar y decimal cuando se ingresan valores monetarios</v>
      </c>
      <c r="E28" s="7" t="str">
        <f>'H2. Relacion sistema-mundo-real'!D23</f>
        <v>NA</v>
      </c>
      <c r="F28" t="str">
        <f>'H2. Relacion sistema-mundo-real'!E23</f>
        <v>-</v>
      </c>
      <c r="G28" s="7">
        <f>'H2. Relacion sistema-mundo-real'!F23</f>
        <v>0</v>
      </c>
      <c r="H28" t="str">
        <f>'H2. Relacion sistema-mundo-real'!G23</f>
        <v>-</v>
      </c>
      <c r="I28" s="7">
        <f>'H2. Relacion sistema-mundo-real'!H23</f>
        <v>0</v>
      </c>
      <c r="J28" t="str">
        <f>'H2. Relacion sistema-mundo-real'!I23</f>
        <v>-</v>
      </c>
      <c r="K28">
        <f xml:space="preserve"> IF(tbl_consolidado[[#This Row],[Valoracion Numerica]]=5,0,   IFERROR(0.5*(tbl_consolidado[[#This Row],[Valoracion numerica severidad impacto]]+tbl_consolidado[[#This Row],[Valoración numérica de persistencia de impacto]]+2),""))</f>
        <v>1</v>
      </c>
      <c r="L28" t="str">
        <f>IF(tbl_consolidado[[#This Row],[Valoracion de impacto]]=0,"No existe",IF(K28&lt;&gt;"",IF(K28&lt;=1,Datos!$L$4,IF(AND(K28&gt;1,K28&lt;=2),Datos!$L$5,IF(AND(K28&gt;2,K28&lt;=3),Datos!$L$6,IF(AND(K28&gt;3,K28&lt;=4),Datos!$L$7,IF(K28&gt;4,Datos!$L$8,""))))),""))</f>
        <v>Problema minimo</v>
      </c>
      <c r="M28">
        <f>'H2. Relacion sistema-mundo-real'!J23</f>
        <v>0</v>
      </c>
    </row>
    <row r="29" spans="2:13" x14ac:dyDescent="0.25">
      <c r="B29" s="7" t="s">
        <v>81</v>
      </c>
      <c r="C29" s="7" t="str">
        <f>'H2. Relacion sistema-mundo-real'!B24</f>
        <v>H2-12</v>
      </c>
      <c r="D29" t="str">
        <f>'H2. Relacion sistema-mundo-real'!C24</f>
        <v>El logotipo de la página es significativo e identifica al instituto al  que pertenece y se encuentra correctamente ubicado</v>
      </c>
      <c r="E29" s="7" t="str">
        <f>'H2. Relacion sistema-mundo-real'!D24</f>
        <v>NA</v>
      </c>
      <c r="F29" t="str">
        <f>'H2. Relacion sistema-mundo-real'!E24</f>
        <v>-</v>
      </c>
      <c r="G29" s="7">
        <f>'H2. Relacion sistema-mundo-real'!F24</f>
        <v>0</v>
      </c>
      <c r="H29" t="str">
        <f>'H2. Relacion sistema-mundo-real'!G24</f>
        <v>-</v>
      </c>
      <c r="I29" s="7">
        <f>'H2. Relacion sistema-mundo-real'!H24</f>
        <v>0</v>
      </c>
      <c r="J29" t="str">
        <f>'H2. Relacion sistema-mundo-real'!I24</f>
        <v>-</v>
      </c>
      <c r="K29">
        <f xml:space="preserve"> IF(tbl_consolidado[[#This Row],[Valoracion Numerica]]=5,0,   IFERROR(0.5*(tbl_consolidado[[#This Row],[Valoracion numerica severidad impacto]]+tbl_consolidado[[#This Row],[Valoración numérica de persistencia de impacto]]+2),""))</f>
        <v>1</v>
      </c>
      <c r="L29" t="str">
        <f>IF(tbl_consolidado[[#This Row],[Valoracion de impacto]]=0,"No existe",IF(K29&lt;&gt;"",IF(K29&lt;=1,Datos!$L$4,IF(AND(K29&gt;1,K29&lt;=2),Datos!$L$5,IF(AND(K29&gt;2,K29&lt;=3),Datos!$L$6,IF(AND(K29&gt;3,K29&lt;=4),Datos!$L$7,IF(K29&gt;4,Datos!$L$8,""))))),""))</f>
        <v>Problema minimo</v>
      </c>
      <c r="M29">
        <f>'H2. Relacion sistema-mundo-real'!J24</f>
        <v>0</v>
      </c>
    </row>
    <row r="30" spans="2:13" x14ac:dyDescent="0.25">
      <c r="B30" s="7" t="s">
        <v>81</v>
      </c>
      <c r="C30" s="7" t="str">
        <f>'H2. Relacion sistema-mundo-real'!B25</f>
        <v>H2-13</v>
      </c>
      <c r="D30" t="str">
        <f>'H2. Relacion sistema-mundo-real'!C25</f>
        <v>Existe una relación directa entre la tarea y la acción necesaria para llevarla a cabo, lo que le permite al usuario comprender de forma rápida lo que el sitio web le permite hacer</v>
      </c>
      <c r="E30" s="7" t="str">
        <f>'H2. Relacion sistema-mundo-real'!D25</f>
        <v>NA</v>
      </c>
      <c r="F30" t="str">
        <f>'H2. Relacion sistema-mundo-real'!E25</f>
        <v>-</v>
      </c>
      <c r="G30" s="7">
        <f>'H2. Relacion sistema-mundo-real'!F25</f>
        <v>0</v>
      </c>
      <c r="H30" t="str">
        <f>'H2. Relacion sistema-mundo-real'!G25</f>
        <v>-</v>
      </c>
      <c r="I30" s="7">
        <f>'H2. Relacion sistema-mundo-real'!H25</f>
        <v>0</v>
      </c>
      <c r="J30" t="str">
        <f>'H2. Relacion sistema-mundo-real'!I25</f>
        <v>-</v>
      </c>
      <c r="K30">
        <f xml:space="preserve"> IF(tbl_consolidado[[#This Row],[Valoracion Numerica]]=5,0,   IFERROR(0.5*(tbl_consolidado[[#This Row],[Valoracion numerica severidad impacto]]+tbl_consolidado[[#This Row],[Valoración numérica de persistencia de impacto]]+2),""))</f>
        <v>1</v>
      </c>
      <c r="L30" t="str">
        <f>IF(tbl_consolidado[[#This Row],[Valoracion de impacto]]=0,"No existe",IF(K30&lt;&gt;"",IF(K30&lt;=1,Datos!$L$4,IF(AND(K30&gt;1,K30&lt;=2),Datos!$L$5,IF(AND(K30&gt;2,K30&lt;=3),Datos!$L$6,IF(AND(K30&gt;3,K30&lt;=4),Datos!$L$7,IF(K30&gt;4,Datos!$L$8,""))))),""))</f>
        <v>Problema minimo</v>
      </c>
      <c r="M30">
        <f>'H2. Relacion sistema-mundo-real'!J25</f>
        <v>0</v>
      </c>
    </row>
    <row r="31" spans="2:13" x14ac:dyDescent="0.25">
      <c r="B31" s="7" t="s">
        <v>81</v>
      </c>
      <c r="C31" s="7" t="str">
        <f>'H2. Relacion sistema-mundo-real'!B26</f>
        <v>H2-14</v>
      </c>
      <c r="D31" t="str">
        <f>'H2. Relacion sistema-mundo-real'!C26</f>
        <v>La URL del sitio tiene una coherente relación con el nombre del instituto</v>
      </c>
      <c r="E31" s="7" t="str">
        <f>'H2. Relacion sistema-mundo-real'!D26</f>
        <v>NA</v>
      </c>
      <c r="F31" t="str">
        <f>'H2. Relacion sistema-mundo-real'!E26</f>
        <v>-</v>
      </c>
      <c r="G31" s="7">
        <f>'H2. Relacion sistema-mundo-real'!F26</f>
        <v>0</v>
      </c>
      <c r="H31" t="str">
        <f>'H2. Relacion sistema-mundo-real'!G26</f>
        <v>-</v>
      </c>
      <c r="I31" s="7">
        <f>'H2. Relacion sistema-mundo-real'!H26</f>
        <v>0</v>
      </c>
      <c r="J31" t="str">
        <f>'H2. Relacion sistema-mundo-real'!I26</f>
        <v>-</v>
      </c>
      <c r="K31">
        <f xml:space="preserve"> IF(tbl_consolidado[[#This Row],[Valoracion Numerica]]=5,0,   IFERROR(0.5*(tbl_consolidado[[#This Row],[Valoracion numerica severidad impacto]]+tbl_consolidado[[#This Row],[Valoración numérica de persistencia de impacto]]+2),""))</f>
        <v>1</v>
      </c>
      <c r="L31" t="str">
        <f>IF(tbl_consolidado[[#This Row],[Valoracion de impacto]]=0,"No existe",IF(K31&lt;&gt;"",IF(K31&lt;=1,Datos!$L$4,IF(AND(K31&gt;1,K31&lt;=2),Datos!$L$5,IF(AND(K31&gt;2,K31&lt;=3),Datos!$L$6,IF(AND(K31&gt;3,K31&lt;=4),Datos!$L$7,IF(K31&gt;4,Datos!$L$8,""))))),""))</f>
        <v>Problema minimo</v>
      </c>
      <c r="M31">
        <f>'H2. Relacion sistema-mundo-real'!J26</f>
        <v>0</v>
      </c>
    </row>
    <row r="32" spans="2:13" x14ac:dyDescent="0.25">
      <c r="B32" s="7" t="s">
        <v>81</v>
      </c>
      <c r="C32" s="7" t="str">
        <f>'H2. Relacion sistema-mundo-real'!B27</f>
        <v>H2-15</v>
      </c>
      <c r="D32" t="str">
        <f>'H2. Relacion sistema-mundo-real'!C27</f>
        <v>Las teclas o botones virtuales que implican una acción necesaria incluyen mensajes de acción de acuerdo al contenido</v>
      </c>
      <c r="E32" s="7" t="str">
        <f>'H2. Relacion sistema-mundo-real'!D27</f>
        <v>NA</v>
      </c>
      <c r="F32" t="str">
        <f>'H2. Relacion sistema-mundo-real'!E27</f>
        <v>-</v>
      </c>
      <c r="G32" s="7">
        <f>'H2. Relacion sistema-mundo-real'!F27</f>
        <v>0</v>
      </c>
      <c r="H32" t="str">
        <f>'H2. Relacion sistema-mundo-real'!G27</f>
        <v>-</v>
      </c>
      <c r="I32" s="7">
        <f>'H2. Relacion sistema-mundo-real'!H27</f>
        <v>0</v>
      </c>
      <c r="J32" t="str">
        <f>'H2. Relacion sistema-mundo-real'!I27</f>
        <v>-</v>
      </c>
      <c r="K32">
        <f xml:space="preserve"> IF(tbl_consolidado[[#This Row],[Valoracion Numerica]]=5,0,   IFERROR(0.5*(tbl_consolidado[[#This Row],[Valoracion numerica severidad impacto]]+tbl_consolidado[[#This Row],[Valoración numérica de persistencia de impacto]]+2),""))</f>
        <v>1</v>
      </c>
      <c r="L32" t="str">
        <f>IF(tbl_consolidado[[#This Row],[Valoracion de impacto]]=0,"No existe",IF(K32&lt;&gt;"",IF(K32&lt;=1,Datos!$L$4,IF(AND(K32&gt;1,K32&lt;=2),Datos!$L$5,IF(AND(K32&gt;2,K32&lt;=3),Datos!$L$6,IF(AND(K32&gt;3,K32&lt;=4),Datos!$L$7,IF(K32&gt;4,Datos!$L$8,""))))),""))</f>
        <v>Problema minimo</v>
      </c>
      <c r="M32">
        <f>'H2. Relacion sistema-mundo-real'!J27</f>
        <v>0</v>
      </c>
    </row>
    <row r="33" spans="2:13" x14ac:dyDescent="0.25">
      <c r="B33" s="7" t="s">
        <v>115</v>
      </c>
      <c r="C33" s="7" t="str">
        <f>'H3. Control y libertad usuario'!B13</f>
        <v>H3-1</v>
      </c>
      <c r="D33" t="str">
        <f>'H3. Control y libertad usuario'!C13</f>
        <v>Si el sistema utiliza ventanas modales, es fácil de reubicar o mover esas ventanas</v>
      </c>
      <c r="E33" s="7" t="str">
        <f>'H3. Control y libertad usuario'!D13</f>
        <v>NA</v>
      </c>
      <c r="F33" t="str">
        <f>'H3. Control y libertad usuario'!E13</f>
        <v>-</v>
      </c>
      <c r="G33" s="7">
        <f>'H3. Control y libertad usuario'!F13</f>
        <v>0</v>
      </c>
      <c r="H33" t="str">
        <f>'H3. Control y libertad usuario'!G13</f>
        <v>-</v>
      </c>
      <c r="I33" s="7">
        <f>'H3. Control y libertad usuario'!H13</f>
        <v>0</v>
      </c>
      <c r="J33" t="str">
        <f>'H3. Control y libertad usuario'!I13</f>
        <v>-</v>
      </c>
      <c r="K33">
        <f xml:space="preserve"> IF(tbl_consolidado[[#This Row],[Valoracion Numerica]]=5,0,   IFERROR(0.5*(tbl_consolidado[[#This Row],[Valoracion numerica severidad impacto]]+tbl_consolidado[[#This Row],[Valoración numérica de persistencia de impacto]]+2),""))</f>
        <v>1</v>
      </c>
      <c r="L33" t="str">
        <f>IF(tbl_consolidado[[#This Row],[Valoracion de impacto]]=0,"No existe",IF(K33&lt;&gt;"",IF(K33&lt;=1,Datos!$L$4,IF(AND(K33&gt;1,K33&lt;=2),Datos!$L$5,IF(AND(K33&gt;2,K33&lt;=3),Datos!$L$6,IF(AND(K33&gt;3,K33&lt;=4),Datos!$L$7,IF(K33&gt;4,Datos!$L$8,""))))),""))</f>
        <v>Problema minimo</v>
      </c>
      <c r="M33">
        <f>'H3. Control y libertad usuario'!J13</f>
        <v>0</v>
      </c>
    </row>
    <row r="34" spans="2:13" x14ac:dyDescent="0.25">
      <c r="B34" s="7" t="s">
        <v>115</v>
      </c>
      <c r="C34" s="7" t="str">
        <f>'H3. Control y libertad usuario'!B14</f>
        <v>H3-2</v>
      </c>
      <c r="D34" t="str">
        <f>'H3. Control y libertad usuario'!C14</f>
        <v>Cuando el usuario completa una tarea, el sistema espera una acción de confirmación para procesar la tarea</v>
      </c>
      <c r="E34" s="7" t="str">
        <f>'H3. Control y libertad usuario'!D14</f>
        <v>NA</v>
      </c>
      <c r="F34" t="str">
        <f>'H3. Control y libertad usuario'!E14</f>
        <v>-</v>
      </c>
      <c r="G34" s="7">
        <f>'H3. Control y libertad usuario'!F14</f>
        <v>0</v>
      </c>
      <c r="H34" t="str">
        <f>'H3. Control y libertad usuario'!G14</f>
        <v>-</v>
      </c>
      <c r="I34" s="7">
        <f>'H3. Control y libertad usuario'!H14</f>
        <v>0</v>
      </c>
      <c r="J34" t="str">
        <f>'H3. Control y libertad usuario'!I14</f>
        <v>-</v>
      </c>
      <c r="K34">
        <f xml:space="preserve"> IF(tbl_consolidado[[#This Row],[Valoracion Numerica]]=5,0,   IFERROR(0.5*(tbl_consolidado[[#This Row],[Valoracion numerica severidad impacto]]+tbl_consolidado[[#This Row],[Valoración numérica de persistencia de impacto]]+2),""))</f>
        <v>1</v>
      </c>
      <c r="L34" t="str">
        <f>IF(tbl_consolidado[[#This Row],[Valoracion de impacto]]=0,"No existe",IF(K34&lt;&gt;"",IF(K34&lt;=1,Datos!$L$4,IF(AND(K34&gt;1,K34&lt;=2),Datos!$L$5,IF(AND(K34&gt;2,K34&lt;=3),Datos!$L$6,IF(AND(K34&gt;3,K34&lt;=4),Datos!$L$7,IF(K34&gt;4,Datos!$L$8,""))))),""))</f>
        <v>Problema minimo</v>
      </c>
      <c r="M34">
        <f>'H3. Control y libertad usuario'!J14</f>
        <v>0</v>
      </c>
    </row>
    <row r="35" spans="2:13" x14ac:dyDescent="0.25">
      <c r="B35" s="7" t="s">
        <v>115</v>
      </c>
      <c r="C35" s="7" t="str">
        <f>'H3. Control y libertad usuario'!B15</f>
        <v>H3-3</v>
      </c>
      <c r="D35" t="str">
        <f>'H3. Control y libertad usuario'!C15</f>
        <v>Se le pide al usuario que confirme acciones que pueden tener consecuencias drásticas, negativas o destructivas en relación a una tarea en proceso o al sitio web</v>
      </c>
      <c r="E35" s="7" t="str">
        <f>'H3. Control y libertad usuario'!D15</f>
        <v>NA</v>
      </c>
      <c r="F35" t="str">
        <f>'H3. Control y libertad usuario'!E15</f>
        <v>-</v>
      </c>
      <c r="G35" s="7">
        <f>'H3. Control y libertad usuario'!F15</f>
        <v>0</v>
      </c>
      <c r="H35" t="str">
        <f>'H3. Control y libertad usuario'!G15</f>
        <v>-</v>
      </c>
      <c r="I35" s="7">
        <f>'H3. Control y libertad usuario'!H15</f>
        <v>0</v>
      </c>
      <c r="J35" t="str">
        <f>'H3. Control y libertad usuario'!I15</f>
        <v>-</v>
      </c>
      <c r="K35">
        <f xml:space="preserve"> IF(tbl_consolidado[[#This Row],[Valoracion Numerica]]=5,0,   IFERROR(0.5*(tbl_consolidado[[#This Row],[Valoracion numerica severidad impacto]]+tbl_consolidado[[#This Row],[Valoración numérica de persistencia de impacto]]+2),""))</f>
        <v>1</v>
      </c>
      <c r="L35" t="str">
        <f>IF(tbl_consolidado[[#This Row],[Valoracion de impacto]]=0,"No existe",IF(K35&lt;&gt;"",IF(K35&lt;=1,Datos!$L$4,IF(AND(K35&gt;1,K35&lt;=2),Datos!$L$5,IF(AND(K35&gt;2,K35&lt;=3),Datos!$L$6,IF(AND(K35&gt;3,K35&lt;=4),Datos!$L$7,IF(K35&gt;4,Datos!$L$8,""))))),""))</f>
        <v>Problema minimo</v>
      </c>
      <c r="M35">
        <f>'H3. Control y libertad usuario'!J15</f>
        <v>0</v>
      </c>
    </row>
    <row r="36" spans="2:13" x14ac:dyDescent="0.25">
      <c r="B36" s="7" t="s">
        <v>115</v>
      </c>
      <c r="C36" s="7" t="str">
        <f>'H3. Control y libertad usuario'!B16</f>
        <v>H3-4</v>
      </c>
      <c r="D36" t="str">
        <f>'H3. Control y libertad usuario'!C16</f>
        <v>Posee una función de "deshacer y rehacer" para acciones simples, entrada de datos y grupo de acciones completas</v>
      </c>
      <c r="E36" s="7" t="str">
        <f>'H3. Control y libertad usuario'!D16</f>
        <v>NA</v>
      </c>
      <c r="F36" t="str">
        <f>'H3. Control y libertad usuario'!E16</f>
        <v>-</v>
      </c>
      <c r="G36" s="7">
        <f>'H3. Control y libertad usuario'!F16</f>
        <v>0</v>
      </c>
      <c r="H36" t="str">
        <f>'H3. Control y libertad usuario'!G16</f>
        <v>-</v>
      </c>
      <c r="I36" s="7">
        <f>'H3. Control y libertad usuario'!H16</f>
        <v>0</v>
      </c>
      <c r="J36" t="str">
        <f>'H3. Control y libertad usuario'!I16</f>
        <v>-</v>
      </c>
      <c r="K36">
        <f xml:space="preserve"> IF(tbl_consolidado[[#This Row],[Valoracion Numerica]]=5,0,   IFERROR(0.5*(tbl_consolidado[[#This Row],[Valoracion numerica severidad impacto]]+tbl_consolidado[[#This Row],[Valoración numérica de persistencia de impacto]]+2),""))</f>
        <v>1</v>
      </c>
      <c r="L36" t="str">
        <f>IF(tbl_consolidado[[#This Row],[Valoracion de impacto]]=0,"No existe",IF(K36&lt;&gt;"",IF(K36&lt;=1,Datos!$L$4,IF(AND(K36&gt;1,K36&lt;=2),Datos!$L$5,IF(AND(K36&gt;2,K36&lt;=3),Datos!$L$6,IF(AND(K36&gt;3,K36&lt;=4),Datos!$L$7,IF(K36&gt;4,Datos!$L$8,""))))),""))</f>
        <v>Problema minimo</v>
      </c>
      <c r="M36">
        <f>'H3. Control y libertad usuario'!J16</f>
        <v>0</v>
      </c>
    </row>
    <row r="37" spans="2:13" x14ac:dyDescent="0.25">
      <c r="B37" s="7" t="s">
        <v>115</v>
      </c>
      <c r="C37" s="7" t="str">
        <f>'H3. Control y libertad usuario'!B17</f>
        <v>H3-5</v>
      </c>
      <c r="D37" t="str">
        <f>'H3. Control y libertad usuario'!C17</f>
        <v>¿El sistema permite que los usuarios cancelen operaciones en progreso?</v>
      </c>
      <c r="E37" s="7" t="str">
        <f>'H3. Control y libertad usuario'!D17</f>
        <v>NA</v>
      </c>
      <c r="F37" t="str">
        <f>'H3. Control y libertad usuario'!E17</f>
        <v>-</v>
      </c>
      <c r="G37" s="7">
        <f>'H3. Control y libertad usuario'!F17</f>
        <v>0</v>
      </c>
      <c r="H37" t="str">
        <f>'H3. Control y libertad usuario'!G17</f>
        <v>-</v>
      </c>
      <c r="I37" s="7">
        <f>'H3. Control y libertad usuario'!H17</f>
        <v>0</v>
      </c>
      <c r="J37" t="str">
        <f>'H3. Control y libertad usuario'!I17</f>
        <v>-</v>
      </c>
      <c r="K37">
        <f xml:space="preserve"> IF(tbl_consolidado[[#This Row],[Valoracion Numerica]]=5,0,   IFERROR(0.5*(tbl_consolidado[[#This Row],[Valoracion numerica severidad impacto]]+tbl_consolidado[[#This Row],[Valoración numérica de persistencia de impacto]]+2),""))</f>
        <v>1</v>
      </c>
      <c r="L37" t="str">
        <f>IF(tbl_consolidado[[#This Row],[Valoracion de impacto]]=0,"No existe",IF(K37&lt;&gt;"",IF(K37&lt;=1,Datos!$L$4,IF(AND(K37&gt;1,K37&lt;=2),Datos!$L$5,IF(AND(K37&gt;2,K37&lt;=3),Datos!$L$6,IF(AND(K37&gt;3,K37&lt;=4),Datos!$L$7,IF(K37&gt;4,Datos!$L$8,""))))),""))</f>
        <v>Problema minimo</v>
      </c>
      <c r="M37">
        <f>'H3. Control y libertad usuario'!J17</f>
        <v>0</v>
      </c>
    </row>
    <row r="38" spans="2:13" x14ac:dyDescent="0.25">
      <c r="B38" s="7" t="s">
        <v>115</v>
      </c>
      <c r="C38" s="7" t="str">
        <f>'H3. Control y libertad usuario'!B18</f>
        <v>H3-6</v>
      </c>
      <c r="D38" t="str">
        <f>'H3. Control y libertad usuario'!C18</f>
        <v>Se da prioridad a menús anchos (mas ítems) antes que profundos(muchos niveles)</v>
      </c>
      <c r="E38" s="7" t="str">
        <f>'H3. Control y libertad usuario'!D18</f>
        <v>NA</v>
      </c>
      <c r="F38" t="str">
        <f>'H3. Control y libertad usuario'!E18</f>
        <v>-</v>
      </c>
      <c r="G38" s="7">
        <f>'H3. Control y libertad usuario'!F18</f>
        <v>0</v>
      </c>
      <c r="H38" t="str">
        <f>'H3. Control y libertad usuario'!G18</f>
        <v>-</v>
      </c>
      <c r="I38" s="7">
        <f>'H3. Control y libertad usuario'!H18</f>
        <v>0</v>
      </c>
      <c r="J38" t="str">
        <f>'H3. Control y libertad usuario'!I18</f>
        <v>-</v>
      </c>
      <c r="K38">
        <f xml:space="preserve"> IF(tbl_consolidado[[#This Row],[Valoracion Numerica]]=5,0,   IFERROR(0.5*(tbl_consolidado[[#This Row],[Valoracion numerica severidad impacto]]+tbl_consolidado[[#This Row],[Valoración numérica de persistencia de impacto]]+2),""))</f>
        <v>1</v>
      </c>
      <c r="L38" t="str">
        <f>IF(tbl_consolidado[[#This Row],[Valoracion de impacto]]=0,"No existe",IF(K38&lt;&gt;"",IF(K38&lt;=1,Datos!$L$4,IF(AND(K38&gt;1,K38&lt;=2),Datos!$L$5,IF(AND(K38&gt;2,K38&lt;=3),Datos!$L$6,IF(AND(K38&gt;3,K38&lt;=4),Datos!$L$7,IF(K38&gt;4,Datos!$L$8,""))))),""))</f>
        <v>Problema minimo</v>
      </c>
      <c r="M38">
        <f>'H3. Control y libertad usuario'!J18</f>
        <v>0</v>
      </c>
    </row>
    <row r="39" spans="2:13" x14ac:dyDescent="0.25">
      <c r="B39" s="7" t="s">
        <v>115</v>
      </c>
      <c r="C39" s="7" t="str">
        <f>'H3. Control y libertad usuario'!B19</f>
        <v>H3-7</v>
      </c>
      <c r="D39" t="str">
        <f>'H3. Control y libertad usuario'!C19</f>
        <v>Si existen varios niveles de jerarquía de las páginas, existe elemento virtual(botón, enlace) que permita regresar a una página de nivel superior</v>
      </c>
      <c r="E39" s="7" t="str">
        <f>'H3. Control y libertad usuario'!D19</f>
        <v>NA</v>
      </c>
      <c r="F39" t="str">
        <f>'H3. Control y libertad usuario'!E19</f>
        <v>-</v>
      </c>
      <c r="G39" s="7">
        <f>'H3. Control y libertad usuario'!F19</f>
        <v>0</v>
      </c>
      <c r="H39" t="str">
        <f>'H3. Control y libertad usuario'!G19</f>
        <v>-</v>
      </c>
      <c r="I39" s="7">
        <f>'H3. Control y libertad usuario'!H19</f>
        <v>0</v>
      </c>
      <c r="J39" t="str">
        <f>'H3. Control y libertad usuario'!I19</f>
        <v>-</v>
      </c>
      <c r="K39">
        <f xml:space="preserve"> IF(tbl_consolidado[[#This Row],[Valoracion Numerica]]=5,0,   IFERROR(0.5*(tbl_consolidado[[#This Row],[Valoracion numerica severidad impacto]]+tbl_consolidado[[#This Row],[Valoración numérica de persistencia de impacto]]+2),""))</f>
        <v>1</v>
      </c>
      <c r="L39" t="str">
        <f>IF(tbl_consolidado[[#This Row],[Valoracion de impacto]]=0,"No existe",IF(K39&lt;&gt;"",IF(K39&lt;=1,Datos!$L$4,IF(AND(K39&gt;1,K39&lt;=2),Datos!$L$5,IF(AND(K39&gt;2,K39&lt;=3),Datos!$L$6,IF(AND(K39&gt;3,K39&lt;=4),Datos!$L$7,IF(K39&gt;4,Datos!$L$8,""))))),""))</f>
        <v>Problema minimo</v>
      </c>
      <c r="M39">
        <f>'H3. Control y libertad usuario'!J19</f>
        <v>0</v>
      </c>
    </row>
    <row r="40" spans="2:13" x14ac:dyDescent="0.25">
      <c r="B40" s="7" t="s">
        <v>115</v>
      </c>
      <c r="C40" s="7" t="str">
        <f>'H3. Control y libertad usuario'!B20</f>
        <v>H3-8</v>
      </c>
      <c r="D40" t="str">
        <f>'H3. Control y libertad usuario'!C20</f>
        <v>Los usuarios pueden trasladarse atrás o hacia delante entre los campos de un formulario o botones virtuales</v>
      </c>
      <c r="E40" s="7" t="str">
        <f>'H3. Control y libertad usuario'!D20</f>
        <v>NA</v>
      </c>
      <c r="F40" t="str">
        <f>'H3. Control y libertad usuario'!E20</f>
        <v>-</v>
      </c>
      <c r="G40" s="7">
        <f>'H3. Control y libertad usuario'!F20</f>
        <v>0</v>
      </c>
      <c r="H40" t="str">
        <f>'H3. Control y libertad usuario'!G20</f>
        <v>-</v>
      </c>
      <c r="I40" s="7">
        <f>'H3. Control y libertad usuario'!H20</f>
        <v>0</v>
      </c>
      <c r="J40" t="str">
        <f>'H3. Control y libertad usuario'!I20</f>
        <v>-</v>
      </c>
      <c r="K40">
        <f xml:space="preserve"> IF(tbl_consolidado[[#This Row],[Valoracion Numerica]]=5,0,   IFERROR(0.5*(tbl_consolidado[[#This Row],[Valoracion numerica severidad impacto]]+tbl_consolidado[[#This Row],[Valoración numérica de persistencia de impacto]]+2),""))</f>
        <v>1</v>
      </c>
      <c r="L40" t="str">
        <f>IF(tbl_consolidado[[#This Row],[Valoracion de impacto]]=0,"No existe",IF(K40&lt;&gt;"",IF(K40&lt;=1,Datos!$L$4,IF(AND(K40&gt;1,K40&lt;=2),Datos!$L$5,IF(AND(K40&gt;2,K40&lt;=3),Datos!$L$6,IF(AND(K40&gt;3,K40&lt;=4),Datos!$L$7,IF(K40&gt;4,Datos!$L$8,""))))),""))</f>
        <v>Problema minimo</v>
      </c>
      <c r="M40">
        <f>'H3. Control y libertad usuario'!J20</f>
        <v>0</v>
      </c>
    </row>
    <row r="41" spans="2:13" x14ac:dyDescent="0.25">
      <c r="B41" s="7" t="s">
        <v>115</v>
      </c>
      <c r="C41" s="7" t="str">
        <f>'H3. Control y libertad usuario'!B21</f>
        <v>H3-9</v>
      </c>
      <c r="D41" t="str">
        <f>'H3. Control y libertad usuario'!C21</f>
        <v>En caso de que se posean encuestas y necesiten ser calificados en base a una escala, ¿el sistema permite al usuario elegir que campo de entrada(select o radio buttons) usar para calificar las preguntas ?</v>
      </c>
      <c r="E41" s="7" t="str">
        <f>'H3. Control y libertad usuario'!D21</f>
        <v>NA</v>
      </c>
      <c r="F41" t="str">
        <f>'H3. Control y libertad usuario'!E21</f>
        <v>-</v>
      </c>
      <c r="G41" s="7">
        <f>'H3. Control y libertad usuario'!F21</f>
        <v>0</v>
      </c>
      <c r="H41" t="str">
        <f>'H3. Control y libertad usuario'!G21</f>
        <v>-</v>
      </c>
      <c r="I41" s="7">
        <f>'H3. Control y libertad usuario'!H21</f>
        <v>0</v>
      </c>
      <c r="J41" t="str">
        <f>'H3. Control y libertad usuario'!I21</f>
        <v>-</v>
      </c>
      <c r="K41">
        <f xml:space="preserve"> IF(tbl_consolidado[[#This Row],[Valoracion Numerica]]=5,0,   IFERROR(0.5*(tbl_consolidado[[#This Row],[Valoracion numerica severidad impacto]]+tbl_consolidado[[#This Row],[Valoración numérica de persistencia de impacto]]+2),""))</f>
        <v>1</v>
      </c>
      <c r="L41" t="str">
        <f>IF(tbl_consolidado[[#This Row],[Valoracion de impacto]]=0,"No existe",IF(K41&lt;&gt;"",IF(K41&lt;=1,Datos!$L$4,IF(AND(K41&gt;1,K41&lt;=2),Datos!$L$5,IF(AND(K41&gt;2,K41&lt;=3),Datos!$L$6,IF(AND(K41&gt;3,K41&lt;=4),Datos!$L$7,IF(K41&gt;4,Datos!$L$8,""))))),""))</f>
        <v>Problema minimo</v>
      </c>
      <c r="M41">
        <f>'H3. Control y libertad usuario'!J21</f>
        <v>0</v>
      </c>
    </row>
    <row r="42" spans="2:13" x14ac:dyDescent="0.25">
      <c r="B42" s="7" t="s">
        <v>115</v>
      </c>
      <c r="C42" s="7" t="str">
        <f>'H3. Control y libertad usuario'!B22</f>
        <v>H3-10</v>
      </c>
      <c r="D42" t="str">
        <f>'H3. Control y libertad usuario'!C22</f>
        <v>En caso de que se necesite ingresar gran cantidad de información en alguna tarea, el sistema le permite al usuario otros métodos más rápidos de ingresar esos datos?(archivos csv, archivos de texto)</v>
      </c>
      <c r="E42" s="7" t="str">
        <f>'H3. Control y libertad usuario'!D22</f>
        <v>NA</v>
      </c>
      <c r="F42" t="str">
        <f>'H3. Control y libertad usuario'!E22</f>
        <v>-</v>
      </c>
      <c r="G42" s="7">
        <f>'H3. Control y libertad usuario'!F22</f>
        <v>0</v>
      </c>
      <c r="H42" t="str">
        <f>'H3. Control y libertad usuario'!G22</f>
        <v>-</v>
      </c>
      <c r="I42" s="7">
        <f>'H3. Control y libertad usuario'!H22</f>
        <v>0</v>
      </c>
      <c r="J42" t="str">
        <f>'H3. Control y libertad usuario'!I22</f>
        <v>-</v>
      </c>
      <c r="K42">
        <f xml:space="preserve"> IF(tbl_consolidado[[#This Row],[Valoracion Numerica]]=5,0,   IFERROR(0.5*(tbl_consolidado[[#This Row],[Valoracion numerica severidad impacto]]+tbl_consolidado[[#This Row],[Valoración numérica de persistencia de impacto]]+2),""))</f>
        <v>1</v>
      </c>
      <c r="L42" t="str">
        <f>IF(tbl_consolidado[[#This Row],[Valoracion de impacto]]=0,"No existe",IF(K42&lt;&gt;"",IF(K42&lt;=1,Datos!$L$4,IF(AND(K42&gt;1,K42&lt;=2),Datos!$L$5,IF(AND(K42&gt;2,K42&lt;=3),Datos!$L$6,IF(AND(K42&gt;3,K42&lt;=4),Datos!$L$7,IF(K42&gt;4,Datos!$L$8,""))))),""))</f>
        <v>Problema minimo</v>
      </c>
      <c r="M42">
        <f>'H3. Control y libertad usuario'!J22</f>
        <v>0</v>
      </c>
    </row>
    <row r="43" spans="2:13" x14ac:dyDescent="0.25">
      <c r="B43" s="7" t="s">
        <v>115</v>
      </c>
      <c r="C43" s="7" t="str">
        <f>'H3. Control y libertad usuario'!B23</f>
        <v>H3-11</v>
      </c>
      <c r="D43" t="str">
        <f>'H3. Control y libertad usuario'!C23</f>
        <v>Los usuarios pueden reducir el tiempo en los campos de entrada copiando y modificando datos existentes</v>
      </c>
      <c r="E43" s="7" t="str">
        <f>'H3. Control y libertad usuario'!D23</f>
        <v>NA</v>
      </c>
      <c r="F43" t="str">
        <f>'H3. Control y libertad usuario'!E23</f>
        <v>-</v>
      </c>
      <c r="G43" s="7">
        <f>'H3. Control y libertad usuario'!F23</f>
        <v>0</v>
      </c>
      <c r="H43" t="str">
        <f>'H3. Control y libertad usuario'!G23</f>
        <v>-</v>
      </c>
      <c r="I43" s="7">
        <f>'H3. Control y libertad usuario'!H23</f>
        <v>0</v>
      </c>
      <c r="J43" t="str">
        <f>'H3. Control y libertad usuario'!I23</f>
        <v>-</v>
      </c>
      <c r="K43">
        <f xml:space="preserve"> IF(tbl_consolidado[[#This Row],[Valoracion Numerica]]=5,0,   IFERROR(0.5*(tbl_consolidado[[#This Row],[Valoracion numerica severidad impacto]]+tbl_consolidado[[#This Row],[Valoración numérica de persistencia de impacto]]+2),""))</f>
        <v>1</v>
      </c>
      <c r="L43" t="str">
        <f>IF(tbl_consolidado[[#This Row],[Valoracion de impacto]]=0,"No existe",IF(K43&lt;&gt;"",IF(K43&lt;=1,Datos!$L$4,IF(AND(K43&gt;1,K43&lt;=2),Datos!$L$5,IF(AND(K43&gt;2,K43&lt;=3),Datos!$L$6,IF(AND(K43&gt;3,K43&lt;=4),Datos!$L$7,IF(K43&gt;4,Datos!$L$8,""))))),""))</f>
        <v>Problema minimo</v>
      </c>
      <c r="M43">
        <f>'H3. Control y libertad usuario'!J23</f>
        <v>0</v>
      </c>
    </row>
    <row r="44" spans="2:13" x14ac:dyDescent="0.25">
      <c r="B44" s="7" t="s">
        <v>115</v>
      </c>
      <c r="C44" s="7" t="str">
        <f>'H3. Control y libertad usuario'!B24</f>
        <v>H3-12</v>
      </c>
      <c r="D44" t="str">
        <f>'H3. Control y libertad usuario'!C24</f>
        <v>Existe un vínculo en todas las páginas que permite volver a la página inicial</v>
      </c>
      <c r="E44" s="7" t="str">
        <f>'H3. Control y libertad usuario'!D24</f>
        <v>NA</v>
      </c>
      <c r="F44" t="str">
        <f>'H3. Control y libertad usuario'!E24</f>
        <v>-</v>
      </c>
      <c r="G44" s="7">
        <f>'H3. Control y libertad usuario'!F24</f>
        <v>0</v>
      </c>
      <c r="H44" t="str">
        <f>'H3. Control y libertad usuario'!G24</f>
        <v>-</v>
      </c>
      <c r="I44" s="7">
        <f>'H3. Control y libertad usuario'!H24</f>
        <v>0</v>
      </c>
      <c r="J44" t="str">
        <f>'H3. Control y libertad usuario'!I24</f>
        <v>-</v>
      </c>
      <c r="K44">
        <f xml:space="preserve"> IF(tbl_consolidado[[#This Row],[Valoracion Numerica]]=5,0,   IFERROR(0.5*(tbl_consolidado[[#This Row],[Valoracion numerica severidad impacto]]+tbl_consolidado[[#This Row],[Valoración numérica de persistencia de impacto]]+2),""))</f>
        <v>1</v>
      </c>
      <c r="L44" t="str">
        <f>IF(tbl_consolidado[[#This Row],[Valoracion de impacto]]=0,"No existe",IF(K44&lt;&gt;"",IF(K44&lt;=1,Datos!$L$4,IF(AND(K44&gt;1,K44&lt;=2),Datos!$L$5,IF(AND(K44&gt;2,K44&lt;=3),Datos!$L$6,IF(AND(K44&gt;3,K44&lt;=4),Datos!$L$7,IF(K44&gt;4,Datos!$L$8,""))))),""))</f>
        <v>Problema minimo</v>
      </c>
      <c r="M44">
        <f>'H3. Control y libertad usuario'!J24</f>
        <v>0</v>
      </c>
    </row>
    <row r="45" spans="2:13" x14ac:dyDescent="0.25">
      <c r="B45" s="7" t="s">
        <v>142</v>
      </c>
      <c r="C45" s="7" t="str">
        <f>'H4. Consistencias y estándares'!B13</f>
        <v>H4-1</v>
      </c>
      <c r="D45" t="str">
        <f>'H4. Consistencias y estándares'!C13</f>
        <v>Se evita abusar el uso de textos en mayúsculas en las pantallas</v>
      </c>
      <c r="E45" s="7" t="str">
        <f>'H4. Consistencias y estándares'!D13</f>
        <v>NA</v>
      </c>
      <c r="F45" t="str">
        <f>'H4. Consistencias y estándares'!E13</f>
        <v>-</v>
      </c>
      <c r="G45" s="7">
        <f>'H4. Consistencias y estándares'!F13</f>
        <v>0</v>
      </c>
      <c r="H45" t="str">
        <f>'H4. Consistencias y estándares'!G13</f>
        <v>-</v>
      </c>
      <c r="I45" s="7">
        <f>'H4. Consistencias y estándares'!H13</f>
        <v>0</v>
      </c>
      <c r="J45" t="str">
        <f>'H4. Consistencias y estándares'!I13</f>
        <v>-</v>
      </c>
      <c r="K45">
        <f xml:space="preserve"> IF(tbl_consolidado[[#This Row],[Valoracion Numerica]]=5,0,   IFERROR(0.5*(tbl_consolidado[[#This Row],[Valoracion numerica severidad impacto]]+tbl_consolidado[[#This Row],[Valoración numérica de persistencia de impacto]]+2),""))</f>
        <v>1</v>
      </c>
      <c r="L45" t="str">
        <f>IF(tbl_consolidado[[#This Row],[Valoracion de impacto]]=0,"No existe",IF(K45&lt;&gt;"",IF(K45&lt;=1,Datos!$L$4,IF(AND(K45&gt;1,K45&lt;=2),Datos!$L$5,IF(AND(K45&gt;2,K45&lt;=3),Datos!$L$6,IF(AND(K45&gt;3,K45&lt;=4),Datos!$L$7,IF(K45&gt;4,Datos!$L$8,""))))),""))</f>
        <v>Problema minimo</v>
      </c>
      <c r="M45">
        <f>'H4. Consistencias y estándares'!J13</f>
        <v>0</v>
      </c>
    </row>
    <row r="46" spans="2:13" x14ac:dyDescent="0.25">
      <c r="B46" s="7" t="s">
        <v>142</v>
      </c>
      <c r="C46" s="7" t="str">
        <f>'H4. Consistencias y estándares'!B14</f>
        <v>H4-2</v>
      </c>
      <c r="D46" t="str">
        <f>'H4. Consistencias y estándares'!C14</f>
        <v>Los iconos o botones virtuales poseen tooltips o etiquetas que los identifique</v>
      </c>
      <c r="E46" s="7" t="str">
        <f>'H4. Consistencias y estándares'!D14</f>
        <v>NA</v>
      </c>
      <c r="F46" t="str">
        <f>'H4. Consistencias y estándares'!E14</f>
        <v>-</v>
      </c>
      <c r="G46" s="7">
        <f>'H4. Consistencias y estándares'!F14</f>
        <v>0</v>
      </c>
      <c r="H46" t="str">
        <f>'H4. Consistencias y estándares'!G14</f>
        <v>-</v>
      </c>
      <c r="I46" s="7">
        <f>'H4. Consistencias y estándares'!H14</f>
        <v>0</v>
      </c>
      <c r="J46" t="str">
        <f>'H4. Consistencias y estándares'!I14</f>
        <v>-</v>
      </c>
      <c r="K46">
        <f xml:space="preserve"> IF(tbl_consolidado[[#This Row],[Valoracion Numerica]]=5,0,   IFERROR(0.5*(tbl_consolidado[[#This Row],[Valoracion numerica severidad impacto]]+tbl_consolidado[[#This Row],[Valoración numérica de persistencia de impacto]]+2),""))</f>
        <v>1</v>
      </c>
      <c r="L46" t="str">
        <f>IF(tbl_consolidado[[#This Row],[Valoracion de impacto]]=0,"No existe",IF(K46&lt;&gt;"",IF(K46&lt;=1,Datos!$L$4,IF(AND(K46&gt;1,K46&lt;=2),Datos!$L$5,IF(AND(K46&gt;2,K46&lt;=3),Datos!$L$6,IF(AND(K46&gt;3,K46&lt;=4),Datos!$L$7,IF(K46&gt;4,Datos!$L$8,""))))),""))</f>
        <v>Problema minimo</v>
      </c>
      <c r="M46">
        <f>'H4. Consistencias y estándares'!J14</f>
        <v>0</v>
      </c>
    </row>
    <row r="47" spans="2:13" x14ac:dyDescent="0.25">
      <c r="B47" s="7" t="s">
        <v>142</v>
      </c>
      <c r="C47" s="7" t="str">
        <f>'H4. Consistencias y estándares'!B15</f>
        <v>H4-3</v>
      </c>
      <c r="D47" t="str">
        <f>'H4. Consistencias y estándares'!C15</f>
        <v>Existe algún elemento visual que identifique la ventana que se encuentra activa</v>
      </c>
      <c r="E47" s="7" t="str">
        <f>'H4. Consistencias y estándares'!D15</f>
        <v>NA</v>
      </c>
      <c r="F47" t="str">
        <f>'H4. Consistencias y estándares'!E15</f>
        <v>-</v>
      </c>
      <c r="G47" s="7">
        <f>'H4. Consistencias y estándares'!F15</f>
        <v>0</v>
      </c>
      <c r="H47" t="str">
        <f>'H4. Consistencias y estándares'!G15</f>
        <v>-</v>
      </c>
      <c r="I47" s="7">
        <f>'H4. Consistencias y estándares'!H15</f>
        <v>0</v>
      </c>
      <c r="J47" t="str">
        <f>'H4. Consistencias y estándares'!I15</f>
        <v>-</v>
      </c>
      <c r="K47">
        <f xml:space="preserve"> IF(tbl_consolidado[[#This Row],[Valoracion Numerica]]=5,0,   IFERROR(0.5*(tbl_consolidado[[#This Row],[Valoracion numerica severidad impacto]]+tbl_consolidado[[#This Row],[Valoración numérica de persistencia de impacto]]+2),""))</f>
        <v>1</v>
      </c>
      <c r="L47" t="str">
        <f>IF(tbl_consolidado[[#This Row],[Valoracion de impacto]]=0,"No existe",IF(K47&lt;&gt;"",IF(K47&lt;=1,Datos!$L$4,IF(AND(K47&gt;1,K47&lt;=2),Datos!$L$5,IF(AND(K47&gt;2,K47&lt;=3),Datos!$L$6,IF(AND(K47&gt;3,K47&lt;=4),Datos!$L$7,IF(K47&gt;4,Datos!$L$8,""))))),""))</f>
        <v>Problema minimo</v>
      </c>
      <c r="M47">
        <f>'H4. Consistencias y estándares'!J15</f>
        <v>0</v>
      </c>
    </row>
    <row r="48" spans="2:13" x14ac:dyDescent="0.25">
      <c r="B48" s="7" t="s">
        <v>142</v>
      </c>
      <c r="C48" s="7" t="str">
        <f>'H4. Consistencias y estándares'!B16</f>
        <v>H4-4</v>
      </c>
      <c r="D48" t="str">
        <f>'H4. Consistencias y estándares'!C16</f>
        <v>Cada ventana(página, ventana modal, pop-up) posee un título que identifique a todo el contenido</v>
      </c>
      <c r="E48" s="7" t="str">
        <f>'H4. Consistencias y estándares'!D16</f>
        <v>NA</v>
      </c>
      <c r="F48" t="str">
        <f>'H4. Consistencias y estándares'!E16</f>
        <v>-</v>
      </c>
      <c r="G48" s="7">
        <f>'H4. Consistencias y estándares'!F16</f>
        <v>0</v>
      </c>
      <c r="H48" t="str">
        <f>'H4. Consistencias y estándares'!G16</f>
        <v>-</v>
      </c>
      <c r="I48" s="7">
        <f>'H4. Consistencias y estándares'!H16</f>
        <v>0</v>
      </c>
      <c r="J48" t="str">
        <f>'H4. Consistencias y estándares'!I16</f>
        <v>-</v>
      </c>
      <c r="K48">
        <f xml:space="preserve"> IF(tbl_consolidado[[#This Row],[Valoracion Numerica]]=5,0,   IFERROR(0.5*(tbl_consolidado[[#This Row],[Valoracion numerica severidad impacto]]+tbl_consolidado[[#This Row],[Valoración numérica de persistencia de impacto]]+2),""))</f>
        <v>1</v>
      </c>
      <c r="L48" t="str">
        <f>IF(tbl_consolidado[[#This Row],[Valoracion de impacto]]=0,"No existe",IF(K48&lt;&gt;"",IF(K48&lt;=1,Datos!$L$4,IF(AND(K48&gt;1,K48&lt;=2),Datos!$L$5,IF(AND(K48&gt;2,K48&lt;=3),Datos!$L$6,IF(AND(K48&gt;3,K48&lt;=4),Datos!$L$7,IF(K48&gt;4,Datos!$L$8,""))))),""))</f>
        <v>Problema minimo</v>
      </c>
      <c r="M48">
        <f>'H4. Consistencias y estándares'!J16</f>
        <v>0</v>
      </c>
    </row>
    <row r="49" spans="2:13" x14ac:dyDescent="0.25">
      <c r="B49" s="7" t="s">
        <v>142</v>
      </c>
      <c r="C49" s="7" t="str">
        <f>'H4. Consistencias y estándares'!B17</f>
        <v>H4-5</v>
      </c>
      <c r="D49" t="str">
        <f>'H4. Consistencias y estándares'!C17</f>
        <v>La opción de salir en un menú siempre se ubica como último elemento en la navegación</v>
      </c>
      <c r="E49" s="7" t="str">
        <f>'H4. Consistencias y estándares'!D17</f>
        <v>NA</v>
      </c>
      <c r="F49" t="str">
        <f>'H4. Consistencias y estándares'!E17</f>
        <v>-</v>
      </c>
      <c r="G49" s="7">
        <f>'H4. Consistencias y estándares'!F17</f>
        <v>0</v>
      </c>
      <c r="H49" t="str">
        <f>'H4. Consistencias y estándares'!G17</f>
        <v>-</v>
      </c>
      <c r="I49" s="7">
        <f>'H4. Consistencias y estándares'!H17</f>
        <v>0</v>
      </c>
      <c r="J49" t="str">
        <f>'H4. Consistencias y estándares'!I17</f>
        <v>-</v>
      </c>
      <c r="K49">
        <f xml:space="preserve"> IF(tbl_consolidado[[#This Row],[Valoracion Numerica]]=5,0,   IFERROR(0.5*(tbl_consolidado[[#This Row],[Valoracion numerica severidad impacto]]+tbl_consolidado[[#This Row],[Valoración numérica de persistencia de impacto]]+2),""))</f>
        <v>1</v>
      </c>
      <c r="L49" t="str">
        <f>IF(tbl_consolidado[[#This Row],[Valoracion de impacto]]=0,"No existe",IF(K49&lt;&gt;"",IF(K49&lt;=1,Datos!$L$4,IF(AND(K49&gt;1,K49&lt;=2),Datos!$L$5,IF(AND(K49&gt;2,K49&lt;=3),Datos!$L$6,IF(AND(K49&gt;3,K49&lt;=4),Datos!$L$7,IF(K49&gt;4,Datos!$L$8,""))))),""))</f>
        <v>Problema minimo</v>
      </c>
      <c r="M49">
        <f>'H4. Consistencias y estándares'!J17</f>
        <v>0</v>
      </c>
    </row>
    <row r="50" spans="2:13" x14ac:dyDescent="0.25">
      <c r="B50" s="7" t="s">
        <v>142</v>
      </c>
      <c r="C50" s="7" t="str">
        <f>'H4. Consistencias y estándares'!B18</f>
        <v>H4-6</v>
      </c>
      <c r="D50" t="str">
        <f>'H4. Consistencias y estándares'!C18</f>
        <v>La estructura de los menús coinciden con la estructura de tareas</v>
      </c>
      <c r="E50" s="7" t="str">
        <f>'H4. Consistencias y estándares'!D18</f>
        <v>NA</v>
      </c>
      <c r="F50" t="str">
        <f>'H4. Consistencias y estándares'!E18</f>
        <v>-</v>
      </c>
      <c r="G50" s="7">
        <f>'H4. Consistencias y estándares'!F18</f>
        <v>0</v>
      </c>
      <c r="H50" t="str">
        <f>'H4. Consistencias y estándares'!G18</f>
        <v>-</v>
      </c>
      <c r="I50" s="7">
        <f>'H4. Consistencias y estándares'!H18</f>
        <v>0</v>
      </c>
      <c r="J50" t="str">
        <f>'H4. Consistencias y estándares'!I18</f>
        <v>-</v>
      </c>
      <c r="K50">
        <f xml:space="preserve"> IF(tbl_consolidado[[#This Row],[Valoracion Numerica]]=5,0,   IFERROR(0.5*(tbl_consolidado[[#This Row],[Valoracion numerica severidad impacto]]+tbl_consolidado[[#This Row],[Valoración numérica de persistencia de impacto]]+2),""))</f>
        <v>1</v>
      </c>
      <c r="L50" t="str">
        <f>IF(tbl_consolidado[[#This Row],[Valoracion de impacto]]=0,"No existe",IF(K50&lt;&gt;"",IF(K50&lt;=1,Datos!$L$4,IF(AND(K50&gt;1,K50&lt;=2),Datos!$L$5,IF(AND(K50&gt;2,K50&lt;=3),Datos!$L$6,IF(AND(K50&gt;3,K50&lt;=4),Datos!$L$7,IF(K50&gt;4,Datos!$L$8,""))))),""))</f>
        <v>Problema minimo</v>
      </c>
      <c r="M50">
        <f>'H4. Consistencias y estándares'!J18</f>
        <v>0</v>
      </c>
    </row>
    <row r="51" spans="2:13" x14ac:dyDescent="0.25">
      <c r="B51" s="7" t="s">
        <v>142</v>
      </c>
      <c r="C51" s="7" t="str">
        <f>'H4. Consistencias y estándares'!B19</f>
        <v>H4-7</v>
      </c>
      <c r="D51" t="str">
        <f>'H4. Consistencias y estándares'!C19</f>
        <v>Las etiquetas de los campos de entrada(inputs) se mantienen de forma consistente en todas las pantallas</v>
      </c>
      <c r="E51" s="7" t="str">
        <f>'H4. Consistencias y estándares'!D19</f>
        <v>NA</v>
      </c>
      <c r="F51" t="str">
        <f>'H4. Consistencias y estándares'!E19</f>
        <v>-</v>
      </c>
      <c r="G51" s="7">
        <f>'H4. Consistencias y estándares'!F19</f>
        <v>0</v>
      </c>
      <c r="H51" t="str">
        <f>'H4. Consistencias y estándares'!G19</f>
        <v>-</v>
      </c>
      <c r="I51" s="7">
        <f>'H4. Consistencias y estándares'!H19</f>
        <v>0</v>
      </c>
      <c r="J51" t="str">
        <f>'H4. Consistencias y estándares'!I19</f>
        <v>-</v>
      </c>
      <c r="K51">
        <f xml:space="preserve"> IF(tbl_consolidado[[#This Row],[Valoracion Numerica]]=5,0,   IFERROR(0.5*(tbl_consolidado[[#This Row],[Valoracion numerica severidad impacto]]+tbl_consolidado[[#This Row],[Valoración numérica de persistencia de impacto]]+2),""))</f>
        <v>1</v>
      </c>
      <c r="L51" t="str">
        <f>IF(tbl_consolidado[[#This Row],[Valoracion de impacto]]=0,"No existe",IF(K51&lt;&gt;"",IF(K51&lt;=1,Datos!$L$4,IF(AND(K51&gt;1,K51&lt;=2),Datos!$L$5,IF(AND(K51&gt;2,K51&lt;=3),Datos!$L$6,IF(AND(K51&gt;3,K51&lt;=4),Datos!$L$7,IF(K51&gt;4,Datos!$L$8,""))))),""))</f>
        <v>Problema minimo</v>
      </c>
      <c r="M51">
        <f>'H4. Consistencias y estándares'!J19</f>
        <v>0</v>
      </c>
    </row>
    <row r="52" spans="2:13" x14ac:dyDescent="0.25">
      <c r="B52" s="7" t="s">
        <v>142</v>
      </c>
      <c r="C52" s="7" t="str">
        <f>'H4. Consistencias y estándares'!B20</f>
        <v>H4-8</v>
      </c>
      <c r="D52" t="str">
        <f>'H4. Consistencias y estándares'!C20</f>
        <v>Las etiquetas de los campos aparecen a la izquierda en campos sencillos y arriba en la lista de campos</v>
      </c>
      <c r="E52" s="7" t="str">
        <f>'H4. Consistencias y estándares'!D20</f>
        <v>NA</v>
      </c>
      <c r="F52" t="str">
        <f>'H4. Consistencias y estándares'!E20</f>
        <v>-</v>
      </c>
      <c r="G52" s="7">
        <f>'H4. Consistencias y estándares'!F20</f>
        <v>0</v>
      </c>
      <c r="H52" t="str">
        <f>'H4. Consistencias y estándares'!G20</f>
        <v>-</v>
      </c>
      <c r="I52" s="7">
        <f>'H4. Consistencias y estándares'!H20</f>
        <v>0</v>
      </c>
      <c r="J52" t="str">
        <f>'H4. Consistencias y estándares'!I20</f>
        <v>-</v>
      </c>
      <c r="K52">
        <f xml:space="preserve"> IF(tbl_consolidado[[#This Row],[Valoracion Numerica]]=5,0,   IFERROR(0.5*(tbl_consolidado[[#This Row],[Valoracion numerica severidad impacto]]+tbl_consolidado[[#This Row],[Valoración numérica de persistencia de impacto]]+2),""))</f>
        <v>1</v>
      </c>
      <c r="L52" t="str">
        <f>IF(tbl_consolidado[[#This Row],[Valoracion de impacto]]=0,"No existe",IF(K52&lt;&gt;"",IF(K52&lt;=1,Datos!$L$4,IF(AND(K52&gt;1,K52&lt;=2),Datos!$L$5,IF(AND(K52&gt;2,K52&lt;=3),Datos!$L$6,IF(AND(K52&gt;3,K52&lt;=4),Datos!$L$7,IF(K52&gt;4,Datos!$L$8,""))))),""))</f>
        <v>Problema minimo</v>
      </c>
      <c r="M52">
        <f>'H4. Consistencias y estándares'!J20</f>
        <v>0</v>
      </c>
    </row>
    <row r="53" spans="2:13" x14ac:dyDescent="0.25">
      <c r="B53" s="7" t="s">
        <v>142</v>
      </c>
      <c r="C53" s="7" t="str">
        <f>'H4. Consistencias y estándares'!B21</f>
        <v>H4-9</v>
      </c>
      <c r="D53" t="str">
        <f>'H4. Consistencias y estándares'!C21</f>
        <v>Se utilizan técnicas para atraer la atención del usuario solo para tareas importantes dependientes del tiempo</v>
      </c>
      <c r="E53" s="7" t="str">
        <f>'H4. Consistencias y estándares'!D21</f>
        <v>NA</v>
      </c>
      <c r="F53" t="str">
        <f>'H4. Consistencias y estándares'!E21</f>
        <v>-</v>
      </c>
      <c r="G53" s="7">
        <f>'H4. Consistencias y estándares'!F21</f>
        <v>0</v>
      </c>
      <c r="H53" t="str">
        <f>'H4. Consistencias y estándares'!G21</f>
        <v>-</v>
      </c>
      <c r="I53" s="7">
        <f>'H4. Consistencias y estándares'!H21</f>
        <v>0</v>
      </c>
      <c r="J53" t="str">
        <f>'H4. Consistencias y estándares'!I21</f>
        <v>-</v>
      </c>
      <c r="K53">
        <f xml:space="preserve"> IF(tbl_consolidado[[#This Row],[Valoracion Numerica]]=5,0,   IFERROR(0.5*(tbl_consolidado[[#This Row],[Valoracion numerica severidad impacto]]+tbl_consolidado[[#This Row],[Valoración numérica de persistencia de impacto]]+2),""))</f>
        <v>1</v>
      </c>
      <c r="L53" t="str">
        <f>IF(tbl_consolidado[[#This Row],[Valoracion de impacto]]=0,"No existe",IF(K53&lt;&gt;"",IF(K53&lt;=1,Datos!$L$4,IF(AND(K53&gt;1,K53&lt;=2),Datos!$L$5,IF(AND(K53&gt;2,K53&lt;=3),Datos!$L$6,IF(AND(K53&gt;3,K53&lt;=4),Datos!$L$7,IF(K53&gt;4,Datos!$L$8,""))))),""))</f>
        <v>Problema minimo</v>
      </c>
      <c r="M53">
        <f>'H4. Consistencias y estándares'!J21</f>
        <v>0</v>
      </c>
    </row>
    <row r="54" spans="2:13" x14ac:dyDescent="0.25">
      <c r="B54" s="7" t="s">
        <v>142</v>
      </c>
      <c r="C54" s="7" t="str">
        <f>'H4. Consistencias y estándares'!B22</f>
        <v>H4-10</v>
      </c>
      <c r="D54" t="str">
        <f>'H4. Consistencias y estándares'!C22</f>
        <v>El usuario experimenta que la interfaz de usuario es consistente en términos de controles(botones, campos de entrada), color, tipografía, fuentes, diseños y diseño de diálogos</v>
      </c>
      <c r="E54" s="7" t="str">
        <f>'H4. Consistencias y estándares'!D22</f>
        <v>NA</v>
      </c>
      <c r="F54" t="str">
        <f>'H4. Consistencias y estándares'!E22</f>
        <v>-</v>
      </c>
      <c r="G54" s="7">
        <f>'H4. Consistencias y estándares'!F22</f>
        <v>0</v>
      </c>
      <c r="H54" t="str">
        <f>'H4. Consistencias y estándares'!G22</f>
        <v>-</v>
      </c>
      <c r="I54" s="7">
        <f>'H4. Consistencias y estándares'!H22</f>
        <v>0</v>
      </c>
      <c r="J54" t="str">
        <f>'H4. Consistencias y estándares'!I22</f>
        <v>-</v>
      </c>
      <c r="K54">
        <f xml:space="preserve"> IF(tbl_consolidado[[#This Row],[Valoracion Numerica]]=5,0,   IFERROR(0.5*(tbl_consolidado[[#This Row],[Valoracion numerica severidad impacto]]+tbl_consolidado[[#This Row],[Valoración numérica de persistencia de impacto]]+2),""))</f>
        <v>1</v>
      </c>
      <c r="L54" t="str">
        <f>IF(tbl_consolidado[[#This Row],[Valoracion de impacto]]=0,"No existe",IF(K54&lt;&gt;"",IF(K54&lt;=1,Datos!$L$4,IF(AND(K54&gt;1,K54&lt;=2),Datos!$L$5,IF(AND(K54&gt;2,K54&lt;=3),Datos!$L$6,IF(AND(K54&gt;3,K54&lt;=4),Datos!$L$7,IF(K54&gt;4,Datos!$L$8,""))))),""))</f>
        <v>Problema minimo</v>
      </c>
      <c r="M54">
        <f>'H4. Consistencias y estándares'!J22</f>
        <v>0</v>
      </c>
    </row>
    <row r="55" spans="2:13" x14ac:dyDescent="0.25">
      <c r="B55" s="7" t="s">
        <v>142</v>
      </c>
      <c r="C55" s="7" t="str">
        <f>'H4. Consistencias y estándares'!B23</f>
        <v>H4-11</v>
      </c>
      <c r="D55" t="str">
        <f>'H4. Consistencias y estándares'!C23</f>
        <v>Todas las instrucciones de menú, avisos y mensajes de error aparecen en el mismo lugar en cada pantalla y siguen las convenciones estándar</v>
      </c>
      <c r="E55" s="7" t="str">
        <f>'H4. Consistencias y estándares'!D23</f>
        <v>NA</v>
      </c>
      <c r="F55" t="str">
        <f>'H4. Consistencias y estándares'!E23</f>
        <v>-</v>
      </c>
      <c r="G55" s="7">
        <f>'H4. Consistencias y estándares'!F23</f>
        <v>0</v>
      </c>
      <c r="H55" t="str">
        <f>'H4. Consistencias y estándares'!G23</f>
        <v>-</v>
      </c>
      <c r="I55" s="7">
        <f>'H4. Consistencias y estándares'!H23</f>
        <v>0</v>
      </c>
      <c r="J55" t="str">
        <f>'H4. Consistencias y estándares'!I23</f>
        <v>-</v>
      </c>
      <c r="K55">
        <f xml:space="preserve"> IF(tbl_consolidado[[#This Row],[Valoracion Numerica]]=5,0,   IFERROR(0.5*(tbl_consolidado[[#This Row],[Valoracion numerica severidad impacto]]+tbl_consolidado[[#This Row],[Valoración numérica de persistencia de impacto]]+2),""))</f>
        <v>1</v>
      </c>
      <c r="L55" t="str">
        <f>IF(tbl_consolidado[[#This Row],[Valoracion de impacto]]=0,"No existe",IF(K55&lt;&gt;"",IF(K55&lt;=1,Datos!$L$4,IF(AND(K55&gt;1,K55&lt;=2),Datos!$L$5,IF(AND(K55&gt;2,K55&lt;=3),Datos!$L$6,IF(AND(K55&gt;3,K55&lt;=4),Datos!$L$7,IF(K55&gt;4,Datos!$L$8,""))))),""))</f>
        <v>Problema minimo</v>
      </c>
      <c r="M55">
        <f>'H4. Consistencias y estándares'!J23</f>
        <v>0</v>
      </c>
    </row>
    <row r="56" spans="2:13" x14ac:dyDescent="0.25">
      <c r="B56" s="7" t="s">
        <v>142</v>
      </c>
      <c r="C56" s="7" t="str">
        <f>'H4. Consistencias y estándares'!B24</f>
        <v>H4-12</v>
      </c>
      <c r="D56" t="str">
        <f>'H4. Consistencias y estándares'!C24</f>
        <v>El menú de navegación se encuentra ubicado al principio de todas las páginas web</v>
      </c>
      <c r="E56" s="7" t="str">
        <f>'H4. Consistencias y estándares'!D24</f>
        <v>NA</v>
      </c>
      <c r="F56" t="str">
        <f>'H4. Consistencias y estándares'!E24</f>
        <v>-</v>
      </c>
      <c r="G56" s="7">
        <f>'H4. Consistencias y estándares'!F24</f>
        <v>0</v>
      </c>
      <c r="H56" t="str">
        <f>'H4. Consistencias y estándares'!G24</f>
        <v>-</v>
      </c>
      <c r="I56" s="7">
        <f>'H4. Consistencias y estándares'!H24</f>
        <v>0</v>
      </c>
      <c r="J56" t="str">
        <f>'H4. Consistencias y estándares'!I24</f>
        <v>-</v>
      </c>
      <c r="K56">
        <f xml:space="preserve"> IF(tbl_consolidado[[#This Row],[Valoracion Numerica]]=5,0,   IFERROR(0.5*(tbl_consolidado[[#This Row],[Valoracion numerica severidad impacto]]+tbl_consolidado[[#This Row],[Valoración numérica de persistencia de impacto]]+2),""))</f>
        <v>1</v>
      </c>
      <c r="L56" t="str">
        <f>IF(tbl_consolidado[[#This Row],[Valoracion de impacto]]=0,"No existe",IF(K56&lt;&gt;"",IF(K56&lt;=1,Datos!$L$4,IF(AND(K56&gt;1,K56&lt;=2),Datos!$L$5,IF(AND(K56&gt;2,K56&lt;=3),Datos!$L$6,IF(AND(K56&gt;3,K56&lt;=4),Datos!$L$7,IF(K56&gt;4,Datos!$L$8,""))))),""))</f>
        <v>Problema minimo</v>
      </c>
      <c r="M56">
        <f>'H4. Consistencias y estándares'!J24</f>
        <v>0</v>
      </c>
    </row>
    <row r="57" spans="2:13" x14ac:dyDescent="0.25">
      <c r="B57" s="7" t="s">
        <v>142</v>
      </c>
      <c r="C57" s="7" t="str">
        <f>'H4. Consistencias y estándares'!B25</f>
        <v>H4-13</v>
      </c>
      <c r="D57" t="str">
        <f>'H4. Consistencias y estándares'!C25</f>
        <v>El logotipo del instituto es significativo, identificable y suficientemente visible</v>
      </c>
      <c r="E57" s="7" t="str">
        <f>'H4. Consistencias y estándares'!D25</f>
        <v>NA</v>
      </c>
      <c r="F57" t="str">
        <f>'H4. Consistencias y estándares'!E25</f>
        <v>-</v>
      </c>
      <c r="G57" s="7">
        <f>'H4. Consistencias y estándares'!F25</f>
        <v>0</v>
      </c>
      <c r="H57" t="str">
        <f>'H4. Consistencias y estándares'!G25</f>
        <v>-</v>
      </c>
      <c r="I57" s="7">
        <f>'H4. Consistencias y estándares'!H25</f>
        <v>0</v>
      </c>
      <c r="J57" t="str">
        <f>'H4. Consistencias y estándares'!I25</f>
        <v>-</v>
      </c>
      <c r="K57">
        <f xml:space="preserve"> IF(tbl_consolidado[[#This Row],[Valoracion Numerica]]=5,0,   IFERROR(0.5*(tbl_consolidado[[#This Row],[Valoracion numerica severidad impacto]]+tbl_consolidado[[#This Row],[Valoración numérica de persistencia de impacto]]+2),""))</f>
        <v>1</v>
      </c>
      <c r="L57" t="str">
        <f>IF(tbl_consolidado[[#This Row],[Valoracion de impacto]]=0,"No existe",IF(K57&lt;&gt;"",IF(K57&lt;=1,Datos!$L$4,IF(AND(K57&gt;1,K57&lt;=2),Datos!$L$5,IF(AND(K57&gt;2,K57&lt;=3),Datos!$L$6,IF(AND(K57&gt;3,K57&lt;=4),Datos!$L$7,IF(K57&gt;4,Datos!$L$8,""))))),""))</f>
        <v>Problema minimo</v>
      </c>
      <c r="M57">
        <f>'H4. Consistencias y estándares'!J25</f>
        <v>0</v>
      </c>
    </row>
    <row r="58" spans="2:13" x14ac:dyDescent="0.25">
      <c r="B58" s="7" t="s">
        <v>142</v>
      </c>
      <c r="C58" s="7" t="str">
        <f>'H4. Consistencias y estándares'!B26</f>
        <v>H4-14</v>
      </c>
      <c r="D58" t="str">
        <f>'H4. Consistencias y estándares'!C26</f>
        <v>Se mantiene el formato de los enlaces en todas las páginas web</v>
      </c>
      <c r="E58" s="7" t="str">
        <f>'H4. Consistencias y estándares'!D26</f>
        <v>NA</v>
      </c>
      <c r="F58" t="str">
        <f>'H4. Consistencias y estándares'!E26</f>
        <v>-</v>
      </c>
      <c r="G58" s="7">
        <f>'H4. Consistencias y estándares'!F26</f>
        <v>0</v>
      </c>
      <c r="H58" t="str">
        <f>'H4. Consistencias y estándares'!G26</f>
        <v>-</v>
      </c>
      <c r="I58" s="7">
        <f>'H4. Consistencias y estándares'!H26</f>
        <v>0</v>
      </c>
      <c r="J58" t="str">
        <f>'H4. Consistencias y estándares'!I26</f>
        <v>-</v>
      </c>
      <c r="K58">
        <f xml:space="preserve"> IF(tbl_consolidado[[#This Row],[Valoracion Numerica]]=5,0,   IFERROR(0.5*(tbl_consolidado[[#This Row],[Valoracion numerica severidad impacto]]+tbl_consolidado[[#This Row],[Valoración numérica de persistencia de impacto]]+2),""))</f>
        <v>1</v>
      </c>
      <c r="L58" t="str">
        <f>IF(tbl_consolidado[[#This Row],[Valoracion de impacto]]=0,"No existe",IF(K58&lt;&gt;"",IF(K58&lt;=1,Datos!$L$4,IF(AND(K58&gt;1,K58&lt;=2),Datos!$L$5,IF(AND(K58&gt;2,K58&lt;=3),Datos!$L$6,IF(AND(K58&gt;3,K58&lt;=4),Datos!$L$7,IF(K58&gt;4,Datos!$L$8,""))))),""))</f>
        <v>Problema minimo</v>
      </c>
      <c r="M58">
        <f>'H4. Consistencias y estándares'!J26</f>
        <v>0</v>
      </c>
    </row>
    <row r="59" spans="2:13" x14ac:dyDescent="0.25">
      <c r="B59" s="7" t="s">
        <v>142</v>
      </c>
      <c r="C59" s="7" t="str">
        <f>'H4. Consistencias y estándares'!B27</f>
        <v>H4-15</v>
      </c>
      <c r="D59" t="str">
        <f>'H4. Consistencias y estándares'!C27</f>
        <v>Las imágenes representativas poseen un título que las identifique en el atributo 'alt'</v>
      </c>
      <c r="E59" s="7" t="str">
        <f>'H4. Consistencias y estándares'!D27</f>
        <v>NA</v>
      </c>
      <c r="F59" t="str">
        <f>'H4. Consistencias y estándares'!E27</f>
        <v>-</v>
      </c>
      <c r="G59" s="7">
        <f>'H4. Consistencias y estándares'!F27</f>
        <v>0</v>
      </c>
      <c r="H59" t="str">
        <f>'H4. Consistencias y estándares'!G27</f>
        <v>-</v>
      </c>
      <c r="I59" s="7">
        <f>'H4. Consistencias y estándares'!H27</f>
        <v>0</v>
      </c>
      <c r="J59" t="str">
        <f>'H4. Consistencias y estándares'!I27</f>
        <v>-</v>
      </c>
      <c r="K59">
        <f xml:space="preserve"> IF(tbl_consolidado[[#This Row],[Valoracion Numerica]]=5,0,   IFERROR(0.5*(tbl_consolidado[[#This Row],[Valoracion numerica severidad impacto]]+tbl_consolidado[[#This Row],[Valoración numérica de persistencia de impacto]]+2),""))</f>
        <v>1</v>
      </c>
      <c r="L59" t="str">
        <f>IF(tbl_consolidado[[#This Row],[Valoracion de impacto]]=0,"No existe",IF(K59&lt;&gt;"",IF(K59&lt;=1,Datos!$L$4,IF(AND(K59&gt;1,K59&lt;=2),Datos!$L$5,IF(AND(K59&gt;2,K59&lt;=3),Datos!$L$6,IF(AND(K59&gt;3,K59&lt;=4),Datos!$L$7,IF(K59&gt;4,Datos!$L$8,""))))),""))</f>
        <v>Problema minimo</v>
      </c>
      <c r="M59">
        <f>'H4. Consistencias y estándares'!J27</f>
        <v>0</v>
      </c>
    </row>
    <row r="60" spans="2:13" x14ac:dyDescent="0.25">
      <c r="B60" s="7" t="s">
        <v>142</v>
      </c>
      <c r="C60" s="7" t="str">
        <f>'H4. Consistencias y estándares'!B28</f>
        <v>H4-16</v>
      </c>
      <c r="D60" t="str">
        <f>'H4. Consistencias y estándares'!C28</f>
        <v>Se mantiene consistente las mismas cosas y los mismos elementos en todo el sistema</v>
      </c>
      <c r="E60" s="7" t="str">
        <f>'H4. Consistencias y estándares'!D28</f>
        <v>NA</v>
      </c>
      <c r="F60" t="str">
        <f>'H4. Consistencias y estándares'!E28</f>
        <v>-</v>
      </c>
      <c r="G60" s="7">
        <f>'H4. Consistencias y estándares'!F28</f>
        <v>0</v>
      </c>
      <c r="H60" t="str">
        <f>'H4. Consistencias y estándares'!G28</f>
        <v>-</v>
      </c>
      <c r="I60" s="7">
        <f>'H4. Consistencias y estándares'!H28</f>
        <v>0</v>
      </c>
      <c r="J60" t="str">
        <f>'H4. Consistencias y estándares'!I28</f>
        <v>-</v>
      </c>
      <c r="K60">
        <f xml:space="preserve"> IF(tbl_consolidado[[#This Row],[Valoracion Numerica]]=5,0,   IFERROR(0.5*(tbl_consolidado[[#This Row],[Valoracion numerica severidad impacto]]+tbl_consolidado[[#This Row],[Valoración numérica de persistencia de impacto]]+2),""))</f>
        <v>1</v>
      </c>
      <c r="L60" t="str">
        <f>IF(tbl_consolidado[[#This Row],[Valoracion de impacto]]=0,"No existe",IF(K60&lt;&gt;"",IF(K60&lt;=1,Datos!$L$4,IF(AND(K60&gt;1,K60&lt;=2),Datos!$L$5,IF(AND(K60&gt;2,K60&lt;=3),Datos!$L$6,IF(AND(K60&gt;3,K60&lt;=4),Datos!$L$7,IF(K60&gt;4,Datos!$L$8,""))))),""))</f>
        <v>Problema minimo</v>
      </c>
      <c r="M60">
        <f>'H4. Consistencias y estándares'!J28</f>
        <v>0</v>
      </c>
    </row>
    <row r="61" spans="2:13" x14ac:dyDescent="0.25">
      <c r="B61" s="7" t="s">
        <v>142</v>
      </c>
      <c r="C61" s="7" t="str">
        <f>'H4. Consistencias y estándares'!B29</f>
        <v>H4-17</v>
      </c>
      <c r="D61" t="str">
        <f>'H4. Consistencias y estándares'!C29</f>
        <v>Los elementos de enlace poseen el mismo rotulo de la página a donde se va a trasladar</v>
      </c>
      <c r="E61" s="7" t="str">
        <f>'H4. Consistencias y estándares'!D29</f>
        <v>NA</v>
      </c>
      <c r="F61" t="str">
        <f>'H4. Consistencias y estándares'!E29</f>
        <v>-</v>
      </c>
      <c r="G61" s="7">
        <f>'H4. Consistencias y estándares'!F29</f>
        <v>0</v>
      </c>
      <c r="H61" t="str">
        <f>'H4. Consistencias y estándares'!G29</f>
        <v>-</v>
      </c>
      <c r="I61" s="7">
        <f>'H4. Consistencias y estándares'!H29</f>
        <v>0</v>
      </c>
      <c r="J61" t="str">
        <f>'H4. Consistencias y estándares'!I29</f>
        <v>-</v>
      </c>
      <c r="K61">
        <f xml:space="preserve"> IF(tbl_consolidado[[#This Row],[Valoracion Numerica]]=5,0,   IFERROR(0.5*(tbl_consolidado[[#This Row],[Valoracion numerica severidad impacto]]+tbl_consolidado[[#This Row],[Valoración numérica de persistencia de impacto]]+2),""))</f>
        <v>1</v>
      </c>
      <c r="L61" t="str">
        <f>IF(tbl_consolidado[[#This Row],[Valoracion de impacto]]=0,"No existe",IF(K61&lt;&gt;"",IF(K61&lt;=1,Datos!$L$4,IF(AND(K61&gt;1,K61&lt;=2),Datos!$L$5,IF(AND(K61&gt;2,K61&lt;=3),Datos!$L$6,IF(AND(K61&gt;3,K61&lt;=4),Datos!$L$7,IF(K61&gt;4,Datos!$L$8,""))))),""))</f>
        <v>Problema minimo</v>
      </c>
      <c r="M61">
        <f>'H4. Consistencias y estándares'!J29</f>
        <v>0</v>
      </c>
    </row>
    <row r="62" spans="2:13" x14ac:dyDescent="0.25">
      <c r="B62" s="7" t="s">
        <v>142</v>
      </c>
      <c r="C62" s="7" t="str">
        <f>'H4. Consistencias y estándares'!B30</f>
        <v>H4-18</v>
      </c>
      <c r="D62" t="str">
        <f>'H4. Consistencias y estándares'!C30</f>
        <v>Las URL de las páginas del sitio web tienen la misma estructura y coherencia con el contenido mostrado</v>
      </c>
      <c r="E62" s="7" t="str">
        <f>'H4. Consistencias y estándares'!D30</f>
        <v>NA</v>
      </c>
      <c r="F62" t="str">
        <f>'H4. Consistencias y estándares'!E30</f>
        <v>-</v>
      </c>
      <c r="G62" s="7">
        <f>'H4. Consistencias y estándares'!F30</f>
        <v>0</v>
      </c>
      <c r="H62" t="str">
        <f>'H4. Consistencias y estándares'!G30</f>
        <v>-</v>
      </c>
      <c r="I62" s="7">
        <f>'H4. Consistencias y estándares'!H30</f>
        <v>0</v>
      </c>
      <c r="J62" t="str">
        <f>'H4. Consistencias y estándares'!I30</f>
        <v>-</v>
      </c>
      <c r="K62">
        <f xml:space="preserve"> IF(tbl_consolidado[[#This Row],[Valoracion Numerica]]=5,0,   IFERROR(0.5*(tbl_consolidado[[#This Row],[Valoracion numerica severidad impacto]]+tbl_consolidado[[#This Row],[Valoración numérica de persistencia de impacto]]+2),""))</f>
        <v>1</v>
      </c>
      <c r="L62" t="str">
        <f>IF(tbl_consolidado[[#This Row],[Valoracion de impacto]]=0,"No existe",IF(K62&lt;&gt;"",IF(K62&lt;=1,Datos!$L$4,IF(AND(K62&gt;1,K62&lt;=2),Datos!$L$5,IF(AND(K62&gt;2,K62&lt;=3),Datos!$L$6,IF(AND(K62&gt;3,K62&lt;=4),Datos!$L$7,IF(K62&gt;4,Datos!$L$8,""))))),""))</f>
        <v>Problema minimo</v>
      </c>
      <c r="M62">
        <f>'H4. Consistencias y estándares'!J30</f>
        <v>0</v>
      </c>
    </row>
    <row r="63" spans="2:13" x14ac:dyDescent="0.25">
      <c r="B63" s="7" t="s">
        <v>181</v>
      </c>
      <c r="C63" s="7" t="str">
        <f>'H5. Recon, Ayuda, Recup. error'!B13</f>
        <v>H5-1</v>
      </c>
      <c r="D63" t="str">
        <f>'H5. Recon, Ayuda, Recup. error'!C13</f>
        <v>Los mensajes de error se muestran con un  lenguaje natural y no técnico del sistema</v>
      </c>
      <c r="E63" s="7" t="str">
        <f>'H5. Recon, Ayuda, Recup. error'!D13</f>
        <v>NA</v>
      </c>
      <c r="F63" t="str">
        <f>'H5. Recon, Ayuda, Recup. error'!E13</f>
        <v>-</v>
      </c>
      <c r="G63" s="7">
        <f>'H5. Recon, Ayuda, Recup. error'!F13</f>
        <v>0</v>
      </c>
      <c r="H63" t="str">
        <f>'H5. Recon, Ayuda, Recup. error'!G13</f>
        <v>-</v>
      </c>
      <c r="I63" s="7">
        <f>'H5. Recon, Ayuda, Recup. error'!H13</f>
        <v>0</v>
      </c>
      <c r="J63" t="str">
        <f>'H5. Recon, Ayuda, Recup. error'!I13</f>
        <v>-</v>
      </c>
      <c r="K63">
        <f xml:space="preserve"> IF(tbl_consolidado[[#This Row],[Valoracion Numerica]]=5,0,   IFERROR(0.5*(tbl_consolidado[[#This Row],[Valoracion numerica severidad impacto]]+tbl_consolidado[[#This Row],[Valoración numérica de persistencia de impacto]]+2),""))</f>
        <v>1</v>
      </c>
      <c r="L63" t="str">
        <f>IF(tbl_consolidado[[#This Row],[Valoracion de impacto]]=0,"No existe",IF(K63&lt;&gt;"",IF(K63&lt;=1,Datos!$L$4,IF(AND(K63&gt;1,K63&lt;=2),Datos!$L$5,IF(AND(K63&gt;2,K63&lt;=3),Datos!$L$6,IF(AND(K63&gt;3,K63&lt;=4),Datos!$L$7,IF(K63&gt;4,Datos!$L$8,""))))),""))</f>
        <v>Problema minimo</v>
      </c>
      <c r="M63">
        <f>'H5. Recon, Ayuda, Recup. error'!J13</f>
        <v>0</v>
      </c>
    </row>
    <row r="64" spans="2:13" x14ac:dyDescent="0.25">
      <c r="B64" s="7" t="s">
        <v>181</v>
      </c>
      <c r="C64" s="7" t="str">
        <f>'H5. Recon, Ayuda, Recup. error'!B14</f>
        <v>H5-2</v>
      </c>
      <c r="D64" t="str">
        <f>'H5. Recon, Ayuda, Recup. error'!C14</f>
        <v>Todos los mensajes de error del sistema utilizan un estilo gramatical, terminología y abreviatura consistentes</v>
      </c>
      <c r="E64" s="7" t="str">
        <f>'H5. Recon, Ayuda, Recup. error'!D14</f>
        <v>NA</v>
      </c>
      <c r="F64" t="str">
        <f>'H5. Recon, Ayuda, Recup. error'!E14</f>
        <v>-</v>
      </c>
      <c r="G64" s="7">
        <f>'H5. Recon, Ayuda, Recup. error'!F14</f>
        <v>0</v>
      </c>
      <c r="H64" t="str">
        <f>'H5. Recon, Ayuda, Recup. error'!G14</f>
        <v>-</v>
      </c>
      <c r="I64" s="7">
        <f>'H5. Recon, Ayuda, Recup. error'!H14</f>
        <v>0</v>
      </c>
      <c r="J64" t="str">
        <f>'H5. Recon, Ayuda, Recup. error'!I14</f>
        <v>-</v>
      </c>
      <c r="K64">
        <f xml:space="preserve"> IF(tbl_consolidado[[#This Row],[Valoracion Numerica]]=5,0,   IFERROR(0.5*(tbl_consolidado[[#This Row],[Valoracion numerica severidad impacto]]+tbl_consolidado[[#This Row],[Valoración numérica de persistencia de impacto]]+2),""))</f>
        <v>1</v>
      </c>
      <c r="L64" t="str">
        <f>IF(tbl_consolidado[[#This Row],[Valoracion de impacto]]=0,"No existe",IF(K64&lt;&gt;"",IF(K64&lt;=1,Datos!$L$4,IF(AND(K64&gt;1,K64&lt;=2),Datos!$L$5,IF(AND(K64&gt;2,K64&lt;=3),Datos!$L$6,IF(AND(K64&gt;3,K64&lt;=4),Datos!$L$7,IF(K64&gt;4,Datos!$L$8,""))))),""))</f>
        <v>Problema minimo</v>
      </c>
      <c r="M64">
        <f>'H5. Recon, Ayuda, Recup. error'!J14</f>
        <v>0</v>
      </c>
    </row>
    <row r="65" spans="2:13" x14ac:dyDescent="0.25">
      <c r="B65" s="7" t="s">
        <v>181</v>
      </c>
      <c r="C65" s="7" t="str">
        <f>'H5. Recon, Ayuda, Recup. error'!B15</f>
        <v>H5-3</v>
      </c>
      <c r="D65" t="str">
        <f>'H5. Recon, Ayuda, Recup. error'!C15</f>
        <v>Si en campos de formulario se detecta un error de validación, el sistema posiciona el cursor en ese campo, lo resalta de alguna manera o incorpora algún mensaje</v>
      </c>
      <c r="E65" s="7" t="str">
        <f>'H5. Recon, Ayuda, Recup. error'!D15</f>
        <v>NA</v>
      </c>
      <c r="F65" t="str">
        <f>'H5. Recon, Ayuda, Recup. error'!E15</f>
        <v>-</v>
      </c>
      <c r="G65" s="7">
        <f>'H5. Recon, Ayuda, Recup. error'!F15</f>
        <v>0</v>
      </c>
      <c r="H65" t="str">
        <f>'H5. Recon, Ayuda, Recup. error'!G15</f>
        <v>-</v>
      </c>
      <c r="I65" s="7">
        <f>'H5. Recon, Ayuda, Recup. error'!H15</f>
        <v>0</v>
      </c>
      <c r="J65" t="str">
        <f>'H5. Recon, Ayuda, Recup. error'!I15</f>
        <v>-</v>
      </c>
      <c r="K65">
        <f xml:space="preserve"> IF(tbl_consolidado[[#This Row],[Valoracion Numerica]]=5,0,   IFERROR(0.5*(tbl_consolidado[[#This Row],[Valoracion numerica severidad impacto]]+tbl_consolidado[[#This Row],[Valoración numérica de persistencia de impacto]]+2),""))</f>
        <v>1</v>
      </c>
      <c r="L65" t="str">
        <f>IF(tbl_consolidado[[#This Row],[Valoracion de impacto]]=0,"No existe",IF(K65&lt;&gt;"",IF(K65&lt;=1,Datos!$L$4,IF(AND(K65&gt;1,K65&lt;=2),Datos!$L$5,IF(AND(K65&gt;2,K65&lt;=3),Datos!$L$6,IF(AND(K65&gt;3,K65&lt;=4),Datos!$L$7,IF(K65&gt;4,Datos!$L$8,""))))),""))</f>
        <v>Problema minimo</v>
      </c>
      <c r="M65">
        <f>'H5. Recon, Ayuda, Recup. error'!J15</f>
        <v>0</v>
      </c>
    </row>
    <row r="66" spans="2:13" x14ac:dyDescent="0.25">
      <c r="B66" s="7" t="s">
        <v>181</v>
      </c>
      <c r="C66" s="7" t="str">
        <f>'H5. Recon, Ayuda, Recup. error'!B16</f>
        <v>H5-4</v>
      </c>
      <c r="D66" t="str">
        <f>'H5. Recon, Ayuda, Recup. error'!C16</f>
        <v>Los mensajes de error informan al usuario sobre la gravedad del error cometido</v>
      </c>
      <c r="E66" s="7" t="str">
        <f>'H5. Recon, Ayuda, Recup. error'!D16</f>
        <v>NA</v>
      </c>
      <c r="F66" t="str">
        <f>'H5. Recon, Ayuda, Recup. error'!E16</f>
        <v>-</v>
      </c>
      <c r="G66" s="7">
        <f>'H5. Recon, Ayuda, Recup. error'!F16</f>
        <v>0</v>
      </c>
      <c r="H66" t="str">
        <f>'H5. Recon, Ayuda, Recup. error'!G16</f>
        <v>-</v>
      </c>
      <c r="I66" s="7">
        <f>'H5. Recon, Ayuda, Recup. error'!H16</f>
        <v>0</v>
      </c>
      <c r="J66" t="str">
        <f>'H5. Recon, Ayuda, Recup. error'!I16</f>
        <v>-</v>
      </c>
      <c r="K66">
        <f xml:space="preserve"> IF(tbl_consolidado[[#This Row],[Valoracion Numerica]]=5,0,   IFERROR(0.5*(tbl_consolidado[[#This Row],[Valoracion numerica severidad impacto]]+tbl_consolidado[[#This Row],[Valoración numérica de persistencia de impacto]]+2),""))</f>
        <v>1</v>
      </c>
      <c r="L66" t="str">
        <f>IF(tbl_consolidado[[#This Row],[Valoracion de impacto]]=0,"No existe",IF(K66&lt;&gt;"",IF(K66&lt;=1,Datos!$L$4,IF(AND(K66&gt;1,K66&lt;=2),Datos!$L$5,IF(AND(K66&gt;2,K66&lt;=3),Datos!$L$6,IF(AND(K66&gt;3,K66&lt;=4),Datos!$L$7,IF(K66&gt;4,Datos!$L$8,""))))),""))</f>
        <v>Problema minimo</v>
      </c>
      <c r="M66">
        <f>'H5. Recon, Ayuda, Recup. error'!J16</f>
        <v>0</v>
      </c>
    </row>
    <row r="67" spans="2:13" x14ac:dyDescent="0.25">
      <c r="B67" s="7" t="s">
        <v>181</v>
      </c>
      <c r="C67" s="7" t="str">
        <f>'H5. Recon, Ayuda, Recup. error'!B17</f>
        <v>H5-5</v>
      </c>
      <c r="D67" t="str">
        <f>'H5. Recon, Ayuda, Recup. error'!C17</f>
        <v>Los mensajes de error indican que acción debe realizar el usuario para corregirlo</v>
      </c>
      <c r="E67" s="7" t="str">
        <f>'H5. Recon, Ayuda, Recup. error'!D17</f>
        <v>NA</v>
      </c>
      <c r="F67" t="str">
        <f>'H5. Recon, Ayuda, Recup. error'!E17</f>
        <v>-</v>
      </c>
      <c r="G67" s="7">
        <f>'H5. Recon, Ayuda, Recup. error'!F17</f>
        <v>0</v>
      </c>
      <c r="H67" t="str">
        <f>'H5. Recon, Ayuda, Recup. error'!G17</f>
        <v>-</v>
      </c>
      <c r="I67" s="7">
        <f>'H5. Recon, Ayuda, Recup. error'!H17</f>
        <v>0</v>
      </c>
      <c r="J67" t="str">
        <f>'H5. Recon, Ayuda, Recup. error'!I17</f>
        <v>-</v>
      </c>
      <c r="K67">
        <f xml:space="preserve"> IF(tbl_consolidado[[#This Row],[Valoracion Numerica]]=5,0,   IFERROR(0.5*(tbl_consolidado[[#This Row],[Valoracion numerica severidad impacto]]+tbl_consolidado[[#This Row],[Valoración numérica de persistencia de impacto]]+2),""))</f>
        <v>1</v>
      </c>
      <c r="L67" t="str">
        <f>IF(tbl_consolidado[[#This Row],[Valoracion de impacto]]=0,"No existe",IF(K67&lt;&gt;"",IF(K67&lt;=1,Datos!$L$4,IF(AND(K67&gt;1,K67&lt;=2),Datos!$L$5,IF(AND(K67&gt;2,K67&lt;=3),Datos!$L$6,IF(AND(K67&gt;3,K67&lt;=4),Datos!$L$7,IF(K67&gt;4,Datos!$L$8,""))))),""))</f>
        <v>Problema minimo</v>
      </c>
      <c r="M67">
        <f>'H5. Recon, Ayuda, Recup. error'!J17</f>
        <v>0</v>
      </c>
    </row>
    <row r="68" spans="2:13" x14ac:dyDescent="0.25">
      <c r="B68" s="7" t="s">
        <v>194</v>
      </c>
      <c r="C68" s="7" t="str">
        <f>'H6. Prevención de errores'!B13</f>
        <v>H6-1</v>
      </c>
      <c r="D68" t="str">
        <f>'H6. Prevención de errores'!C13</f>
        <v>El sistema previene a los usuarios de cometer errores siempre que esto es posible</v>
      </c>
      <c r="E68" s="7" t="str">
        <f>'H6. Prevención de errores'!D13</f>
        <v>NA</v>
      </c>
      <c r="F68" t="str">
        <f>'H6. Prevención de errores'!E13</f>
        <v>-</v>
      </c>
      <c r="G68" s="7">
        <f>'H6. Prevención de errores'!F13</f>
        <v>0</v>
      </c>
      <c r="H68" t="str">
        <f>'H6. Prevención de errores'!G13</f>
        <v>-</v>
      </c>
      <c r="I68" s="7">
        <f>'H6. Prevención de errores'!H13</f>
        <v>0</v>
      </c>
      <c r="J68" t="str">
        <f>'H6. Prevención de errores'!I13</f>
        <v>-</v>
      </c>
      <c r="K68">
        <f xml:space="preserve"> IF(tbl_consolidado[[#This Row],[Valoracion Numerica]]=5,0,   IFERROR(0.5*(tbl_consolidado[[#This Row],[Valoracion numerica severidad impacto]]+tbl_consolidado[[#This Row],[Valoración numérica de persistencia de impacto]]+2),""))</f>
        <v>1</v>
      </c>
      <c r="L68" t="str">
        <f>IF(tbl_consolidado[[#This Row],[Valoracion de impacto]]=0,"No existe",IF(K68&lt;&gt;"",IF(K68&lt;=1,Datos!$L$4,IF(AND(K68&gt;1,K68&lt;=2),Datos!$L$5,IF(AND(K68&gt;2,K68&lt;=3),Datos!$L$6,IF(AND(K68&gt;3,K68&lt;=4),Datos!$L$7,IF(K68&gt;4,Datos!$L$8,""))))),""))</f>
        <v>Problema minimo</v>
      </c>
      <c r="M68">
        <f>'H6. Prevención de errores'!J13</f>
        <v>0</v>
      </c>
    </row>
    <row r="69" spans="2:13" x14ac:dyDescent="0.25">
      <c r="B69" s="7" t="s">
        <v>194</v>
      </c>
      <c r="C69" s="7" t="str">
        <f>'H6. Prevención de errores'!B14</f>
        <v>H6-2</v>
      </c>
      <c r="D69" t="str">
        <f>'H6. Prevención de errores'!C14</f>
        <v>El sistema alerta a los usuarios si está a punto de cometer un error potencial</v>
      </c>
      <c r="E69" s="7" t="str">
        <f>'H6. Prevención de errores'!D14</f>
        <v>NA</v>
      </c>
      <c r="F69" t="str">
        <f>'H6. Prevención de errores'!E14</f>
        <v>-</v>
      </c>
      <c r="G69" s="7">
        <f>'H6. Prevención de errores'!F14</f>
        <v>0</v>
      </c>
      <c r="H69" t="str">
        <f>'H6. Prevención de errores'!G14</f>
        <v>-</v>
      </c>
      <c r="I69" s="7">
        <f>'H6. Prevención de errores'!H14</f>
        <v>0</v>
      </c>
      <c r="J69" t="str">
        <f>'H6. Prevención de errores'!I14</f>
        <v>-</v>
      </c>
      <c r="K69">
        <f xml:space="preserve"> IF(tbl_consolidado[[#This Row],[Valoracion Numerica]]=5,0,   IFERROR(0.5*(tbl_consolidado[[#This Row],[Valoracion numerica severidad impacto]]+tbl_consolidado[[#This Row],[Valoración numérica de persistencia de impacto]]+2),""))</f>
        <v>1</v>
      </c>
      <c r="L69" t="str">
        <f>IF(tbl_consolidado[[#This Row],[Valoracion de impacto]]=0,"No existe",IF(K69&lt;&gt;"",IF(K69&lt;=1,Datos!$L$4,IF(AND(K69&gt;1,K69&lt;=2),Datos!$L$5,IF(AND(K69&gt;2,K69&lt;=3),Datos!$L$6,IF(AND(K69&gt;3,K69&lt;=4),Datos!$L$7,IF(K69&gt;4,Datos!$L$8,""))))),""))</f>
        <v>Problema minimo</v>
      </c>
      <c r="M69">
        <f>'H6. Prevención de errores'!J14</f>
        <v>0</v>
      </c>
    </row>
    <row r="70" spans="2:13" x14ac:dyDescent="0.25">
      <c r="B70" s="7" t="s">
        <v>194</v>
      </c>
      <c r="C70" s="7" t="str">
        <f>'H6. Prevención de errores'!B15</f>
        <v>H6-3</v>
      </c>
      <c r="D70" t="str">
        <f>'H6. Prevención de errores'!C15</f>
        <v>Las entradas de datos y cajas de dialogo indican el número de caracteres o formato requerido  para un campo</v>
      </c>
      <c r="E70" s="7" t="str">
        <f>'H6. Prevención de errores'!D15</f>
        <v>NA</v>
      </c>
      <c r="F70" t="str">
        <f>'H6. Prevención de errores'!E15</f>
        <v>-</v>
      </c>
      <c r="G70" s="7">
        <f>'H6. Prevención de errores'!F15</f>
        <v>0</v>
      </c>
      <c r="H70" t="str">
        <f>'H6. Prevención de errores'!G15</f>
        <v>-</v>
      </c>
      <c r="I70" s="7">
        <f>'H6. Prevención de errores'!H15</f>
        <v>0</v>
      </c>
      <c r="J70" t="str">
        <f>'H6. Prevención de errores'!I15</f>
        <v>-</v>
      </c>
      <c r="K70">
        <f xml:space="preserve"> IF(tbl_consolidado[[#This Row],[Valoracion Numerica]]=5,0,   IFERROR(0.5*(tbl_consolidado[[#This Row],[Valoracion numerica severidad impacto]]+tbl_consolidado[[#This Row],[Valoración numérica de persistencia de impacto]]+2),""))</f>
        <v>1</v>
      </c>
      <c r="L70" t="str">
        <f>IF(tbl_consolidado[[#This Row],[Valoracion de impacto]]=0,"No existe",IF(K70&lt;&gt;"",IF(K70&lt;=1,Datos!$L$4,IF(AND(K70&gt;1,K70&lt;=2),Datos!$L$5,IF(AND(K70&gt;2,K70&lt;=3),Datos!$L$6,IF(AND(K70&gt;3,K70&lt;=4),Datos!$L$7,IF(K70&gt;4,Datos!$L$8,""))))),""))</f>
        <v>Problema minimo</v>
      </c>
      <c r="M70">
        <f>'H6. Prevención de errores'!J15</f>
        <v>0</v>
      </c>
    </row>
    <row r="71" spans="2:13" x14ac:dyDescent="0.25">
      <c r="B71" s="7" t="s">
        <v>194</v>
      </c>
      <c r="C71" s="7" t="str">
        <f>'H6. Prevención de errores'!B16</f>
        <v>H6-4</v>
      </c>
      <c r="D71" t="str">
        <f>'H6. Prevención de errores'!C16</f>
        <v>Los campos en los formulario de entrada de datos contienen valores por defecto cuando son necesarios</v>
      </c>
      <c r="E71" s="7" t="str">
        <f>'H6. Prevención de errores'!D16</f>
        <v>NA</v>
      </c>
      <c r="F71" t="str">
        <f>'H6. Prevención de errores'!E16</f>
        <v>-</v>
      </c>
      <c r="G71" s="7">
        <f>'H6. Prevención de errores'!F16</f>
        <v>0</v>
      </c>
      <c r="H71" t="str">
        <f>'H6. Prevención de errores'!G16</f>
        <v>-</v>
      </c>
      <c r="I71" s="7">
        <f>'H6. Prevención de errores'!H16</f>
        <v>0</v>
      </c>
      <c r="J71" t="str">
        <f>'H6. Prevención de errores'!I16</f>
        <v>-</v>
      </c>
      <c r="K71">
        <f xml:space="preserve"> IF(tbl_consolidado[[#This Row],[Valoracion Numerica]]=5,0,   IFERROR(0.5*(tbl_consolidado[[#This Row],[Valoracion numerica severidad impacto]]+tbl_consolidado[[#This Row],[Valoración numérica de persistencia de impacto]]+2),""))</f>
        <v>1</v>
      </c>
      <c r="L71" t="str">
        <f>IF(tbl_consolidado[[#This Row],[Valoracion de impacto]]=0,"No existe",IF(K71&lt;&gt;"",IF(K71&lt;=1,Datos!$L$4,IF(AND(K71&gt;1,K71&lt;=2),Datos!$L$5,IF(AND(K71&gt;2,K71&lt;=3),Datos!$L$6,IF(AND(K71&gt;3,K71&lt;=4),Datos!$L$7,IF(K71&gt;4,Datos!$L$8,""))))),""))</f>
        <v>Problema minimo</v>
      </c>
      <c r="M71">
        <f>'H6. Prevención de errores'!J16</f>
        <v>0</v>
      </c>
    </row>
    <row r="72" spans="2:13" x14ac:dyDescent="0.25">
      <c r="B72" s="7" t="s">
        <v>194</v>
      </c>
      <c r="C72" s="7" t="str">
        <f>'H6. Prevención de errores'!B17</f>
        <v>H6-5</v>
      </c>
      <c r="D72" t="str">
        <f>'H6. Prevención de errores'!C17</f>
        <v>El sistema comprueba los valores de las campos de los formularios en tiempo real</v>
      </c>
      <c r="E72" s="7" t="str">
        <f>'H6. Prevención de errores'!D17</f>
        <v>NA</v>
      </c>
      <c r="F72" t="str">
        <f>'H6. Prevención de errores'!E17</f>
        <v>-</v>
      </c>
      <c r="G72" s="7">
        <f>'H6. Prevención de errores'!F17</f>
        <v>0</v>
      </c>
      <c r="H72" t="str">
        <f>'H6. Prevención de errores'!G17</f>
        <v>-</v>
      </c>
      <c r="I72" s="7">
        <f>'H6. Prevención de errores'!H17</f>
        <v>0</v>
      </c>
      <c r="J72" t="str">
        <f>'H6. Prevención de errores'!I17</f>
        <v>-</v>
      </c>
      <c r="K72">
        <f xml:space="preserve"> IF(tbl_consolidado[[#This Row],[Valoracion Numerica]]=5,0,   IFERROR(0.5*(tbl_consolidado[[#This Row],[Valoracion numerica severidad impacto]]+tbl_consolidado[[#This Row],[Valoración numérica de persistencia de impacto]]+2),""))</f>
        <v>1</v>
      </c>
      <c r="L72" t="str">
        <f>IF(tbl_consolidado[[#This Row],[Valoracion de impacto]]=0,"No existe",IF(K72&lt;&gt;"",IF(K72&lt;=1,Datos!$L$4,IF(AND(K72&gt;1,K72&lt;=2),Datos!$L$5,IF(AND(K72&gt;2,K72&lt;=3),Datos!$L$6,IF(AND(K72&gt;3,K72&lt;=4),Datos!$L$7,IF(K72&gt;4,Datos!$L$8,""))))),""))</f>
        <v>Problema minimo</v>
      </c>
      <c r="M72">
        <f>'H6. Prevención de errores'!J17</f>
        <v>0</v>
      </c>
    </row>
    <row r="73" spans="2:13" x14ac:dyDescent="0.25">
      <c r="B73" s="7" t="s">
        <v>207</v>
      </c>
      <c r="C73" s="7" t="str">
        <f>'H7. Reconoc. antes que memor.'!B13</f>
        <v>H7-1</v>
      </c>
      <c r="D73" t="str">
        <f>'H7. Reconoc. antes que memor.'!C13</f>
        <v>Los datos que el usuario necesita, son mostrados en cada paso de una actividad/tarea o página.</v>
      </c>
      <c r="E73" s="7" t="str">
        <f>'H7. Reconoc. antes que memor.'!D13</f>
        <v>NA</v>
      </c>
      <c r="F73" t="str">
        <f>'H7. Reconoc. antes que memor.'!E13</f>
        <v>-</v>
      </c>
      <c r="G73" s="7">
        <f>'H7. Reconoc. antes que memor.'!F13</f>
        <v>0</v>
      </c>
      <c r="H73" t="str">
        <f>'H7. Reconoc. antes que memor.'!G13</f>
        <v>-</v>
      </c>
      <c r="I73" s="7">
        <f>'H7. Reconoc. antes que memor.'!H13</f>
        <v>0</v>
      </c>
      <c r="J73" t="str">
        <f>'H7. Reconoc. antes que memor.'!I13</f>
        <v>-</v>
      </c>
      <c r="K73">
        <f xml:space="preserve"> IF(tbl_consolidado[[#This Row],[Valoracion Numerica]]=5,0,   IFERROR(0.5*(tbl_consolidado[[#This Row],[Valoracion numerica severidad impacto]]+tbl_consolidado[[#This Row],[Valoración numérica de persistencia de impacto]]+2),""))</f>
        <v>1</v>
      </c>
      <c r="L73" t="str">
        <f>IF(tbl_consolidado[[#This Row],[Valoracion de impacto]]=0,"No existe",IF(K73&lt;&gt;"",IF(K73&lt;=1,Datos!$L$4,IF(AND(K73&gt;1,K73&lt;=2),Datos!$L$5,IF(AND(K73&gt;2,K73&lt;=3),Datos!$L$6,IF(AND(K73&gt;3,K73&lt;=4),Datos!$L$7,IF(K73&gt;4,Datos!$L$8,""))))),""))</f>
        <v>Problema minimo</v>
      </c>
      <c r="M73">
        <f>'H7. Reconoc. antes que memor.'!J13</f>
        <v>0</v>
      </c>
    </row>
    <row r="74" spans="2:13" x14ac:dyDescent="0.25">
      <c r="B74" s="7" t="s">
        <v>207</v>
      </c>
      <c r="C74" s="7" t="str">
        <f>'H7. Reconoc. antes que memor.'!B14</f>
        <v>H7-2</v>
      </c>
      <c r="D74" t="str">
        <f>'H7. Reconoc. antes que memor.'!C14</f>
        <v>Se han agrupado los ítems en zonas lógicas, utilizando encabezamientos para distinguir dichas zonas</v>
      </c>
      <c r="E74" s="7" t="str">
        <f>'H7. Reconoc. antes que memor.'!D14</f>
        <v>NA</v>
      </c>
      <c r="F74" t="str">
        <f>'H7. Reconoc. antes que memor.'!E14</f>
        <v>-</v>
      </c>
      <c r="G74" s="7">
        <f>'H7. Reconoc. antes que memor.'!F14</f>
        <v>0</v>
      </c>
      <c r="H74" t="str">
        <f>'H7. Reconoc. antes que memor.'!G14</f>
        <v>-</v>
      </c>
      <c r="I74" s="7">
        <f>'H7. Reconoc. antes que memor.'!H14</f>
        <v>0</v>
      </c>
      <c r="J74" t="str">
        <f>'H7. Reconoc. antes que memor.'!I14</f>
        <v>-</v>
      </c>
      <c r="K74">
        <f xml:space="preserve"> IF(tbl_consolidado[[#This Row],[Valoracion Numerica]]=5,0,   IFERROR(0.5*(tbl_consolidado[[#This Row],[Valoracion numerica severidad impacto]]+tbl_consolidado[[#This Row],[Valoración numérica de persistencia de impacto]]+2),""))</f>
        <v>1</v>
      </c>
      <c r="L74" t="str">
        <f>IF(tbl_consolidado[[#This Row],[Valoracion de impacto]]=0,"No existe",IF(K74&lt;&gt;"",IF(K74&lt;=1,Datos!$L$4,IF(AND(K74&gt;1,K74&lt;=2),Datos!$L$5,IF(AND(K74&gt;2,K74&lt;=3),Datos!$L$6,IF(AND(K74&gt;3,K74&lt;=4),Datos!$L$7,IF(K74&gt;4,Datos!$L$8,""))))),""))</f>
        <v>Problema minimo</v>
      </c>
      <c r="M74">
        <f>'H7. Reconoc. antes que memor.'!J14</f>
        <v>0</v>
      </c>
    </row>
    <row r="75" spans="2:13" x14ac:dyDescent="0.25">
      <c r="B75" s="7" t="s">
        <v>207</v>
      </c>
      <c r="C75" s="7" t="str">
        <f>'H7. Reconoc. antes que memor.'!B15</f>
        <v>H7-3</v>
      </c>
      <c r="D75" t="str">
        <f>'H7. Reconoc. antes que memor.'!C15</f>
        <v>Las etiquetas de los campos de entrada(input) están cerca de los mismos, pero separadas por al menos un espacio</v>
      </c>
      <c r="E75" s="7" t="str">
        <f>'H7. Reconoc. antes que memor.'!D15</f>
        <v>NA</v>
      </c>
      <c r="F75" t="str">
        <f>'H7. Reconoc. antes que memor.'!E15</f>
        <v>-</v>
      </c>
      <c r="G75" s="7">
        <f>'H7. Reconoc. antes que memor.'!F15</f>
        <v>0</v>
      </c>
      <c r="H75" t="str">
        <f>'H7. Reconoc. antes que memor.'!G15</f>
        <v>-</v>
      </c>
      <c r="I75" s="7">
        <f>'H7. Reconoc. antes que memor.'!H15</f>
        <v>0</v>
      </c>
      <c r="J75" t="str">
        <f>'H7. Reconoc. antes que memor.'!I15</f>
        <v>-</v>
      </c>
      <c r="K75">
        <f xml:space="preserve"> IF(tbl_consolidado[[#This Row],[Valoracion Numerica]]=5,0,   IFERROR(0.5*(tbl_consolidado[[#This Row],[Valoracion numerica severidad impacto]]+tbl_consolidado[[#This Row],[Valoración numérica de persistencia de impacto]]+2),""))</f>
        <v>1</v>
      </c>
      <c r="L75" t="str">
        <f>IF(tbl_consolidado[[#This Row],[Valoracion de impacto]]=0,"No existe",IF(K75&lt;&gt;"",IF(K75&lt;=1,Datos!$L$4,IF(AND(K75&gt;1,K75&lt;=2),Datos!$L$5,IF(AND(K75&gt;2,K75&lt;=3),Datos!$L$6,IF(AND(K75&gt;3,K75&lt;=4),Datos!$L$7,IF(K75&gt;4,Datos!$L$8,""))))),""))</f>
        <v>Problema minimo</v>
      </c>
      <c r="M75">
        <f>'H7. Reconoc. antes que memor.'!J15</f>
        <v>0</v>
      </c>
    </row>
    <row r="76" spans="2:13" x14ac:dyDescent="0.25">
      <c r="B76" s="7" t="s">
        <v>207</v>
      </c>
      <c r="C76" s="7" t="str">
        <f>'H7. Reconoc. antes que memor.'!B16</f>
        <v>H7-4</v>
      </c>
      <c r="D76" t="str">
        <f>'H7. Reconoc. antes que memor.'!C16</f>
        <v>Los campos de los formularios que son obligatorios y no obligatorios están claramente marcados</v>
      </c>
      <c r="E76" s="7" t="str">
        <f>'H7. Reconoc. antes que memor.'!D16</f>
        <v>NA</v>
      </c>
      <c r="F76" t="str">
        <f>'H7. Reconoc. antes que memor.'!E16</f>
        <v>-</v>
      </c>
      <c r="G76" s="7">
        <f>'H7. Reconoc. antes que memor.'!F16</f>
        <v>0</v>
      </c>
      <c r="H76" t="str">
        <f>'H7. Reconoc. antes que memor.'!G16</f>
        <v>-</v>
      </c>
      <c r="I76" s="7">
        <f>'H7. Reconoc. antes que memor.'!H16</f>
        <v>0</v>
      </c>
      <c r="J76" t="str">
        <f>'H7. Reconoc. antes que memor.'!I16</f>
        <v>-</v>
      </c>
      <c r="K76">
        <f xml:space="preserve"> IF(tbl_consolidado[[#This Row],[Valoracion Numerica]]=5,0,   IFERROR(0.5*(tbl_consolidado[[#This Row],[Valoracion numerica severidad impacto]]+tbl_consolidado[[#This Row],[Valoración numérica de persistencia de impacto]]+2),""))</f>
        <v>1</v>
      </c>
      <c r="L76" t="str">
        <f>IF(tbl_consolidado[[#This Row],[Valoracion de impacto]]=0,"No existe",IF(K76&lt;&gt;"",IF(K76&lt;=1,Datos!$L$4,IF(AND(K76&gt;1,K76&lt;=2),Datos!$L$5,IF(AND(K76&gt;2,K76&lt;=3),Datos!$L$6,IF(AND(K76&gt;3,K76&lt;=4),Datos!$L$7,IF(K76&gt;4,Datos!$L$8,""))))),""))</f>
        <v>Problema minimo</v>
      </c>
      <c r="M76">
        <f>'H7. Reconoc. antes que memor.'!J16</f>
        <v>0</v>
      </c>
    </row>
    <row r="77" spans="2:13" x14ac:dyDescent="0.25">
      <c r="B77" s="7" t="s">
        <v>207</v>
      </c>
      <c r="C77" s="7" t="str">
        <f>'H7. Reconoc. antes que memor.'!B17</f>
        <v>H7-5</v>
      </c>
      <c r="D77" t="str">
        <f>'H7. Reconoc. antes que memor.'!C17</f>
        <v>Se utiliza tamaño de letra, realce de fuente, subrayado, color, sombreado o tipografía especial para mostrar la cantidad relativa o importancia de los diferente elementos en una pantalla</v>
      </c>
      <c r="E77" s="7" t="str">
        <f>'H7. Reconoc. antes que memor.'!D17</f>
        <v>NA</v>
      </c>
      <c r="F77" t="str">
        <f>'H7. Reconoc. antes que memor.'!E17</f>
        <v>-</v>
      </c>
      <c r="G77" s="7">
        <f>'H7. Reconoc. antes que memor.'!F17</f>
        <v>0</v>
      </c>
      <c r="H77" t="str">
        <f>'H7. Reconoc. antes que memor.'!G17</f>
        <v>-</v>
      </c>
      <c r="I77" s="7">
        <f>'H7. Reconoc. antes que memor.'!H17</f>
        <v>0</v>
      </c>
      <c r="J77" t="str">
        <f>'H7. Reconoc. antes que memor.'!I17</f>
        <v>-</v>
      </c>
      <c r="K77">
        <f xml:space="preserve"> IF(tbl_consolidado[[#This Row],[Valoracion Numerica]]=5,0,   IFERROR(0.5*(tbl_consolidado[[#This Row],[Valoracion numerica severidad impacto]]+tbl_consolidado[[#This Row],[Valoración numérica de persistencia de impacto]]+2),""))</f>
        <v>1</v>
      </c>
      <c r="L77" t="str">
        <f>IF(tbl_consolidado[[#This Row],[Valoracion de impacto]]=0,"No existe",IF(K77&lt;&gt;"",IF(K77&lt;=1,Datos!$L$4,IF(AND(K77&gt;1,K77&lt;=2),Datos!$L$5,IF(AND(K77&gt;2,K77&lt;=3),Datos!$L$6,IF(AND(K77&gt;3,K77&lt;=4),Datos!$L$7,IF(K77&gt;4,Datos!$L$8,""))))),""))</f>
        <v>Problema minimo</v>
      </c>
      <c r="M77">
        <f>'H7. Reconoc. antes que memor.'!J17</f>
        <v>0</v>
      </c>
    </row>
    <row r="78" spans="2:13" x14ac:dyDescent="0.25">
      <c r="B78" s="7" t="s">
        <v>207</v>
      </c>
      <c r="C78" s="7" t="str">
        <f>'H7. Reconoc. antes que memor.'!B18</f>
        <v>H7-6</v>
      </c>
      <c r="D78" t="str">
        <f>'H7. Reconoc. antes que memor.'!C18</f>
        <v>Se usan colores brillantes, suaves y saturados para darle importancia a los datos, y colores opacos y oscuros para des-enfatizarlos</v>
      </c>
      <c r="E78" s="7" t="str">
        <f>'H7. Reconoc. antes que memor.'!D18</f>
        <v>NA</v>
      </c>
      <c r="F78" t="str">
        <f>'H7. Reconoc. antes que memor.'!E18</f>
        <v>-</v>
      </c>
      <c r="G78" s="7">
        <f>'H7. Reconoc. antes que memor.'!F18</f>
        <v>0</v>
      </c>
      <c r="H78" t="str">
        <f>'H7. Reconoc. antes que memor.'!G18</f>
        <v>-</v>
      </c>
      <c r="I78" s="7">
        <f>'H7. Reconoc. antes que memor.'!H18</f>
        <v>0</v>
      </c>
      <c r="J78" t="str">
        <f>'H7. Reconoc. antes que memor.'!I18</f>
        <v>-</v>
      </c>
      <c r="K78">
        <f xml:space="preserve"> IF(tbl_consolidado[[#This Row],[Valoracion Numerica]]=5,0,   IFERROR(0.5*(tbl_consolidado[[#This Row],[Valoracion numerica severidad impacto]]+tbl_consolidado[[#This Row],[Valoración numérica de persistencia de impacto]]+2),""))</f>
        <v>1</v>
      </c>
      <c r="L78" t="str">
        <f>IF(tbl_consolidado[[#This Row],[Valoracion de impacto]]=0,"No existe",IF(K78&lt;&gt;"",IF(K78&lt;=1,Datos!$L$4,IF(AND(K78&gt;1,K78&lt;=2),Datos!$L$5,IF(AND(K78&gt;2,K78&lt;=3),Datos!$L$6,IF(AND(K78&gt;3,K78&lt;=4),Datos!$L$7,IF(K78&gt;4,Datos!$L$8,""))))),""))</f>
        <v>Problema minimo</v>
      </c>
      <c r="M78">
        <f>'H7. Reconoc. antes que memor.'!J18</f>
        <v>0</v>
      </c>
    </row>
    <row r="79" spans="2:13" x14ac:dyDescent="0.25">
      <c r="B79" s="7" t="s">
        <v>207</v>
      </c>
      <c r="C79" s="7" t="str">
        <f>'H7. Reconoc. antes que memor.'!B19</f>
        <v>H7-7</v>
      </c>
      <c r="D79" t="str">
        <f>'H7. Reconoc. antes que memor.'!C19</f>
        <v>Los ítems inactivos en un menú, tabs o listas aparecen en gris o están omitidos</v>
      </c>
      <c r="E79" s="7" t="str">
        <f>'H7. Reconoc. antes que memor.'!D19</f>
        <v>NA</v>
      </c>
      <c r="F79" t="str">
        <f>'H7. Reconoc. antes que memor.'!E19</f>
        <v>-</v>
      </c>
      <c r="G79" s="7">
        <f>'H7. Reconoc. antes que memor.'!F19</f>
        <v>0</v>
      </c>
      <c r="H79" t="str">
        <f>'H7. Reconoc. antes que memor.'!G19</f>
        <v>-</v>
      </c>
      <c r="I79" s="7">
        <f>'H7. Reconoc. antes que memor.'!H19</f>
        <v>0</v>
      </c>
      <c r="J79" t="str">
        <f>'H7. Reconoc. antes que memor.'!I19</f>
        <v>-</v>
      </c>
      <c r="K79">
        <f xml:space="preserve"> IF(tbl_consolidado[[#This Row],[Valoracion Numerica]]=5,0,   IFERROR(0.5*(tbl_consolidado[[#This Row],[Valoracion numerica severidad impacto]]+tbl_consolidado[[#This Row],[Valoración numérica de persistencia de impacto]]+2),""))</f>
        <v>1</v>
      </c>
      <c r="L79" t="str">
        <f>IF(tbl_consolidado[[#This Row],[Valoracion de impacto]]=0,"No existe",IF(K79&lt;&gt;"",IF(K79&lt;=1,Datos!$L$4,IF(AND(K79&gt;1,K79&lt;=2),Datos!$L$5,IF(AND(K79&gt;2,K79&lt;=3),Datos!$L$6,IF(AND(K79&gt;3,K79&lt;=4),Datos!$L$7,IF(K79&gt;4,Datos!$L$8,""))))),""))</f>
        <v>Problema minimo</v>
      </c>
      <c r="M79">
        <f>'H7. Reconoc. antes que memor.'!J19</f>
        <v>0</v>
      </c>
    </row>
    <row r="80" spans="2:13" x14ac:dyDescent="0.25">
      <c r="B80" s="7" t="s">
        <v>207</v>
      </c>
      <c r="C80" s="7" t="str">
        <f>'H7. Reconoc. antes que memor.'!B20</f>
        <v>H7-8</v>
      </c>
      <c r="D80" t="str">
        <f>'H7. Reconoc. antes que memor.'!C20</f>
        <v>Existen elecciones por defecto dentro el menú</v>
      </c>
      <c r="E80" s="7" t="str">
        <f>'H7. Reconoc. antes que memor.'!D20</f>
        <v>NA</v>
      </c>
      <c r="F80" t="str">
        <f>'H7. Reconoc. antes que memor.'!E20</f>
        <v>-</v>
      </c>
      <c r="G80" s="7">
        <f>'H7. Reconoc. antes que memor.'!F20</f>
        <v>0</v>
      </c>
      <c r="H80" t="str">
        <f>'H7. Reconoc. antes que memor.'!G20</f>
        <v>-</v>
      </c>
      <c r="I80" s="7">
        <f>'H7. Reconoc. antes que memor.'!H20</f>
        <v>0</v>
      </c>
      <c r="J80" t="str">
        <f>'H7. Reconoc. antes que memor.'!I20</f>
        <v>-</v>
      </c>
      <c r="K80">
        <f xml:space="preserve"> IF(tbl_consolidado[[#This Row],[Valoracion Numerica]]=5,0,   IFERROR(0.5*(tbl_consolidado[[#This Row],[Valoracion numerica severidad impacto]]+tbl_consolidado[[#This Row],[Valoración numérica de persistencia de impacto]]+2),""))</f>
        <v>1</v>
      </c>
      <c r="L80" t="str">
        <f>IF(tbl_consolidado[[#This Row],[Valoracion de impacto]]=0,"No existe",IF(K80&lt;&gt;"",IF(K80&lt;=1,Datos!$L$4,IF(AND(K80&gt;1,K80&lt;=2),Datos!$L$5,IF(AND(K80&gt;2,K80&lt;=3),Datos!$L$6,IF(AND(K80&gt;3,K80&lt;=4),Datos!$L$7,IF(K80&gt;4,Datos!$L$8,""))))),""))</f>
        <v>Problema minimo</v>
      </c>
      <c r="M80">
        <f>'H7. Reconoc. antes que memor.'!J20</f>
        <v>0</v>
      </c>
    </row>
    <row r="81" spans="2:13" x14ac:dyDescent="0.25">
      <c r="B81" s="7" t="s">
        <v>207</v>
      </c>
      <c r="C81" s="7" t="str">
        <f>'H7. Reconoc. antes que memor.'!B21</f>
        <v>H7-9</v>
      </c>
      <c r="D81" t="str">
        <f>'H7. Reconoc. antes que memor.'!C21</f>
        <v>Existen elementos visuales llamativos para identificar cual es la ventana activa</v>
      </c>
      <c r="E81" s="7" t="str">
        <f>'H7. Reconoc. antes que memor.'!D21</f>
        <v>NA</v>
      </c>
      <c r="F81" t="str">
        <f>'H7. Reconoc. antes que memor.'!E21</f>
        <v>-</v>
      </c>
      <c r="G81" s="7">
        <f>'H7. Reconoc. antes que memor.'!F21</f>
        <v>0</v>
      </c>
      <c r="H81" t="str">
        <f>'H7. Reconoc. antes que memor.'!G21</f>
        <v>-</v>
      </c>
      <c r="I81" s="7">
        <f>'H7. Reconoc. antes que memor.'!H21</f>
        <v>0</v>
      </c>
      <c r="J81" t="str">
        <f>'H7. Reconoc. antes que memor.'!I21</f>
        <v>-</v>
      </c>
      <c r="K81">
        <f xml:space="preserve"> IF(tbl_consolidado[[#This Row],[Valoracion Numerica]]=5,0,   IFERROR(0.5*(tbl_consolidado[[#This Row],[Valoracion numerica severidad impacto]]+tbl_consolidado[[#This Row],[Valoración numérica de persistencia de impacto]]+2),""))</f>
        <v>1</v>
      </c>
      <c r="L81" t="str">
        <f>IF(tbl_consolidado[[#This Row],[Valoracion de impacto]]=0,"No existe",IF(K81&lt;&gt;"",IF(K81&lt;=1,Datos!$L$4,IF(AND(K81&gt;1,K81&lt;=2),Datos!$L$5,IF(AND(K81&gt;2,K81&lt;=3),Datos!$L$6,IF(AND(K81&gt;3,K81&lt;=4),Datos!$L$7,IF(K81&gt;4,Datos!$L$8,""))))),""))</f>
        <v>Problema minimo</v>
      </c>
      <c r="M81">
        <f>'H7. Reconoc. antes que memor.'!J21</f>
        <v>0</v>
      </c>
    </row>
    <row r="82" spans="2:13" x14ac:dyDescent="0.25">
      <c r="B82" s="7" t="s">
        <v>207</v>
      </c>
      <c r="C82" s="7" t="str">
        <f>'H7. Reconoc. antes que memor.'!B22</f>
        <v>H7-10</v>
      </c>
      <c r="D82" t="str">
        <f>'H7. Reconoc. antes que memor.'!C22</f>
        <v>Se usan iconos relacionados a las acciones u contenidos a los que se asocian</v>
      </c>
      <c r="E82" s="7" t="str">
        <f>'H7. Reconoc. antes que memor.'!D22</f>
        <v>NA</v>
      </c>
      <c r="F82" t="str">
        <f>'H7. Reconoc. antes que memor.'!E22</f>
        <v>-</v>
      </c>
      <c r="G82" s="7">
        <f>'H7. Reconoc. antes que memor.'!F22</f>
        <v>0</v>
      </c>
      <c r="H82" t="str">
        <f>'H7. Reconoc. antes que memor.'!G22</f>
        <v>-</v>
      </c>
      <c r="I82" s="7">
        <f>'H7. Reconoc. antes que memor.'!H22</f>
        <v>0</v>
      </c>
      <c r="J82" t="str">
        <f>'H7. Reconoc. antes que memor.'!I22</f>
        <v>-</v>
      </c>
      <c r="K82">
        <f xml:space="preserve"> IF(tbl_consolidado[[#This Row],[Valoracion Numerica]]=5,0,   IFERROR(0.5*(tbl_consolidado[[#This Row],[Valoracion numerica severidad impacto]]+tbl_consolidado[[#This Row],[Valoración numérica de persistencia de impacto]]+2),""))</f>
        <v>1</v>
      </c>
      <c r="L82" t="str">
        <f>IF(tbl_consolidado[[#This Row],[Valoracion de impacto]]=0,"No existe",IF(K82&lt;&gt;"",IF(K82&lt;=1,Datos!$L$4,IF(AND(K82&gt;1,K82&lt;=2),Datos!$L$5,IF(AND(K82&gt;2,K82&lt;=3),Datos!$L$6,IF(AND(K82&gt;3,K82&lt;=4),Datos!$L$7,IF(K82&gt;4,Datos!$L$8,""))))),""))</f>
        <v>Problema minimo</v>
      </c>
      <c r="M82">
        <f>'H7. Reconoc. antes que memor.'!J22</f>
        <v>0</v>
      </c>
    </row>
    <row r="83" spans="2:13" x14ac:dyDescent="0.25">
      <c r="B83" s="7" t="s">
        <v>207</v>
      </c>
      <c r="C83" s="7" t="str">
        <f>'H7. Reconoc. antes que memor.'!B23</f>
        <v>H7-11</v>
      </c>
      <c r="D83" t="str">
        <f>'H7. Reconoc. antes que memor.'!C23</f>
        <v>La estructura, orden y lógica es familiar e intuitiva para los usuarios</v>
      </c>
      <c r="E83" s="7" t="str">
        <f>'H7. Reconoc. antes que memor.'!D23</f>
        <v>NA</v>
      </c>
      <c r="F83" t="str">
        <f>'H7. Reconoc. antes que memor.'!E23</f>
        <v>-</v>
      </c>
      <c r="G83" s="7">
        <f>'H7. Reconoc. antes que memor.'!F23</f>
        <v>0</v>
      </c>
      <c r="H83" t="str">
        <f>'H7. Reconoc. antes que memor.'!G23</f>
        <v>-</v>
      </c>
      <c r="I83" s="7">
        <f>'H7. Reconoc. antes que memor.'!H23</f>
        <v>0</v>
      </c>
      <c r="J83" t="str">
        <f>'H7. Reconoc. antes que memor.'!I23</f>
        <v>-</v>
      </c>
      <c r="K83">
        <f xml:space="preserve"> IF(tbl_consolidado[[#This Row],[Valoracion Numerica]]=5,0,   IFERROR(0.5*(tbl_consolidado[[#This Row],[Valoracion numerica severidad impacto]]+tbl_consolidado[[#This Row],[Valoración numérica de persistencia de impacto]]+2),""))</f>
        <v>1</v>
      </c>
      <c r="L83" t="str">
        <f>IF(tbl_consolidado[[#This Row],[Valoracion de impacto]]=0,"No existe",IF(K83&lt;&gt;"",IF(K83&lt;=1,Datos!$L$4,IF(AND(K83&gt;1,K83&lt;=2),Datos!$L$5,IF(AND(K83&gt;2,K83&lt;=3),Datos!$L$6,IF(AND(K83&gt;3,K83&lt;=4),Datos!$L$7,IF(K83&gt;4,Datos!$L$8,""))))),""))</f>
        <v>Problema minimo</v>
      </c>
      <c r="M83">
        <f>'H7. Reconoc. antes que memor.'!J23</f>
        <v>0</v>
      </c>
    </row>
    <row r="84" spans="2:13" x14ac:dyDescent="0.25">
      <c r="B84" s="7" t="s">
        <v>207</v>
      </c>
      <c r="C84" s="7" t="str">
        <f>'H7. Reconoc. antes que memor.'!B24</f>
        <v>H7-12</v>
      </c>
      <c r="D84" t="str">
        <f>'H7. Reconoc. antes que memor.'!C24</f>
        <v>Las instrucciones de uso del sistema deben son visibles o fácilmente recuperables siempre que es necesario</v>
      </c>
      <c r="E84" s="7" t="str">
        <f>'H7. Reconoc. antes que memor.'!D24</f>
        <v>NA</v>
      </c>
      <c r="F84" t="str">
        <f>'H7. Reconoc. antes que memor.'!E24</f>
        <v>-</v>
      </c>
      <c r="G84" s="7">
        <f>'H7. Reconoc. antes que memor.'!F24</f>
        <v>0</v>
      </c>
      <c r="H84" t="str">
        <f>'H7. Reconoc. antes que memor.'!G24</f>
        <v>-</v>
      </c>
      <c r="I84" s="7">
        <f>'H7. Reconoc. antes que memor.'!H24</f>
        <v>0</v>
      </c>
      <c r="J84" t="str">
        <f>'H7. Reconoc. antes que memor.'!I24</f>
        <v>-</v>
      </c>
      <c r="K84">
        <f xml:space="preserve"> IF(tbl_consolidado[[#This Row],[Valoracion Numerica]]=5,0,   IFERROR(0.5*(tbl_consolidado[[#This Row],[Valoracion numerica severidad impacto]]+tbl_consolidado[[#This Row],[Valoración numérica de persistencia de impacto]]+2),""))</f>
        <v>1</v>
      </c>
      <c r="L84" t="str">
        <f>IF(tbl_consolidado[[#This Row],[Valoracion de impacto]]=0,"No existe",IF(K84&lt;&gt;"",IF(K84&lt;=1,Datos!$L$4,IF(AND(K84&gt;1,K84&lt;=2),Datos!$L$5,IF(AND(K84&gt;2,K84&lt;=3),Datos!$L$6,IF(AND(K84&gt;3,K84&lt;=4),Datos!$L$7,IF(K84&gt;4,Datos!$L$8,""))))),""))</f>
        <v>Problema minimo</v>
      </c>
      <c r="M84">
        <f>'H7. Reconoc. antes que memor.'!J24</f>
        <v>0</v>
      </c>
    </row>
    <row r="85" spans="2:13" x14ac:dyDescent="0.25">
      <c r="B85" s="7" t="s">
        <v>207</v>
      </c>
      <c r="C85" s="7" t="str">
        <f>'H7. Reconoc. antes que memor.'!B25</f>
        <v>H7-13</v>
      </c>
      <c r="D85" t="str">
        <f>'H7. Reconoc. antes que memor.'!C25</f>
        <v>Las acciones u operaciones importantes son fáciles de identificar</v>
      </c>
      <c r="E85" s="7" t="str">
        <f>'H7. Reconoc. antes que memor.'!D25</f>
        <v>NA</v>
      </c>
      <c r="F85" t="str">
        <f>'H7. Reconoc. antes que memor.'!E25</f>
        <v>-</v>
      </c>
      <c r="G85" s="7">
        <f>'H7. Reconoc. antes que memor.'!F25</f>
        <v>0</v>
      </c>
      <c r="H85" t="str">
        <f>'H7. Reconoc. antes que memor.'!G25</f>
        <v>-</v>
      </c>
      <c r="I85" s="7">
        <f>'H7. Reconoc. antes que memor.'!H25</f>
        <v>0</v>
      </c>
      <c r="J85" t="str">
        <f>'H7. Reconoc. antes que memor.'!I25</f>
        <v>-</v>
      </c>
      <c r="K85">
        <f xml:space="preserve"> IF(tbl_consolidado[[#This Row],[Valoracion Numerica]]=5,0,   IFERROR(0.5*(tbl_consolidado[[#This Row],[Valoracion numerica severidad impacto]]+tbl_consolidado[[#This Row],[Valoración numérica de persistencia de impacto]]+2),""))</f>
        <v>1</v>
      </c>
      <c r="L85" t="str">
        <f>IF(tbl_consolidado[[#This Row],[Valoracion de impacto]]=0,"No existe",IF(K85&lt;&gt;"",IF(K85&lt;=1,Datos!$L$4,IF(AND(K85&gt;1,K85&lt;=2),Datos!$L$5,IF(AND(K85&gt;2,K85&lt;=3),Datos!$L$6,IF(AND(K85&gt;3,K85&lt;=4),Datos!$L$7,IF(K85&gt;4,Datos!$L$8,""))))),""))</f>
        <v>Problema minimo</v>
      </c>
      <c r="M85">
        <f>'H7. Reconoc. antes que memor.'!J25</f>
        <v>0</v>
      </c>
    </row>
    <row r="86" spans="2:13" x14ac:dyDescent="0.25">
      <c r="B86" s="7" t="s">
        <v>207</v>
      </c>
      <c r="C86" s="7" t="str">
        <f>'H7. Reconoc. antes que memor.'!B26</f>
        <v>H7-14</v>
      </c>
      <c r="D86" t="str">
        <f>'H7. Reconoc. antes que memor.'!C26</f>
        <v>La acción primaria es visualmente distinta de las acciones secundarias</v>
      </c>
      <c r="E86" s="7" t="str">
        <f>'H7. Reconoc. antes que memor.'!D26</f>
        <v>NA</v>
      </c>
      <c r="F86" t="str">
        <f>'H7. Reconoc. antes que memor.'!E26</f>
        <v>-</v>
      </c>
      <c r="G86" s="7">
        <f>'H7. Reconoc. antes que memor.'!F26</f>
        <v>0</v>
      </c>
      <c r="H86" t="str">
        <f>'H7. Reconoc. antes que memor.'!G26</f>
        <v>-</v>
      </c>
      <c r="I86" s="7">
        <f>'H7. Reconoc. antes que memor.'!H26</f>
        <v>0</v>
      </c>
      <c r="J86" t="str">
        <f>'H7. Reconoc. antes que memor.'!I26</f>
        <v>-</v>
      </c>
      <c r="K86">
        <f xml:space="preserve"> IF(tbl_consolidado[[#This Row],[Valoracion Numerica]]=5,0,   IFERROR(0.5*(tbl_consolidado[[#This Row],[Valoracion numerica severidad impacto]]+tbl_consolidado[[#This Row],[Valoración numérica de persistencia de impacto]]+2),""))</f>
        <v>1</v>
      </c>
      <c r="L86" t="str">
        <f>IF(tbl_consolidado[[#This Row],[Valoracion de impacto]]=0,"No existe",IF(K86&lt;&gt;"",IF(K86&lt;=1,Datos!$L$4,IF(AND(K86&gt;1,K86&lt;=2),Datos!$L$5,IF(AND(K86&gt;2,K86&lt;=3),Datos!$L$6,IF(AND(K86&gt;3,K86&lt;=4),Datos!$L$7,IF(K86&gt;4,Datos!$L$8,""))))),""))</f>
        <v>Problema minimo</v>
      </c>
      <c r="M86">
        <f>'H7. Reconoc. antes que memor.'!J26</f>
        <v>0</v>
      </c>
    </row>
    <row r="87" spans="2:13" x14ac:dyDescent="0.25">
      <c r="B87" s="7" t="s">
        <v>207</v>
      </c>
      <c r="C87" s="7" t="str">
        <f>'H7. Reconoc. antes que memor.'!B27</f>
        <v>H7-15</v>
      </c>
      <c r="D87" t="str">
        <f>'H7. Reconoc. antes que memor.'!C27</f>
        <v>Si en la interfaz es necesario rellenar un campo, existen opciones disponibles que permitan seleccionar en vez de recordar y escribir</v>
      </c>
      <c r="E87" s="7" t="str">
        <f>'H7. Reconoc. antes que memor.'!D27</f>
        <v>NA</v>
      </c>
      <c r="F87" t="str">
        <f>'H7. Reconoc. antes que memor.'!E27</f>
        <v>-</v>
      </c>
      <c r="G87" s="7">
        <f>'H7. Reconoc. antes que memor.'!F27</f>
        <v>0</v>
      </c>
      <c r="H87" t="str">
        <f>'H7. Reconoc. antes que memor.'!G27</f>
        <v>-</v>
      </c>
      <c r="I87" s="7">
        <f>'H7. Reconoc. antes que memor.'!H27</f>
        <v>0</v>
      </c>
      <c r="J87" t="str">
        <f>'H7. Reconoc. antes que memor.'!I27</f>
        <v>-</v>
      </c>
      <c r="K87">
        <f xml:space="preserve"> IF(tbl_consolidado[[#This Row],[Valoracion Numerica]]=5,0,   IFERROR(0.5*(tbl_consolidado[[#This Row],[Valoracion numerica severidad impacto]]+tbl_consolidado[[#This Row],[Valoración numérica de persistencia de impacto]]+2),""))</f>
        <v>1</v>
      </c>
      <c r="L87" t="str">
        <f>IF(tbl_consolidado[[#This Row],[Valoracion de impacto]]=0,"No existe",IF(K87&lt;&gt;"",IF(K87&lt;=1,Datos!$L$4,IF(AND(K87&gt;1,K87&lt;=2),Datos!$L$5,IF(AND(K87&gt;2,K87&lt;=3),Datos!$L$6,IF(AND(K87&gt;3,K87&lt;=4),Datos!$L$7,IF(K87&gt;4,Datos!$L$8,""))))),""))</f>
        <v>Problema minimo</v>
      </c>
      <c r="M87">
        <f>'H7. Reconoc. antes que memor.'!J27</f>
        <v>0</v>
      </c>
    </row>
    <row r="88" spans="2:13" x14ac:dyDescent="0.25">
      <c r="B88" s="7" t="s">
        <v>207</v>
      </c>
      <c r="C88" s="7" t="str">
        <f>'H7. Reconoc. antes que memor.'!B28</f>
        <v>H7-16</v>
      </c>
      <c r="D88" t="str">
        <f>'H7. Reconoc. antes que memor.'!C28</f>
        <v>Los objetivos de cada página del sitio web son concretos y bien definidos</v>
      </c>
      <c r="E88" s="7" t="str">
        <f>'H7. Reconoc. antes que memor.'!D28</f>
        <v>NA</v>
      </c>
      <c r="F88" t="str">
        <f>'H7. Reconoc. antes que memor.'!E28</f>
        <v>-</v>
      </c>
      <c r="G88" s="7">
        <f>'H7. Reconoc. antes que memor.'!F28</f>
        <v>0</v>
      </c>
      <c r="H88" t="str">
        <f>'H7. Reconoc. antes que memor.'!G28</f>
        <v>-</v>
      </c>
      <c r="I88" s="7">
        <f>'H7. Reconoc. antes que memor.'!H28</f>
        <v>0</v>
      </c>
      <c r="J88" t="str">
        <f>'H7. Reconoc. antes que memor.'!I28</f>
        <v>-</v>
      </c>
      <c r="K88">
        <f xml:space="preserve"> IF(tbl_consolidado[[#This Row],[Valoracion Numerica]]=5,0,   IFERROR(0.5*(tbl_consolidado[[#This Row],[Valoracion numerica severidad impacto]]+tbl_consolidado[[#This Row],[Valoración numérica de persistencia de impacto]]+2),""))</f>
        <v>1</v>
      </c>
      <c r="L88" t="str">
        <f>IF(tbl_consolidado[[#This Row],[Valoracion de impacto]]=0,"No existe",IF(K88&lt;&gt;"",IF(K88&lt;=1,Datos!$L$4,IF(AND(K88&gt;1,K88&lt;=2),Datos!$L$5,IF(AND(K88&gt;2,K88&lt;=3),Datos!$L$6,IF(AND(K88&gt;3,K88&lt;=4),Datos!$L$7,IF(K88&gt;4,Datos!$L$8,""))))),""))</f>
        <v>Problema minimo</v>
      </c>
      <c r="M88">
        <f>'H7. Reconoc. antes que memor.'!J28</f>
        <v>0</v>
      </c>
    </row>
    <row r="89" spans="2:13" x14ac:dyDescent="0.25">
      <c r="B89" s="7" t="s">
        <v>207</v>
      </c>
      <c r="C89" s="7" t="str">
        <f>'H7. Reconoc. antes que memor.'!B29</f>
        <v>H7-17</v>
      </c>
      <c r="D89" t="str">
        <f>'H7. Reconoc. antes que memor.'!C29</f>
        <v>En caso de existir tareas de varios pasos, se indica al usuario en cual se encuentra y cuantos le faltan para completar la tarea</v>
      </c>
      <c r="E89" s="7" t="str">
        <f>'H7. Reconoc. antes que memor.'!D29</f>
        <v>NA</v>
      </c>
      <c r="F89" t="str">
        <f>'H7. Reconoc. antes que memor.'!E29</f>
        <v>-</v>
      </c>
      <c r="G89" s="7">
        <f>'H7. Reconoc. antes que memor.'!F29</f>
        <v>0</v>
      </c>
      <c r="H89" t="str">
        <f>'H7. Reconoc. antes que memor.'!G29</f>
        <v>-</v>
      </c>
      <c r="I89" s="7">
        <f>'H7. Reconoc. antes que memor.'!H29</f>
        <v>0</v>
      </c>
      <c r="J89" t="str">
        <f>'H7. Reconoc. antes que memor.'!I29</f>
        <v>-</v>
      </c>
      <c r="K89">
        <f xml:space="preserve"> IF(tbl_consolidado[[#This Row],[Valoracion Numerica]]=5,0,   IFERROR(0.5*(tbl_consolidado[[#This Row],[Valoracion numerica severidad impacto]]+tbl_consolidado[[#This Row],[Valoración numérica de persistencia de impacto]]+2),""))</f>
        <v>1</v>
      </c>
      <c r="L89" t="str">
        <f>IF(tbl_consolidado[[#This Row],[Valoracion de impacto]]=0,"No existe",IF(K89&lt;&gt;"",IF(K89&lt;=1,Datos!$L$4,IF(AND(K89&gt;1,K89&lt;=2),Datos!$L$5,IF(AND(K89&gt;2,K89&lt;=3),Datos!$L$6,IF(AND(K89&gt;3,K89&lt;=4),Datos!$L$7,IF(K89&gt;4,Datos!$L$8,""))))),""))</f>
        <v>Problema minimo</v>
      </c>
      <c r="M89">
        <f>'H7. Reconoc. antes que memor.'!J29</f>
        <v>0</v>
      </c>
    </row>
    <row r="90" spans="2:13" x14ac:dyDescent="0.25">
      <c r="B90" s="7" t="s">
        <v>207</v>
      </c>
      <c r="C90" s="7" t="str">
        <f>'H7. Reconoc. antes que memor.'!B30</f>
        <v>H7-18</v>
      </c>
      <c r="D90" t="str">
        <f>'H7. Reconoc. antes que memor.'!C30</f>
        <v>Los elementos del sitio web están organizados de forma adecuada en base a convenciones</v>
      </c>
      <c r="E90" s="7" t="str">
        <f>'H7. Reconoc. antes que memor.'!D30</f>
        <v>NA</v>
      </c>
      <c r="F90" t="str">
        <f>'H7. Reconoc. antes que memor.'!E30</f>
        <v>-</v>
      </c>
      <c r="G90" s="7">
        <f>'H7. Reconoc. antes que memor.'!F30</f>
        <v>0</v>
      </c>
      <c r="H90" t="str">
        <f>'H7. Reconoc. antes que memor.'!G30</f>
        <v>-</v>
      </c>
      <c r="I90" s="7">
        <f>'H7. Reconoc. antes que memor.'!H30</f>
        <v>0</v>
      </c>
      <c r="J90" t="str">
        <f>'H7. Reconoc. antes que memor.'!I30</f>
        <v>-</v>
      </c>
      <c r="K90">
        <f xml:space="preserve"> IF(tbl_consolidado[[#This Row],[Valoracion Numerica]]=5,0,   IFERROR(0.5*(tbl_consolidado[[#This Row],[Valoracion numerica severidad impacto]]+tbl_consolidado[[#This Row],[Valoración numérica de persistencia de impacto]]+2),""))</f>
        <v>1</v>
      </c>
      <c r="L90" t="str">
        <f>IF(tbl_consolidado[[#This Row],[Valoracion de impacto]]=0,"No existe",IF(K90&lt;&gt;"",IF(K90&lt;=1,Datos!$L$4,IF(AND(K90&gt;1,K90&lt;=2),Datos!$L$5,IF(AND(K90&gt;2,K90&lt;=3),Datos!$L$6,IF(AND(K90&gt;3,K90&lt;=4),Datos!$L$7,IF(K90&gt;4,Datos!$L$8,""))))),""))</f>
        <v>Problema minimo</v>
      </c>
      <c r="M90">
        <f>'H7. Reconoc. antes que memor.'!J30</f>
        <v>0</v>
      </c>
    </row>
    <row r="91" spans="2:13" x14ac:dyDescent="0.25">
      <c r="B91" s="7" t="s">
        <v>207</v>
      </c>
      <c r="C91" s="7" t="str">
        <f>'H7. Reconoc. antes que memor.'!B31</f>
        <v>H7-19</v>
      </c>
      <c r="D91" t="str">
        <f>'H7. Reconoc. antes que memor.'!C31</f>
        <v>Se evita ocultar elementos, enlaces o acciones importantes</v>
      </c>
      <c r="E91" s="7" t="str">
        <f>'H7. Reconoc. antes que memor.'!D31</f>
        <v>NA</v>
      </c>
      <c r="F91" t="str">
        <f>'H7. Reconoc. antes que memor.'!E31</f>
        <v>-</v>
      </c>
      <c r="G91" s="7">
        <f>'H7. Reconoc. antes que memor.'!F31</f>
        <v>0</v>
      </c>
      <c r="H91" t="str">
        <f>'H7. Reconoc. antes que memor.'!G31</f>
        <v>-</v>
      </c>
      <c r="I91" s="7">
        <f>'H7. Reconoc. antes que memor.'!H31</f>
        <v>0</v>
      </c>
      <c r="J91" t="str">
        <f>'H7. Reconoc. antes que memor.'!I31</f>
        <v>-</v>
      </c>
      <c r="K91">
        <f xml:space="preserve"> IF(tbl_consolidado[[#This Row],[Valoracion Numerica]]=5,0,   IFERROR(0.5*(tbl_consolidado[[#This Row],[Valoracion numerica severidad impacto]]+tbl_consolidado[[#This Row],[Valoración numérica de persistencia de impacto]]+2),""))</f>
        <v>1</v>
      </c>
      <c r="L91" t="str">
        <f>IF(tbl_consolidado[[#This Row],[Valoracion de impacto]]=0,"No existe",IF(K91&lt;&gt;"",IF(K91&lt;=1,Datos!$L$4,IF(AND(K91&gt;1,K91&lt;=2),Datos!$L$5,IF(AND(K91&gt;2,K91&lt;=3),Datos!$L$6,IF(AND(K91&gt;3,K91&lt;=4),Datos!$L$7,IF(K91&gt;4,Datos!$L$8,""))))),""))</f>
        <v>Problema minimo</v>
      </c>
      <c r="M91">
        <f>'H7. Reconoc. antes que memor.'!J31</f>
        <v>0</v>
      </c>
    </row>
    <row r="92" spans="2:13" x14ac:dyDescent="0.25">
      <c r="B92" s="7" t="s">
        <v>248</v>
      </c>
      <c r="C92" s="7" t="str">
        <f>'H8. Flexibilidad y eficiencia'!B13</f>
        <v>H8-1</v>
      </c>
      <c r="D92" t="str">
        <f>'H8. Flexibilidad y eficiencia'!C13</f>
        <v>En caso de formulario que posean gran cantidad de campos, el usuario tiene la posibilidad de grabar los datos de manera parcial.</v>
      </c>
      <c r="E92" s="7" t="str">
        <f>'H8. Flexibilidad y eficiencia'!D13</f>
        <v>NA</v>
      </c>
      <c r="F92" t="str">
        <f>'H8. Flexibilidad y eficiencia'!E13</f>
        <v>-</v>
      </c>
      <c r="G92" s="7">
        <f>'H8. Flexibilidad y eficiencia'!F13</f>
        <v>0</v>
      </c>
      <c r="H92" t="str">
        <f>'H8. Flexibilidad y eficiencia'!G13</f>
        <v>-</v>
      </c>
      <c r="I92" s="7">
        <f>'H8. Flexibilidad y eficiencia'!H13</f>
        <v>0</v>
      </c>
      <c r="J92" t="str">
        <f>'H8. Flexibilidad y eficiencia'!I13</f>
        <v>-</v>
      </c>
      <c r="K92">
        <f xml:space="preserve"> IF(tbl_consolidado[[#This Row],[Valoracion Numerica]]=5,0,   IFERROR(0.5*(tbl_consolidado[[#This Row],[Valoracion numerica severidad impacto]]+tbl_consolidado[[#This Row],[Valoración numérica de persistencia de impacto]]+2),""))</f>
        <v>1</v>
      </c>
      <c r="L92" t="str">
        <f>IF(tbl_consolidado[[#This Row],[Valoracion de impacto]]=0,"No existe",IF(K92&lt;&gt;"",IF(K92&lt;=1,Datos!$L$4,IF(AND(K92&gt;1,K92&lt;=2),Datos!$L$5,IF(AND(K92&gt;2,K92&lt;=3),Datos!$L$6,IF(AND(K92&gt;3,K92&lt;=4),Datos!$L$7,IF(K92&gt;4,Datos!$L$8,""))))),""))</f>
        <v>Problema minimo</v>
      </c>
      <c r="M92">
        <f>'H8. Flexibilidad y eficiencia'!J13</f>
        <v>0</v>
      </c>
    </row>
    <row r="93" spans="2:13" x14ac:dyDescent="0.25">
      <c r="B93" s="7" t="s">
        <v>248</v>
      </c>
      <c r="C93" s="7" t="str">
        <f>'H8. Flexibilidad y eficiencia'!B14</f>
        <v>H8-2</v>
      </c>
      <c r="D93" t="str">
        <f>'H8. Flexibilidad y eficiencia'!C14</f>
        <v>En los formularios de datos, los usuarios tienen la opción directamente de hacer clic o utilizar atajos de teclado</v>
      </c>
      <c r="E93" s="7" t="str">
        <f>'H8. Flexibilidad y eficiencia'!D14</f>
        <v>NA</v>
      </c>
      <c r="F93" t="str">
        <f>'H8. Flexibilidad y eficiencia'!E14</f>
        <v>-</v>
      </c>
      <c r="G93" s="7">
        <f>'H8. Flexibilidad y eficiencia'!F14</f>
        <v>0</v>
      </c>
      <c r="H93" t="str">
        <f>'H8. Flexibilidad y eficiencia'!G14</f>
        <v>-</v>
      </c>
      <c r="I93" s="7">
        <f>'H8. Flexibilidad y eficiencia'!H14</f>
        <v>0</v>
      </c>
      <c r="J93" t="str">
        <f>'H8. Flexibilidad y eficiencia'!I14</f>
        <v>-</v>
      </c>
      <c r="K93">
        <f xml:space="preserve"> IF(tbl_consolidado[[#This Row],[Valoracion Numerica]]=5,0,   IFERROR(0.5*(tbl_consolidado[[#This Row],[Valoracion numerica severidad impacto]]+tbl_consolidado[[#This Row],[Valoración numérica de persistencia de impacto]]+2),""))</f>
        <v>1</v>
      </c>
      <c r="L93" t="str">
        <f>IF(tbl_consolidado[[#This Row],[Valoracion de impacto]]=0,"No existe",IF(K93&lt;&gt;"",IF(K93&lt;=1,Datos!$L$4,IF(AND(K93&gt;1,K93&lt;=2),Datos!$L$5,IF(AND(K93&gt;2,K93&lt;=3),Datos!$L$6,IF(AND(K93&gt;3,K93&lt;=4),Datos!$L$7,IF(K93&gt;4,Datos!$L$8,""))))),""))</f>
        <v>Problema minimo</v>
      </c>
      <c r="M93">
        <f>'H8. Flexibilidad y eficiencia'!J14</f>
        <v>0</v>
      </c>
    </row>
    <row r="94" spans="2:13" x14ac:dyDescent="0.25">
      <c r="B94" s="7" t="s">
        <v>248</v>
      </c>
      <c r="C94" s="7" t="str">
        <f>'H8. Flexibilidad y eficiencia'!B15</f>
        <v>H8-3</v>
      </c>
      <c r="D94" t="str">
        <f>'H8. Flexibilidad y eficiencia'!C15</f>
        <v>Se utiliza el diseño responsivo para que la página se adapte a diferentes resoluciones</v>
      </c>
      <c r="E94" s="7" t="str">
        <f>'H8. Flexibilidad y eficiencia'!D15</f>
        <v>NA</v>
      </c>
      <c r="F94" t="str">
        <f>'H8. Flexibilidad y eficiencia'!E15</f>
        <v>-</v>
      </c>
      <c r="G94" s="7">
        <f>'H8. Flexibilidad y eficiencia'!F15</f>
        <v>0</v>
      </c>
      <c r="H94" t="str">
        <f>'H8. Flexibilidad y eficiencia'!G15</f>
        <v>-</v>
      </c>
      <c r="I94" s="7">
        <f>'H8. Flexibilidad y eficiencia'!H15</f>
        <v>0</v>
      </c>
      <c r="J94" t="str">
        <f>'H8. Flexibilidad y eficiencia'!I15</f>
        <v>-</v>
      </c>
      <c r="K94">
        <f xml:space="preserve"> IF(tbl_consolidado[[#This Row],[Valoracion Numerica]]=5,0,   IFERROR(0.5*(tbl_consolidado[[#This Row],[Valoracion numerica severidad impacto]]+tbl_consolidado[[#This Row],[Valoración numérica de persistencia de impacto]]+2),""))</f>
        <v>1</v>
      </c>
      <c r="L94" t="str">
        <f>IF(tbl_consolidado[[#This Row],[Valoracion de impacto]]=0,"No existe",IF(K94&lt;&gt;"",IF(K94&lt;=1,Datos!$L$4,IF(AND(K94&gt;1,K94&lt;=2),Datos!$L$5,IF(AND(K94&gt;2,K94&lt;=3),Datos!$L$6,IF(AND(K94&gt;3,K94&lt;=4),Datos!$L$7,IF(K94&gt;4,Datos!$L$8,""))))),""))</f>
        <v>Problema minimo</v>
      </c>
      <c r="M94">
        <f>'H8. Flexibilidad y eficiencia'!J15</f>
        <v>0</v>
      </c>
    </row>
    <row r="95" spans="2:13" x14ac:dyDescent="0.25">
      <c r="B95" s="7" t="s">
        <v>257</v>
      </c>
      <c r="C95" s="7" t="str">
        <f>'H9. Diseno minimalista'!B13</f>
        <v>H9-1</v>
      </c>
      <c r="D95" t="str">
        <f>'H9. Diseno minimalista'!C13</f>
        <v>Solo se muestra información esencial, que permitan tomar decisiones al usuario</v>
      </c>
      <c r="E95" s="7" t="str">
        <f>'H9. Diseno minimalista'!D13</f>
        <v>NA</v>
      </c>
      <c r="F95" t="str">
        <f>'H9. Diseno minimalista'!E13</f>
        <v>-</v>
      </c>
      <c r="G95" s="7">
        <f>'H9. Diseno minimalista'!F13</f>
        <v>0</v>
      </c>
      <c r="H95" t="str">
        <f>'H9. Diseno minimalista'!G13</f>
        <v>-</v>
      </c>
      <c r="I95" s="7">
        <f>'H9. Diseno minimalista'!H13</f>
        <v>0</v>
      </c>
      <c r="J95" t="str">
        <f>'H9. Diseno minimalista'!I13</f>
        <v>-</v>
      </c>
      <c r="K95">
        <f xml:space="preserve"> IF(tbl_consolidado[[#This Row],[Valoracion Numerica]]=5,0,   IFERROR(0.5*(tbl_consolidado[[#This Row],[Valoracion numerica severidad impacto]]+tbl_consolidado[[#This Row],[Valoración numérica de persistencia de impacto]]+2),""))</f>
        <v>1</v>
      </c>
      <c r="L95" t="str">
        <f>IF(tbl_consolidado[[#This Row],[Valoracion de impacto]]=0,"No existe",IF(K95&lt;&gt;"",IF(K95&lt;=1,Datos!$L$4,IF(AND(K95&gt;1,K95&lt;=2),Datos!$L$5,IF(AND(K95&gt;2,K95&lt;=3),Datos!$L$6,IF(AND(K95&gt;3,K95&lt;=4),Datos!$L$7,IF(K95&gt;4,Datos!$L$8,""))))),""))</f>
        <v>Problema minimo</v>
      </c>
      <c r="M95">
        <f>'H9. Diseno minimalista'!J13</f>
        <v>0</v>
      </c>
    </row>
    <row r="96" spans="2:13" x14ac:dyDescent="0.25">
      <c r="B96" s="7" t="s">
        <v>257</v>
      </c>
      <c r="C96" s="7" t="str">
        <f>'H9. Diseno minimalista'!B14</f>
        <v>H9-2</v>
      </c>
      <c r="D96" t="str">
        <f>'H9. Diseno minimalista'!C14</f>
        <v>Se distinguen visualmente los iconos dependiendo de su significado conceptual</v>
      </c>
      <c r="E96" s="7" t="str">
        <f>'H9. Diseno minimalista'!D14</f>
        <v>NA</v>
      </c>
      <c r="F96" t="str">
        <f>'H9. Diseno minimalista'!E14</f>
        <v>-</v>
      </c>
      <c r="G96" s="7">
        <f>'H9. Diseno minimalista'!F14</f>
        <v>0</v>
      </c>
      <c r="H96" t="str">
        <f>'H9. Diseno minimalista'!G14</f>
        <v>-</v>
      </c>
      <c r="I96" s="7">
        <f>'H9. Diseno minimalista'!H14</f>
        <v>0</v>
      </c>
      <c r="J96" t="str">
        <f>'H9. Diseno minimalista'!I14</f>
        <v>-</v>
      </c>
      <c r="K96">
        <f xml:space="preserve"> IF(tbl_consolidado[[#This Row],[Valoracion Numerica]]=5,0,   IFERROR(0.5*(tbl_consolidado[[#This Row],[Valoracion numerica severidad impacto]]+tbl_consolidado[[#This Row],[Valoración numérica de persistencia de impacto]]+2),""))</f>
        <v>1</v>
      </c>
      <c r="L96" t="str">
        <f>IF(tbl_consolidado[[#This Row],[Valoracion de impacto]]=0,"No existe",IF(K96&lt;&gt;"",IF(K96&lt;=1,Datos!$L$4,IF(AND(K96&gt;1,K96&lt;=2),Datos!$L$5,IF(AND(K96&gt;2,K96&lt;=3),Datos!$L$6,IF(AND(K96&gt;3,K96&lt;=4),Datos!$L$7,IF(K96&gt;4,Datos!$L$8,""))))),""))</f>
        <v>Problema minimo</v>
      </c>
      <c r="M96">
        <f>'H9. Diseno minimalista'!J14</f>
        <v>0</v>
      </c>
    </row>
    <row r="97" spans="2:13" x14ac:dyDescent="0.25">
      <c r="B97" s="7" t="s">
        <v>257</v>
      </c>
      <c r="C97" s="7" t="str">
        <f>'H9. Diseno minimalista'!B15</f>
        <v>H9-3</v>
      </c>
      <c r="D97" t="str">
        <f>'H9. Diseno minimalista'!C15</f>
        <v>Cada icono se resalta con respecto a su fondo</v>
      </c>
      <c r="E97" s="7" t="str">
        <f>'H9. Diseno minimalista'!D15</f>
        <v>NA</v>
      </c>
      <c r="F97" t="str">
        <f>'H9. Diseno minimalista'!E15</f>
        <v>-</v>
      </c>
      <c r="G97" s="7">
        <f>'H9. Diseno minimalista'!F15</f>
        <v>0</v>
      </c>
      <c r="H97" t="str">
        <f>'H9. Diseno minimalista'!G15</f>
        <v>-</v>
      </c>
      <c r="I97" s="7">
        <f>'H9. Diseno minimalista'!H15</f>
        <v>0</v>
      </c>
      <c r="J97" t="str">
        <f>'H9. Diseno minimalista'!I15</f>
        <v>-</v>
      </c>
      <c r="K97">
        <f xml:space="preserve"> IF(tbl_consolidado[[#This Row],[Valoracion Numerica]]=5,0,   IFERROR(0.5*(tbl_consolidado[[#This Row],[Valoracion numerica severidad impacto]]+tbl_consolidado[[#This Row],[Valoración numérica de persistencia de impacto]]+2),""))</f>
        <v>1</v>
      </c>
      <c r="L97" t="str">
        <f>IF(tbl_consolidado[[#This Row],[Valoracion de impacto]]=0,"No existe",IF(K97&lt;&gt;"",IF(K97&lt;=1,Datos!$L$4,IF(AND(K97&gt;1,K97&lt;=2),Datos!$L$5,IF(AND(K97&gt;2,K97&lt;=3),Datos!$L$6,IF(AND(K97&gt;3,K97&lt;=4),Datos!$L$7,IF(K97&gt;4,Datos!$L$8,""))))),""))</f>
        <v>Problema minimo</v>
      </c>
      <c r="M97">
        <f>'H9. Diseno minimalista'!J15</f>
        <v>0</v>
      </c>
    </row>
    <row r="98" spans="2:13" x14ac:dyDescent="0.25">
      <c r="B98" s="7" t="s">
        <v>257</v>
      </c>
      <c r="C98" s="7" t="str">
        <f>'H9. Diseno minimalista'!B16</f>
        <v>H9-4</v>
      </c>
      <c r="D98" t="str">
        <f>'H9. Diseno minimalista'!C16</f>
        <v>Las etiquetas de los campos son familiares y descriptivos</v>
      </c>
      <c r="E98" s="7" t="str">
        <f>'H9. Diseno minimalista'!D16</f>
        <v>NA</v>
      </c>
      <c r="F98" t="str">
        <f>'H9. Diseno minimalista'!E16</f>
        <v>-</v>
      </c>
      <c r="G98" s="7">
        <f>'H9. Diseno minimalista'!F16</f>
        <v>0</v>
      </c>
      <c r="H98" t="str">
        <f>'H9. Diseno minimalista'!G16</f>
        <v>-</v>
      </c>
      <c r="I98" s="7">
        <f>'H9. Diseno minimalista'!H16</f>
        <v>0</v>
      </c>
      <c r="J98" t="str">
        <f>'H9. Diseno minimalista'!I16</f>
        <v>-</v>
      </c>
      <c r="K98">
        <f xml:space="preserve"> IF(tbl_consolidado[[#This Row],[Valoracion Numerica]]=5,0,   IFERROR(0.5*(tbl_consolidado[[#This Row],[Valoracion numerica severidad impacto]]+tbl_consolidado[[#This Row],[Valoración numérica de persistencia de impacto]]+2),""))</f>
        <v>1</v>
      </c>
      <c r="L98" t="str">
        <f>IF(tbl_consolidado[[#This Row],[Valoracion de impacto]]=0,"No existe",IF(K98&lt;&gt;"",IF(K98&lt;=1,Datos!$L$4,IF(AND(K98&gt;1,K98&lt;=2),Datos!$L$5,IF(AND(K98&gt;2,K98&lt;=3),Datos!$L$6,IF(AND(K98&gt;3,K98&lt;=4),Datos!$L$7,IF(K98&gt;4,Datos!$L$8,""))))),""))</f>
        <v>Problema minimo</v>
      </c>
      <c r="M98">
        <f>'H9. Diseno minimalista'!J16</f>
        <v>0</v>
      </c>
    </row>
    <row r="99" spans="2:13" x14ac:dyDescent="0.25">
      <c r="B99" s="7" t="s">
        <v>257</v>
      </c>
      <c r="C99" s="7" t="str">
        <f>'H9. Diseno minimalista'!B17</f>
        <v>H9-5</v>
      </c>
      <c r="D99" t="str">
        <f>'H9. Diseno minimalista'!C17</f>
        <v>El sitio web ofrece una interfaz limpia, sin ruido visual y con un uso correcto del espacio</v>
      </c>
      <c r="E99" s="7" t="str">
        <f>'H9. Diseno minimalista'!D17</f>
        <v>NA</v>
      </c>
      <c r="F99" t="str">
        <f>'H9. Diseno minimalista'!E17</f>
        <v>-</v>
      </c>
      <c r="G99" s="7">
        <f>'H9. Diseno minimalista'!F17</f>
        <v>0</v>
      </c>
      <c r="H99" t="str">
        <f>'H9. Diseno minimalista'!G17</f>
        <v>-</v>
      </c>
      <c r="I99" s="7">
        <f>'H9. Diseno minimalista'!H17</f>
        <v>0</v>
      </c>
      <c r="J99" t="str">
        <f>'H9. Diseno minimalista'!I17</f>
        <v>-</v>
      </c>
      <c r="K99">
        <f xml:space="preserve"> IF(tbl_consolidado[[#This Row],[Valoracion Numerica]]=5,0,   IFERROR(0.5*(tbl_consolidado[[#This Row],[Valoracion numerica severidad impacto]]+tbl_consolidado[[#This Row],[Valoración numérica de persistencia de impacto]]+2),""))</f>
        <v>1</v>
      </c>
      <c r="L99" t="str">
        <f>IF(tbl_consolidado[[#This Row],[Valoracion de impacto]]=0,"No existe",IF(K99&lt;&gt;"",IF(K99&lt;=1,Datos!$L$4,IF(AND(K99&gt;1,K99&lt;=2),Datos!$L$5,IF(AND(K99&gt;2,K99&lt;=3),Datos!$L$6,IF(AND(K99&gt;3,K99&lt;=4),Datos!$L$7,IF(K99&gt;4,Datos!$L$8,""))))),""))</f>
        <v>Problema minimo</v>
      </c>
      <c r="M99">
        <f>'H9. Diseno minimalista'!J17</f>
        <v>0</v>
      </c>
    </row>
    <row r="100" spans="2:13" x14ac:dyDescent="0.25">
      <c r="B100" s="7" t="s">
        <v>257</v>
      </c>
      <c r="C100" s="7" t="str">
        <f>'H9. Diseno minimalista'!B18</f>
        <v>H9-6</v>
      </c>
      <c r="D100" t="str">
        <f>'H9. Diseno minimalista'!C18</f>
        <v>Cada elemento de información se distingue del resto y no se confunde con otros</v>
      </c>
      <c r="E100" s="7" t="str">
        <f>'H9. Diseno minimalista'!D18</f>
        <v>NA</v>
      </c>
      <c r="F100" t="str">
        <f>'H9. Diseno minimalista'!E18</f>
        <v>-</v>
      </c>
      <c r="G100" s="7">
        <f>'H9. Diseno minimalista'!F18</f>
        <v>0</v>
      </c>
      <c r="H100" t="str">
        <f>'H9. Diseno minimalista'!G18</f>
        <v>-</v>
      </c>
      <c r="I100" s="7">
        <f>'H9. Diseno minimalista'!H18</f>
        <v>0</v>
      </c>
      <c r="J100" t="str">
        <f>'H9. Diseno minimalista'!I18</f>
        <v>-</v>
      </c>
      <c r="K100">
        <f xml:space="preserve"> IF(tbl_consolidado[[#This Row],[Valoracion Numerica]]=5,0,   IFERROR(0.5*(tbl_consolidado[[#This Row],[Valoracion numerica severidad impacto]]+tbl_consolidado[[#This Row],[Valoración numérica de persistencia de impacto]]+2),""))</f>
        <v>1</v>
      </c>
      <c r="L100" t="str">
        <f>IF(tbl_consolidado[[#This Row],[Valoracion de impacto]]=0,"No existe",IF(K100&lt;&gt;"",IF(K100&lt;=1,Datos!$L$4,IF(AND(K100&gt;1,K100&lt;=2),Datos!$L$5,IF(AND(K100&gt;2,K100&lt;=3),Datos!$L$6,IF(AND(K100&gt;3,K100&lt;=4),Datos!$L$7,IF(K100&gt;4,Datos!$L$8,""))))),""))</f>
        <v>Problema minimo</v>
      </c>
      <c r="M100">
        <f>'H9. Diseno minimalista'!J18</f>
        <v>0</v>
      </c>
    </row>
    <row r="101" spans="2:13" x14ac:dyDescent="0.25">
      <c r="B101" s="7" t="s">
        <v>257</v>
      </c>
      <c r="C101" s="7" t="str">
        <f>'H9. Diseno minimalista'!B19</f>
        <v>H9-7</v>
      </c>
      <c r="D101" t="str">
        <f>'H9. Diseno minimalista'!C19</f>
        <v>El texto es fácil de hojear, está bien organizado y las frases no son muy largas.</v>
      </c>
      <c r="E101" s="7" t="str">
        <f>'H9. Diseno minimalista'!D19</f>
        <v>NA</v>
      </c>
      <c r="F101" t="str">
        <f>'H9. Diseno minimalista'!E19</f>
        <v>-</v>
      </c>
      <c r="G101" s="7">
        <f>'H9. Diseno minimalista'!F19</f>
        <v>0</v>
      </c>
      <c r="H101" t="str">
        <f>'H9. Diseno minimalista'!G19</f>
        <v>-</v>
      </c>
      <c r="I101" s="7">
        <f>'H9. Diseno minimalista'!H19</f>
        <v>0</v>
      </c>
      <c r="J101" t="str">
        <f>'H9. Diseno minimalista'!I19</f>
        <v>-</v>
      </c>
      <c r="K101">
        <f xml:space="preserve"> IF(tbl_consolidado[[#This Row],[Valoracion Numerica]]=5,0,   IFERROR(0.5*(tbl_consolidado[[#This Row],[Valoracion numerica severidad impacto]]+tbl_consolidado[[#This Row],[Valoración numérica de persistencia de impacto]]+2),""))</f>
        <v>1</v>
      </c>
      <c r="L101" t="str">
        <f>IF(tbl_consolidado[[#This Row],[Valoracion de impacto]]=0,"No existe",IF(K101&lt;&gt;"",IF(K101&lt;=1,Datos!$L$4,IF(AND(K101&gt;1,K101&lt;=2),Datos!$L$5,IF(AND(K101&gt;2,K101&lt;=3),Datos!$L$6,IF(AND(K101&gt;3,K101&lt;=4),Datos!$L$7,IF(K101&gt;4,Datos!$L$8,""))))),""))</f>
        <v>Problema minimo</v>
      </c>
      <c r="M101">
        <f>'H9. Diseno minimalista'!J19</f>
        <v>0</v>
      </c>
    </row>
    <row r="102" spans="2:13" x14ac:dyDescent="0.25">
      <c r="B102" s="7" t="s">
        <v>257</v>
      </c>
      <c r="C102" s="7" t="str">
        <f>'H9. Diseno minimalista'!B20</f>
        <v>H9-8</v>
      </c>
      <c r="D102" t="str">
        <f>'H9. Diseno minimalista'!C20</f>
        <v>Son todos los formularios fáciles de entender y fáciles de llenar</v>
      </c>
      <c r="E102" s="7" t="str">
        <f>'H9. Diseno minimalista'!D20</f>
        <v>NA</v>
      </c>
      <c r="F102" t="str">
        <f>'H9. Diseno minimalista'!E20</f>
        <v>-</v>
      </c>
      <c r="G102" s="7">
        <f>'H9. Diseno minimalista'!F20</f>
        <v>0</v>
      </c>
      <c r="H102" t="str">
        <f>'H9. Diseno minimalista'!G20</f>
        <v>-</v>
      </c>
      <c r="I102" s="7">
        <f>'H9. Diseno minimalista'!H20</f>
        <v>0</v>
      </c>
      <c r="J102" t="str">
        <f>'H9. Diseno minimalista'!I20</f>
        <v>-</v>
      </c>
      <c r="K102">
        <f xml:space="preserve"> IF(tbl_consolidado[[#This Row],[Valoracion Numerica]]=5,0,   IFERROR(0.5*(tbl_consolidado[[#This Row],[Valoracion numerica severidad impacto]]+tbl_consolidado[[#This Row],[Valoración numérica de persistencia de impacto]]+2),""))</f>
        <v>1</v>
      </c>
      <c r="L102" t="str">
        <f>IF(tbl_consolidado[[#This Row],[Valoracion de impacto]]=0,"No existe",IF(K102&lt;&gt;"",IF(K102&lt;=1,Datos!$L$4,IF(AND(K102&gt;1,K102&lt;=2),Datos!$L$5,IF(AND(K102&gt;2,K102&lt;=3),Datos!$L$6,IF(AND(K102&gt;3,K102&lt;=4),Datos!$L$7,IF(K102&gt;4,Datos!$L$8,""))))),""))</f>
        <v>Problema minimo</v>
      </c>
      <c r="M102">
        <f>'H9. Diseno minimalista'!J20</f>
        <v>0</v>
      </c>
    </row>
    <row r="103" spans="2:13" x14ac:dyDescent="0.25">
      <c r="B103" s="7" t="s">
        <v>257</v>
      </c>
      <c r="C103" s="7" t="str">
        <f>'H9. Diseno minimalista'!B21</f>
        <v>H9-9</v>
      </c>
      <c r="D103" t="str">
        <f>'H9. Diseno minimalista'!C21</f>
        <v>Las tablas con gran cantidad de información poseen paginación</v>
      </c>
      <c r="E103" s="7" t="str">
        <f>'H9. Diseno minimalista'!D21</f>
        <v>NA</v>
      </c>
      <c r="F103" t="str">
        <f>'H9. Diseno minimalista'!E21</f>
        <v>-</v>
      </c>
      <c r="G103" s="7">
        <f>'H9. Diseno minimalista'!F21</f>
        <v>0</v>
      </c>
      <c r="H103" t="str">
        <f>'H9. Diseno minimalista'!G21</f>
        <v>-</v>
      </c>
      <c r="I103" s="7">
        <f>'H9. Diseno minimalista'!H21</f>
        <v>0</v>
      </c>
      <c r="J103" t="str">
        <f>'H9. Diseno minimalista'!I21</f>
        <v>-</v>
      </c>
      <c r="K103">
        <f xml:space="preserve"> IF(tbl_consolidado[[#This Row],[Valoracion Numerica]]=5,0,   IFERROR(0.5*(tbl_consolidado[[#This Row],[Valoracion numerica severidad impacto]]+tbl_consolidado[[#This Row],[Valoración numérica de persistencia de impacto]]+2),""))</f>
        <v>1</v>
      </c>
      <c r="L103" t="str">
        <f>IF(tbl_consolidado[[#This Row],[Valoracion de impacto]]=0,"No existe",IF(K103&lt;&gt;"",IF(K103&lt;=1,Datos!$L$4,IF(AND(K103&gt;1,K103&lt;=2),Datos!$L$5,IF(AND(K103&gt;2,K103&lt;=3),Datos!$L$6,IF(AND(K103&gt;3,K103&lt;=4),Datos!$L$7,IF(K103&gt;4,Datos!$L$8,""))))),""))</f>
        <v>Problema minimo</v>
      </c>
      <c r="M103">
        <f>'H9. Diseno minimalista'!J21</f>
        <v>0</v>
      </c>
    </row>
    <row r="104" spans="2:13" x14ac:dyDescent="0.25">
      <c r="B104" s="7" t="s">
        <v>278</v>
      </c>
      <c r="C104" s="7" t="str">
        <f>tbl_h10[Código Sub-heurística]</f>
        <v>H10-1</v>
      </c>
      <c r="D104" t="str">
        <f>tbl_h10[Descripción de Heurística]</f>
        <v>Proveer una documentación clara, centrada en las tareas del usuario sobre el sistema</v>
      </c>
      <c r="E104" s="7" t="str">
        <f>tbl_h10[Valoracion Numerica]</f>
        <v>NA</v>
      </c>
      <c r="F104" t="str">
        <f>tbl_h10[Valoración]</f>
        <v>-</v>
      </c>
      <c r="G104" s="7">
        <f>tbl_h10[Valoracion numerica severidad impacto]</f>
        <v>0</v>
      </c>
      <c r="H104" t="str">
        <f>tbl_h10[Severidad del impacto]</f>
        <v>-</v>
      </c>
      <c r="I104" s="7">
        <f>tbl_h10[Valoración numérica de persistencia de impacto]</f>
        <v>0</v>
      </c>
      <c r="J104" t="str">
        <f>tbl_h10[Persistencia del impacto]</f>
        <v>-</v>
      </c>
      <c r="K104">
        <f xml:space="preserve"> IF(tbl_consolidado[[#This Row],[Valoracion Numerica]]=5,0,   IFERROR(0.5*(tbl_consolidado[[#This Row],[Valoracion numerica severidad impacto]]+tbl_consolidado[[#This Row],[Valoración numérica de persistencia de impacto]]+2),""))</f>
        <v>1</v>
      </c>
      <c r="L104" t="str">
        <f>IF(tbl_consolidado[[#This Row],[Valoracion de impacto]]=0,"No existe",IF(K104&lt;&gt;"",IF(K104&lt;=1,Datos!$L$4,IF(AND(K104&gt;1,K104&lt;=2),Datos!$L$5,IF(AND(K104&gt;2,K104&lt;=3),Datos!$L$6,IF(AND(K104&gt;3,K104&lt;=4),Datos!$L$7,IF(K104&gt;4,Datos!$L$8,""))))),""))</f>
        <v>Problema minimo</v>
      </c>
      <c r="M104">
        <f>tbl_h10[Observaciónes]</f>
        <v>0</v>
      </c>
    </row>
    <row r="105" spans="2:13" x14ac:dyDescent="0.25">
      <c r="B105" s="7" t="s">
        <v>283</v>
      </c>
      <c r="C105" s="7" t="str">
        <f>'H11. Contenido'!B13</f>
        <v>H11-1</v>
      </c>
      <c r="D105" t="str">
        <f>'H11. Contenido'!C13</f>
        <v>Existe una zona de soporte al usuario en caso de errores o dudas</v>
      </c>
      <c r="E105" s="7" t="str">
        <f>'H11. Contenido'!D13</f>
        <v>NA</v>
      </c>
      <c r="F105" t="str">
        <f>'H11. Contenido'!E13</f>
        <v>-</v>
      </c>
      <c r="G105" s="7">
        <f>'H11. Contenido'!F13</f>
        <v>0</v>
      </c>
      <c r="H105" t="str">
        <f>'H11. Contenido'!G13</f>
        <v>-</v>
      </c>
      <c r="I105" s="7">
        <f>'H11. Contenido'!H13</f>
        <v>0</v>
      </c>
      <c r="J105" t="str">
        <f>'H11. Contenido'!I13</f>
        <v>-</v>
      </c>
      <c r="K105">
        <f xml:space="preserve"> IF(tbl_consolidado[[#This Row],[Valoracion Numerica]]=5,0,   IFERROR(0.5*(tbl_consolidado[[#This Row],[Valoracion numerica severidad impacto]]+tbl_consolidado[[#This Row],[Valoración numérica de persistencia de impacto]]+2),""))</f>
        <v>1</v>
      </c>
      <c r="L105" t="str">
        <f>IF(tbl_consolidado[[#This Row],[Valoracion de impacto]]=0,"No existe",IF(K105&lt;&gt;"",IF(K105&lt;=1,Datos!$L$4,IF(AND(K105&gt;1,K105&lt;=2),Datos!$L$5,IF(AND(K105&gt;2,K105&lt;=3),Datos!$L$6,IF(AND(K105&gt;3,K105&lt;=4),Datos!$L$7,IF(K105&gt;4,Datos!$L$8,""))))),""))</f>
        <v>Problema minimo</v>
      </c>
      <c r="M105">
        <f>'H11. Contenido'!J13</f>
        <v>0</v>
      </c>
    </row>
    <row r="106" spans="2:13" x14ac:dyDescent="0.25">
      <c r="B106" s="7" t="s">
        <v>283</v>
      </c>
      <c r="C106" s="7" t="str">
        <f>'H11. Contenido'!B14</f>
        <v>H11-2</v>
      </c>
      <c r="D106" t="str">
        <f>'H11. Contenido'!C14</f>
        <v>Existe información de los calendarios o programación académica</v>
      </c>
      <c r="E106" s="7" t="str">
        <f>'H11. Contenido'!D14</f>
        <v>NA</v>
      </c>
      <c r="F106" t="str">
        <f>'H11. Contenido'!E14</f>
        <v>-</v>
      </c>
      <c r="G106" s="7">
        <f>'H11. Contenido'!F14</f>
        <v>0</v>
      </c>
      <c r="H106" t="str">
        <f>'H11. Contenido'!G14</f>
        <v>-</v>
      </c>
      <c r="I106" s="7">
        <f>'H11. Contenido'!H14</f>
        <v>0</v>
      </c>
      <c r="J106" t="str">
        <f>'H11. Contenido'!I14</f>
        <v>-</v>
      </c>
      <c r="K106">
        <f xml:space="preserve"> IF(tbl_consolidado[[#This Row],[Valoracion Numerica]]=5,0,   IFERROR(0.5*(tbl_consolidado[[#This Row],[Valoracion numerica severidad impacto]]+tbl_consolidado[[#This Row],[Valoración numérica de persistencia de impacto]]+2),""))</f>
        <v>1</v>
      </c>
      <c r="L106" t="str">
        <f>IF(tbl_consolidado[[#This Row],[Valoracion de impacto]]=0,"No existe",IF(K106&lt;&gt;"",IF(K106&lt;=1,Datos!$L$4,IF(AND(K106&gt;1,K106&lt;=2),Datos!$L$5,IF(AND(K106&gt;2,K106&lt;=3),Datos!$L$6,IF(AND(K106&gt;3,K106&lt;=4),Datos!$L$7,IF(K106&gt;4,Datos!$L$8,""))))),""))</f>
        <v>Problema minimo</v>
      </c>
      <c r="M106">
        <f>'H11. Contenido'!J14</f>
        <v>0</v>
      </c>
    </row>
    <row r="107" spans="2:13" x14ac:dyDescent="0.25">
      <c r="B107" s="7" t="s">
        <v>283</v>
      </c>
      <c r="C107" s="7" t="str">
        <f>'H11. Contenido'!B15</f>
        <v>H11-3</v>
      </c>
      <c r="D107" t="str">
        <f>'H11. Contenido'!C15</f>
        <v>Existe información acerca de las notificas importantes</v>
      </c>
      <c r="E107" s="7" t="str">
        <f>'H11. Contenido'!D15</f>
        <v>NA</v>
      </c>
      <c r="F107" t="str">
        <f>'H11. Contenido'!E15</f>
        <v>-</v>
      </c>
      <c r="G107" s="7">
        <f>'H11. Contenido'!F15</f>
        <v>0</v>
      </c>
      <c r="H107" t="str">
        <f>'H11. Contenido'!G15</f>
        <v>-</v>
      </c>
      <c r="I107" s="7">
        <f>'H11. Contenido'!H15</f>
        <v>0</v>
      </c>
      <c r="J107" t="str">
        <f>'H11. Contenido'!I15</f>
        <v>-</v>
      </c>
      <c r="K107">
        <f xml:space="preserve"> IF(tbl_consolidado[[#This Row],[Valoracion Numerica]]=5,0,   IFERROR(0.5*(tbl_consolidado[[#This Row],[Valoracion numerica severidad impacto]]+tbl_consolidado[[#This Row],[Valoración numérica de persistencia de impacto]]+2),""))</f>
        <v>1</v>
      </c>
      <c r="L107" t="str">
        <f>IF(tbl_consolidado[[#This Row],[Valoracion de impacto]]=0,"No existe",IF(K107&lt;&gt;"",IF(K107&lt;=1,Datos!$L$4,IF(AND(K107&gt;1,K107&lt;=2),Datos!$L$5,IF(AND(K107&gt;2,K107&lt;=3),Datos!$L$6,IF(AND(K107&gt;3,K107&lt;=4),Datos!$L$7,IF(K107&gt;4,Datos!$L$8,""))))),""))</f>
        <v>Problema minimo</v>
      </c>
      <c r="M107">
        <f>'H11. Contenido'!J15</f>
        <v>0</v>
      </c>
    </row>
    <row r="108" spans="2:13" x14ac:dyDescent="0.25">
      <c r="B108" s="7" t="s">
        <v>283</v>
      </c>
      <c r="C108" s="7" t="str">
        <f>'H11. Contenido'!B16</f>
        <v>H11-4</v>
      </c>
      <c r="D108" t="str">
        <f>'H11. Contenido'!C16</f>
        <v>Existe información de eventos</v>
      </c>
      <c r="E108" s="7" t="str">
        <f>'H11. Contenido'!D16</f>
        <v>NA</v>
      </c>
      <c r="F108" t="str">
        <f>'H11. Contenido'!E16</f>
        <v>-</v>
      </c>
      <c r="G108" s="7">
        <f>'H11. Contenido'!F16</f>
        <v>0</v>
      </c>
      <c r="H108" t="str">
        <f>'H11. Contenido'!G16</f>
        <v>-</v>
      </c>
      <c r="I108" s="7">
        <f>'H11. Contenido'!H16</f>
        <v>0</v>
      </c>
      <c r="J108" t="str">
        <f>'H11. Contenido'!I16</f>
        <v>-</v>
      </c>
      <c r="K108">
        <f xml:space="preserve"> IF(tbl_consolidado[[#This Row],[Valoracion Numerica]]=5,0,   IFERROR(0.5*(tbl_consolidado[[#This Row],[Valoracion numerica severidad impacto]]+tbl_consolidado[[#This Row],[Valoración numérica de persistencia de impacto]]+2),""))</f>
        <v>1</v>
      </c>
      <c r="L108" t="str">
        <f>IF(tbl_consolidado[[#This Row],[Valoracion de impacto]]=0,"No existe",IF(K108&lt;&gt;"",IF(K108&lt;=1,Datos!$L$4,IF(AND(K108&gt;1,K108&lt;=2),Datos!$L$5,IF(AND(K108&gt;2,K108&lt;=3),Datos!$L$6,IF(AND(K108&gt;3,K108&lt;=4),Datos!$L$7,IF(K108&gt;4,Datos!$L$8,""))))),""))</f>
        <v>Problema minimo</v>
      </c>
      <c r="M108">
        <f>'H11. Contenido'!J16</f>
        <v>0</v>
      </c>
    </row>
    <row r="109" spans="2:13" x14ac:dyDescent="0.25">
      <c r="B109" s="7" t="s">
        <v>283</v>
      </c>
      <c r="C109" s="7" t="str">
        <f>'H11. Contenido'!B17</f>
        <v>H11-5</v>
      </c>
      <c r="D109" t="str">
        <f>'H11. Contenido'!C17</f>
        <v>Existe información académica del usuarios que se identifican en el sistema</v>
      </c>
      <c r="E109" s="7" t="str">
        <f>'H11. Contenido'!D17</f>
        <v>NA</v>
      </c>
      <c r="F109" t="str">
        <f>'H11. Contenido'!E17</f>
        <v>-</v>
      </c>
      <c r="G109" s="7">
        <f>'H11. Contenido'!F17</f>
        <v>0</v>
      </c>
      <c r="H109" t="str">
        <f>'H11. Contenido'!G17</f>
        <v>-</v>
      </c>
      <c r="I109" s="7">
        <f>'H11. Contenido'!H17</f>
        <v>0</v>
      </c>
      <c r="J109" t="str">
        <f>'H11. Contenido'!I17</f>
        <v>-</v>
      </c>
      <c r="K109">
        <f xml:space="preserve"> IF(tbl_consolidado[[#This Row],[Valoracion Numerica]]=5,0,   IFERROR(0.5*(tbl_consolidado[[#This Row],[Valoracion numerica severidad impacto]]+tbl_consolidado[[#This Row],[Valoración numérica de persistencia de impacto]]+2),""))</f>
        <v>1</v>
      </c>
      <c r="L109" t="str">
        <f>IF(tbl_consolidado[[#This Row],[Valoracion de impacto]]=0,"No existe",IF(K109&lt;&gt;"",IF(K109&lt;=1,Datos!$L$4,IF(AND(K109&gt;1,K109&lt;=2),Datos!$L$5,IF(AND(K109&gt;2,K109&lt;=3),Datos!$L$6,IF(AND(K109&gt;3,K109&lt;=4),Datos!$L$7,IF(K109&gt;4,Datos!$L$8,""))))),""))</f>
        <v>Problema minimo</v>
      </c>
      <c r="M109">
        <f>'H11. Contenido'!J17</f>
        <v>0</v>
      </c>
    </row>
    <row r="110" spans="2:13" x14ac:dyDescent="0.25">
      <c r="B110" s="7" t="s">
        <v>296</v>
      </c>
      <c r="C110" s="7" t="str">
        <f>'H12. Confiabilidad y eficiencia'!B13</f>
        <v>H12-1</v>
      </c>
      <c r="D110" t="str">
        <f>'H12. Confiabilidad y eficiencia'!C13</f>
        <v>Se evitan los enlaces rotos, enlaces inválidos, nodos web muertos(sin enlaces de retorno)</v>
      </c>
      <c r="E110" s="7" t="str">
        <f>'H12. Confiabilidad y eficiencia'!D13</f>
        <v>NA</v>
      </c>
      <c r="F110" t="str">
        <f>'H12. Confiabilidad y eficiencia'!E13</f>
        <v>-</v>
      </c>
      <c r="G110" s="7">
        <f>'H12. Confiabilidad y eficiencia'!F13</f>
        <v>0</v>
      </c>
      <c r="H110" t="str">
        <f>'H12. Confiabilidad y eficiencia'!G13</f>
        <v>-</v>
      </c>
      <c r="I110" s="7">
        <f>'H12. Confiabilidad y eficiencia'!H13</f>
        <v>0</v>
      </c>
      <c r="J110" t="str">
        <f>'H12. Confiabilidad y eficiencia'!I13</f>
        <v>-</v>
      </c>
      <c r="K110">
        <f xml:space="preserve"> IF(tbl_consolidado[[#This Row],[Valoracion Numerica]]=5,0,   IFERROR(0.5*(tbl_consolidado[[#This Row],[Valoracion numerica severidad impacto]]+tbl_consolidado[[#This Row],[Valoración numérica de persistencia de impacto]]+2),""))</f>
        <v>1</v>
      </c>
      <c r="L110" t="str">
        <f>IF(tbl_consolidado[[#This Row],[Valoracion de impacto]]=0,"No existe",IF(K110&lt;&gt;"",IF(K110&lt;=1,Datos!$L$4,IF(AND(K110&gt;1,K110&lt;=2),Datos!$L$5,IF(AND(K110&gt;2,K110&lt;=3),Datos!$L$6,IF(AND(K110&gt;3,K110&lt;=4),Datos!$L$7,IF(K110&gt;4,Datos!$L$8,""))))),""))</f>
        <v>Problema minimo</v>
      </c>
      <c r="M110">
        <f>'H12. Confiabilidad y eficiencia'!J13</f>
        <v>0</v>
      </c>
    </row>
    <row r="111" spans="2:13" x14ac:dyDescent="0.25">
      <c r="B111" s="7" t="s">
        <v>296</v>
      </c>
      <c r="C111" s="7" t="str">
        <f>'H12. Confiabilidad y eficiencia'!B14</f>
        <v>H12-2</v>
      </c>
      <c r="D111" t="str">
        <f>'H12. Confiabilidad y eficiencia'!C14</f>
        <v>Se evitan nodos destinos(inesperados) en construcción</v>
      </c>
      <c r="E111" s="7" t="str">
        <f>'H12. Confiabilidad y eficiencia'!D14</f>
        <v>NA</v>
      </c>
      <c r="F111" t="str">
        <f>'H12. Confiabilidad y eficiencia'!E14</f>
        <v>-</v>
      </c>
      <c r="G111" s="7">
        <f>'H12. Confiabilidad y eficiencia'!F14</f>
        <v>0</v>
      </c>
      <c r="H111" t="str">
        <f>'H12. Confiabilidad y eficiencia'!G14</f>
        <v>-</v>
      </c>
      <c r="I111" s="7">
        <f>'H12. Confiabilidad y eficiencia'!H14</f>
        <v>0</v>
      </c>
      <c r="J111" t="str">
        <f>'H12. Confiabilidad y eficiencia'!I14</f>
        <v>-</v>
      </c>
      <c r="K111">
        <f xml:space="preserve"> IF(tbl_consolidado[[#This Row],[Valoracion Numerica]]=5,0,   IFERROR(0.5*(tbl_consolidado[[#This Row],[Valoracion numerica severidad impacto]]+tbl_consolidado[[#This Row],[Valoración numérica de persistencia de impacto]]+2),""))</f>
        <v>1</v>
      </c>
      <c r="L111" t="str">
        <f>IF(tbl_consolidado[[#This Row],[Valoracion de impacto]]=0,"No existe",IF(K111&lt;&gt;"",IF(K111&lt;=1,Datos!$L$4,IF(AND(K111&gt;1,K111&lt;=2),Datos!$L$5,IF(AND(K111&gt;2,K111&lt;=3),Datos!$L$6,IF(AND(K111&gt;3,K111&lt;=4),Datos!$L$7,IF(K111&gt;4,Datos!$L$8,""))))),""))</f>
        <v>Problema minimo</v>
      </c>
      <c r="M111">
        <f>'H12. Confiabilidad y eficiencia'!J14</f>
        <v>0</v>
      </c>
    </row>
    <row r="112" spans="2:13" x14ac:dyDescent="0.25">
      <c r="B112" s="7" t="s">
        <v>296</v>
      </c>
      <c r="C112" s="7" t="str">
        <f>'H12. Confiabilidad y eficiencia'!B15</f>
        <v>H12-3</v>
      </c>
      <c r="D112" t="str">
        <f>'H12. Confiabilidad y eficiencia'!C15</f>
        <v>Las páginas son cargadas en tiempos óptimos</v>
      </c>
      <c r="E112" s="7" t="str">
        <f>'H12. Confiabilidad y eficiencia'!D15</f>
        <v>NA</v>
      </c>
      <c r="F112" t="str">
        <f>'H12. Confiabilidad y eficiencia'!E15</f>
        <v>-</v>
      </c>
      <c r="G112" s="7">
        <f>'H12. Confiabilidad y eficiencia'!F15</f>
        <v>0</v>
      </c>
      <c r="H112" t="str">
        <f>'H12. Confiabilidad y eficiencia'!G15</f>
        <v>-</v>
      </c>
      <c r="I112" s="7">
        <f>'H12. Confiabilidad y eficiencia'!H15</f>
        <v>0</v>
      </c>
      <c r="J112" t="str">
        <f>'H12. Confiabilidad y eficiencia'!I15</f>
        <v>-</v>
      </c>
      <c r="K112">
        <f xml:space="preserve"> IF(tbl_consolidado[[#This Row],[Valoracion Numerica]]=5,0,   IFERROR(0.5*(tbl_consolidado[[#This Row],[Valoracion numerica severidad impacto]]+tbl_consolidado[[#This Row],[Valoración numérica de persistencia de impacto]]+2),""))</f>
        <v>1</v>
      </c>
      <c r="L112" t="str">
        <f>IF(tbl_consolidado[[#This Row],[Valoracion de impacto]]=0,"No existe",IF(K112&lt;&gt;"",IF(K112&lt;=1,Datos!$L$4,IF(AND(K112&gt;1,K112&lt;=2),Datos!$L$5,IF(AND(K112&gt;2,K112&lt;=3),Datos!$L$6,IF(AND(K112&gt;3,K112&lt;=4),Datos!$L$7,IF(K112&gt;4,Datos!$L$8,""))))),""))</f>
        <v>Problema minimo</v>
      </c>
      <c r="M112">
        <f>'H12. Confiabilidad y eficiencia'!J15</f>
        <v>0</v>
      </c>
    </row>
    <row r="113" spans="2:13" x14ac:dyDescent="0.25">
      <c r="B113" s="7" t="s">
        <v>296</v>
      </c>
      <c r="C113" s="7" t="str">
        <f>'H12. Confiabilidad y eficiencia'!B16</f>
        <v>H12-4</v>
      </c>
      <c r="D113" t="str">
        <f>'H12. Confiabilidad y eficiencia'!C16</f>
        <v>Se evita el uso de link engañosos</v>
      </c>
      <c r="E113" s="7" t="str">
        <f>'H12. Confiabilidad y eficiencia'!D16</f>
        <v>NA</v>
      </c>
      <c r="F113" t="str">
        <f>'H12. Confiabilidad y eficiencia'!E16</f>
        <v>-</v>
      </c>
      <c r="G113" s="7">
        <f>'H12. Confiabilidad y eficiencia'!F16</f>
        <v>0</v>
      </c>
      <c r="H113" t="str">
        <f>'H12. Confiabilidad y eficiencia'!G16</f>
        <v>-</v>
      </c>
      <c r="I113" s="7">
        <f>'H12. Confiabilidad y eficiencia'!H16</f>
        <v>0</v>
      </c>
      <c r="J113" t="str">
        <f>'H12. Confiabilidad y eficiencia'!I16</f>
        <v>-</v>
      </c>
      <c r="K113">
        <f xml:space="preserve"> IF(tbl_consolidado[[#This Row],[Valoracion Numerica]]=5,0,   IFERROR(0.5*(tbl_consolidado[[#This Row],[Valoracion numerica severidad impacto]]+tbl_consolidado[[#This Row],[Valoración numérica de persistencia de impacto]]+2),""))</f>
        <v>1</v>
      </c>
      <c r="L113" t="str">
        <f>IF(tbl_consolidado[[#This Row],[Valoracion de impacto]]=0,"No existe",IF(K113&lt;&gt;"",IF(K113&lt;=1,Datos!$L$4,IF(AND(K113&gt;1,K113&lt;=2),Datos!$L$5,IF(AND(K113&gt;2,K113&lt;=3),Datos!$L$6,IF(AND(K113&gt;3,K113&lt;=4),Datos!$L$7,IF(K113&gt;4,Datos!$L$8,""))))),""))</f>
        <v>Problema minimo</v>
      </c>
      <c r="M113">
        <f>'H12. Confiabilidad y eficiencia'!J16</f>
        <v>0</v>
      </c>
    </row>
    <row r="114" spans="2:13" x14ac:dyDescent="0.25">
      <c r="B114" s="7" t="s">
        <v>296</v>
      </c>
      <c r="C114" s="7" t="str">
        <f>'H12. Confiabilidad y eficiencia'!B17</f>
        <v>H12-5</v>
      </c>
      <c r="D114" t="str">
        <f>'H12. Confiabilidad y eficiencia'!C17</f>
        <v>Los enlaces identifican claramente a donde apuntan en base a un título apropiado para que el usuario pueda predecir la respuesta del sistema ante su acción</v>
      </c>
      <c r="E114" s="7" t="str">
        <f>'H12. Confiabilidad y eficiencia'!D17</f>
        <v>NA</v>
      </c>
      <c r="F114" t="str">
        <f>'H12. Confiabilidad y eficiencia'!E17</f>
        <v>-</v>
      </c>
      <c r="G114" s="7">
        <f>'H12. Confiabilidad y eficiencia'!F17</f>
        <v>0</v>
      </c>
      <c r="H114" t="str">
        <f>'H12. Confiabilidad y eficiencia'!G17</f>
        <v>-</v>
      </c>
      <c r="I114" s="7">
        <f>'H12. Confiabilidad y eficiencia'!H17</f>
        <v>0</v>
      </c>
      <c r="J114" t="str">
        <f>'H12. Confiabilidad y eficiencia'!I17</f>
        <v>-</v>
      </c>
      <c r="K114">
        <f xml:space="preserve"> IF(tbl_consolidado[[#This Row],[Valoracion Numerica]]=5,0,   IFERROR(0.5*(tbl_consolidado[[#This Row],[Valoracion numerica severidad impacto]]+tbl_consolidado[[#This Row],[Valoración numérica de persistencia de impacto]]+2),""))</f>
        <v>1</v>
      </c>
      <c r="L114" t="str">
        <f>IF(tbl_consolidado[[#This Row],[Valoracion de impacto]]=0,"No existe",IF(K114&lt;&gt;"",IF(K114&lt;=1,Datos!$L$4,IF(AND(K114&gt;1,K114&lt;=2),Datos!$L$5,IF(AND(K114&gt;2,K114&lt;=3),Datos!$L$6,IF(AND(K114&gt;3,K114&lt;=4),Datos!$L$7,IF(K114&gt;4,Datos!$L$8,""))))),""))</f>
        <v>Problema minimo</v>
      </c>
      <c r="M114">
        <f>'H12. Confiabilidad y eficiencia'!J17</f>
        <v>0</v>
      </c>
    </row>
    <row r="115" spans="2:13" x14ac:dyDescent="0.25">
      <c r="B115" s="7" t="s">
        <v>296</v>
      </c>
      <c r="C115" s="7" t="str">
        <f>'H12. Confiabilidad y eficiencia'!B18</f>
        <v>H12-6</v>
      </c>
      <c r="D115" t="str">
        <f>'H12. Confiabilidad y eficiencia'!C18</f>
        <v>Se puede ejecutar las tareas sin la necesidad de una documentación?</v>
      </c>
      <c r="E115" s="7" t="str">
        <f>'H12. Confiabilidad y eficiencia'!D18</f>
        <v>NA</v>
      </c>
      <c r="F115" t="str">
        <f>'H12. Confiabilidad y eficiencia'!E18</f>
        <v>-</v>
      </c>
      <c r="G115" s="7">
        <f>'H12. Confiabilidad y eficiencia'!F18</f>
        <v>0</v>
      </c>
      <c r="H115" t="str">
        <f>'H12. Confiabilidad y eficiencia'!G18</f>
        <v>-</v>
      </c>
      <c r="I115" s="7">
        <f>'H12. Confiabilidad y eficiencia'!H18</f>
        <v>0</v>
      </c>
      <c r="J115" t="str">
        <f>'H12. Confiabilidad y eficiencia'!I18</f>
        <v>-</v>
      </c>
      <c r="K115">
        <f xml:space="preserve"> IF(tbl_consolidado[[#This Row],[Valoracion Numerica]]=5,0,   IFERROR(0.5*(tbl_consolidado[[#This Row],[Valoracion numerica severidad impacto]]+tbl_consolidado[[#This Row],[Valoración numérica de persistencia de impacto]]+2),""))</f>
        <v>1</v>
      </c>
      <c r="L115" t="str">
        <f>IF(tbl_consolidado[[#This Row],[Valoracion de impacto]]=0,"No existe",IF(K115&lt;&gt;"",IF(K115&lt;=1,Datos!$L$4,IF(AND(K115&gt;1,K115&lt;=2),Datos!$L$5,IF(AND(K115&gt;2,K115&lt;=3),Datos!$L$6,IF(AND(K115&gt;3,K115&lt;=4),Datos!$L$7,IF(K115&gt;4,Datos!$L$8,""))))),""))</f>
        <v>Problema minimo</v>
      </c>
      <c r="M115">
        <f>'H12. Confiabilidad y eficiencia'!J18</f>
        <v>0</v>
      </c>
    </row>
    <row r="116" spans="2:13" x14ac:dyDescent="0.25">
      <c r="B116" s="7" t="s">
        <v>311</v>
      </c>
      <c r="C116" s="7" t="str">
        <f>'H13. Búsqueda'!B13</f>
        <v>H13-1</v>
      </c>
      <c r="D116" t="str">
        <f>'H13. Búsqueda'!C13</f>
        <v>Existe un campo de búsqueda que facilita la ubicación de tareas implementadas en el sistema</v>
      </c>
      <c r="E116" s="7" t="str">
        <f>'H13. Búsqueda'!D13</f>
        <v>NA</v>
      </c>
      <c r="F116" t="str">
        <f>'H13. Búsqueda'!E13</f>
        <v>-</v>
      </c>
      <c r="G116" s="7" t="str">
        <f>'H13. Búsqueda'!F13</f>
        <v>NA</v>
      </c>
      <c r="H116" t="str">
        <f>'H13. Búsqueda'!G13</f>
        <v>-</v>
      </c>
      <c r="I116" s="7" t="str">
        <f>'H13. Búsqueda'!H13</f>
        <v>NA</v>
      </c>
      <c r="J116" t="str">
        <f>'H13. Búsqueda'!I13</f>
        <v>-</v>
      </c>
      <c r="K116" t="str">
        <f xml:space="preserve"> IF(tbl_consolidado[[#This Row],[Valoracion Numerica]]=5,0,   IFERROR(0.5*(tbl_consolidado[[#This Row],[Valoracion numerica severidad impacto]]+tbl_consolidado[[#This Row],[Valoración numérica de persistencia de impacto]]+2),""))</f>
        <v/>
      </c>
      <c r="L116" t="str">
        <f>IF(tbl_consolidado[[#This Row],[Valoracion de impacto]]=0,"No existe",IF(K116&lt;&gt;"",IF(K116&lt;=1,Datos!$L$4,IF(AND(K116&gt;1,K116&lt;=2),Datos!$L$5,IF(AND(K116&gt;2,K116&lt;=3),Datos!$L$6,IF(AND(K116&gt;3,K116&lt;=4),Datos!$L$7,IF(K116&gt;4,Datos!$L$8,""))))),""))</f>
        <v/>
      </c>
      <c r="M116">
        <f>'H13. Búsqueda'!J13</f>
        <v>0</v>
      </c>
    </row>
    <row r="117" spans="2:13" x14ac:dyDescent="0.25">
      <c r="B117" s="7" t="s">
        <v>311</v>
      </c>
      <c r="C117" s="7" t="str">
        <f>'H13. Búsqueda'!B14</f>
        <v>H13-2</v>
      </c>
      <c r="D117" t="str">
        <f>'H13. Búsqueda'!C14</f>
        <v>Existen campos de búsqueda restringido por secciones, en caso de tener cantidades grande de datos</v>
      </c>
      <c r="E117" s="7" t="str">
        <f>'H13. Búsqueda'!D14</f>
        <v>NA</v>
      </c>
      <c r="F117" t="str">
        <f>'H13. Búsqueda'!E14</f>
        <v>-</v>
      </c>
      <c r="G117" s="7" t="str">
        <f>'H13. Búsqueda'!F14</f>
        <v>NA</v>
      </c>
      <c r="H117" t="str">
        <f>'H13. Búsqueda'!G14</f>
        <v>-</v>
      </c>
      <c r="I117" s="7" t="str">
        <f>'H13. Búsqueda'!H14</f>
        <v>NA</v>
      </c>
      <c r="J117" t="str">
        <f>'H13. Búsqueda'!I14</f>
        <v>-</v>
      </c>
      <c r="K117" t="str">
        <f xml:space="preserve"> IF(tbl_consolidado[[#This Row],[Valoracion Numerica]]=5,0,   IFERROR(0.5*(tbl_consolidado[[#This Row],[Valoracion numerica severidad impacto]]+tbl_consolidado[[#This Row],[Valoración numérica de persistencia de impacto]]+2),""))</f>
        <v/>
      </c>
      <c r="L117" t="str">
        <f>IF(tbl_consolidado[[#This Row],[Valoracion de impacto]]=0,"No existe",IF(K117&lt;&gt;"",IF(K117&lt;=1,Datos!$L$4,IF(AND(K117&gt;1,K117&lt;=2),Datos!$L$5,IF(AND(K117&gt;2,K117&lt;=3),Datos!$L$6,IF(AND(K117&gt;3,K117&lt;=4),Datos!$L$7,IF(K117&gt;4,Datos!$L$8,""))))),""))</f>
        <v/>
      </c>
      <c r="M117">
        <f>'H13. Búsqueda'!J14</f>
        <v>0</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zoomScale="75" zoomScaleNormal="75"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31.5703125"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36</v>
      </c>
      <c r="D4" s="16"/>
      <c r="G4" s="9" t="s">
        <v>37</v>
      </c>
      <c r="H4" s="9"/>
      <c r="I4" s="21" t="str">
        <f>IFERROR(AVERAGEIF(tbl_h1[Valoracion Numerica],"&lt;&gt;NA"),"")</f>
        <v/>
      </c>
      <c r="J4" s="10" t="str">
        <f>_xlfn.IFNA(INDEX(Datos!B4:C8,MATCH('H1. Visibilidad y estado'!I4,Datos!C4:C8),1),"")</f>
        <v/>
      </c>
    </row>
    <row r="5" spans="2:10" x14ac:dyDescent="0.25">
      <c r="B5" s="9" t="s">
        <v>38</v>
      </c>
      <c r="C5" s="10" t="s">
        <v>39</v>
      </c>
      <c r="D5" s="16"/>
      <c r="G5" s="9" t="s">
        <v>40</v>
      </c>
      <c r="H5" s="9"/>
      <c r="I5" s="21" t="str">
        <f>IFERROR(AVERAGEIF(tbl_h1[Valoracion numerica severidad impacto],"&lt;&gt;NA"),"")</f>
        <v/>
      </c>
      <c r="J5" s="10" t="str">
        <f>_xlfn.IFNA(INDEX(Datos!E4:F7,MATCH('H1. Visibilidad y estado'!I5,Datos!F4:F7),1),"")</f>
        <v/>
      </c>
    </row>
    <row r="6" spans="2:10" x14ac:dyDescent="0.25">
      <c r="B6" s="75" t="s">
        <v>41</v>
      </c>
      <c r="C6" s="76" t="s">
        <v>42</v>
      </c>
      <c r="D6" s="17"/>
      <c r="G6" s="9" t="s">
        <v>43</v>
      </c>
      <c r="H6" s="9"/>
      <c r="I6" s="21" t="str">
        <f>IFERROR(AVERAGEIF(tbl_h1[Valoración numérica de persistencia de impacto],"&lt;&gt;NA"),"")</f>
        <v/>
      </c>
      <c r="J6" s="10" t="str">
        <f>_xlfn.IFNA(INDEX(Datos!H4:I7,MATCH('H1. Visibilidad y estado'!I6,Datos!I4:I7),1),"")</f>
        <v/>
      </c>
    </row>
    <row r="7" spans="2:10" x14ac:dyDescent="0.25">
      <c r="B7" s="75"/>
      <c r="C7" s="76"/>
      <c r="D7" s="17"/>
      <c r="G7" s="69" t="s">
        <v>44</v>
      </c>
      <c r="H7" s="22"/>
      <c r="I7" s="23" t="str">
        <f xml:space="preserve"> IF(AND(I5&lt;&gt;"",I6&lt;&gt;""), (I5+I6+2)*0.5,"")</f>
        <v/>
      </c>
      <c r="J7" s="24" t="str">
        <f>IF(I7&lt;&gt;"",IF(I7&lt;=1,Datos!L4,IF(AND('H1. Visibilidad y estado'!I7&gt;1,'H1. Visibilidad y estado'!I7&lt;=2),Datos!L5,IF(AND('H1. Visibilidad y estado'!I7&gt;2,'H1. Visibilidad y estado'!I7&lt;=3),Datos!L6,IF(AND('H1. Visibilidad y estado'!I7&gt;3,'H1. Visibilidad y estado'!I7&lt;=4),Datos!L7,IF('H1. Visibilidad y estado'!I7&gt;4,Datos!L8,""))))),"")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52</v>
      </c>
    </row>
    <row r="13" spans="2:10" ht="30" x14ac:dyDescent="0.25">
      <c r="B13" s="1" t="s">
        <v>53</v>
      </c>
      <c r="C13" s="18" t="s">
        <v>54</v>
      </c>
      <c r="D13" s="11" t="str">
        <f>VLOOKUP(tbl_h1[[#This Row],[Valoración]],Datos!$B$3:$C$8,2,FALSE)</f>
        <v>NA</v>
      </c>
      <c r="E13" s="8" t="s">
        <v>7</v>
      </c>
      <c r="F13" s="8"/>
      <c r="G13" s="8" t="s">
        <v>7</v>
      </c>
      <c r="H13" s="8"/>
      <c r="I13" s="8" t="s">
        <v>7</v>
      </c>
      <c r="J13" s="8"/>
    </row>
    <row r="14" spans="2:10" x14ac:dyDescent="0.25">
      <c r="B14" s="1" t="s">
        <v>55</v>
      </c>
      <c r="C14" s="18" t="s">
        <v>56</v>
      </c>
      <c r="D14" s="11" t="str">
        <f>VLOOKUP(tbl_h1[[#This Row],[Valoración]],Datos!$B$3:$C$8,2,FALSE)</f>
        <v>NA</v>
      </c>
      <c r="E14" s="8" t="s">
        <v>7</v>
      </c>
      <c r="F14" s="8"/>
      <c r="G14" s="8" t="s">
        <v>7</v>
      </c>
      <c r="H14" s="8"/>
      <c r="I14" s="8" t="s">
        <v>7</v>
      </c>
      <c r="J14" s="8"/>
    </row>
    <row r="15" spans="2:10" ht="45" x14ac:dyDescent="0.25">
      <c r="B15" s="1" t="s">
        <v>57</v>
      </c>
      <c r="C15" s="18" t="s">
        <v>58</v>
      </c>
      <c r="D15" s="11" t="str">
        <f>VLOOKUP(tbl_h1[[#This Row],[Valoración]],Datos!$B$3:$C$8,2,FALSE)</f>
        <v>NA</v>
      </c>
      <c r="E15" s="8" t="s">
        <v>7</v>
      </c>
      <c r="F15" s="8"/>
      <c r="G15" s="8" t="s">
        <v>7</v>
      </c>
      <c r="H15" s="8"/>
      <c r="I15" s="8" t="s">
        <v>7</v>
      </c>
      <c r="J15" s="8"/>
    </row>
    <row r="16" spans="2:10" ht="60" x14ac:dyDescent="0.25">
      <c r="B16" s="1" t="s">
        <v>59</v>
      </c>
      <c r="C16" s="18" t="s">
        <v>60</v>
      </c>
      <c r="D16" s="18" t="str">
        <f>VLOOKUP(tbl_h1[[#This Row],[Valoración]],Datos!$B$3:$C$8,2,FALSE)</f>
        <v>NA</v>
      </c>
      <c r="E16" s="8" t="s">
        <v>7</v>
      </c>
      <c r="F16" s="43"/>
      <c r="G16" s="8" t="s">
        <v>7</v>
      </c>
      <c r="H16" s="43"/>
      <c r="I16" s="8" t="s">
        <v>7</v>
      </c>
      <c r="J16" s="8"/>
    </row>
    <row r="17" spans="2:10" ht="30" x14ac:dyDescent="0.25">
      <c r="B17" s="1" t="s">
        <v>61</v>
      </c>
      <c r="C17" s="18" t="s">
        <v>62</v>
      </c>
      <c r="D17" s="18" t="str">
        <f>VLOOKUP(tbl_h1[[#This Row],[Valoración]],Datos!$B$3:$C$8,2,FALSE)</f>
        <v>NA</v>
      </c>
      <c r="E17" s="8" t="s">
        <v>7</v>
      </c>
      <c r="F17" s="43"/>
      <c r="G17" s="8" t="s">
        <v>7</v>
      </c>
      <c r="H17" s="43"/>
      <c r="I17" s="8" t="s">
        <v>7</v>
      </c>
      <c r="J17" s="8"/>
    </row>
    <row r="18" spans="2:10" x14ac:dyDescent="0.25">
      <c r="B18" s="1" t="s">
        <v>63</v>
      </c>
      <c r="C18" s="18" t="s">
        <v>64</v>
      </c>
      <c r="D18" s="18" t="str">
        <f>VLOOKUP(tbl_h1[[#This Row],[Valoración]],Datos!$B$3:$C$8,2,FALSE)</f>
        <v>NA</v>
      </c>
      <c r="E18" s="8" t="s">
        <v>7</v>
      </c>
      <c r="F18" s="43"/>
      <c r="G18" s="8" t="s">
        <v>7</v>
      </c>
      <c r="H18" s="43"/>
      <c r="I18" s="8" t="s">
        <v>7</v>
      </c>
      <c r="J18" s="8"/>
    </row>
    <row r="19" spans="2:10" ht="45" x14ac:dyDescent="0.25">
      <c r="B19" s="1" t="s">
        <v>65</v>
      </c>
      <c r="C19" s="18" t="s">
        <v>66</v>
      </c>
      <c r="D19" s="18" t="str">
        <f>VLOOKUP(tbl_h1[[#This Row],[Valoración]],Datos!$B$3:$C$8,2,FALSE)</f>
        <v>NA</v>
      </c>
      <c r="E19" s="8" t="s">
        <v>7</v>
      </c>
      <c r="F19" s="43"/>
      <c r="G19" s="8" t="s">
        <v>7</v>
      </c>
      <c r="H19" s="43"/>
      <c r="I19" s="8" t="s">
        <v>7</v>
      </c>
      <c r="J19" s="8"/>
    </row>
    <row r="20" spans="2:10" x14ac:dyDescent="0.25">
      <c r="B20" s="1" t="s">
        <v>67</v>
      </c>
      <c r="C20" s="18" t="s">
        <v>68</v>
      </c>
      <c r="D20" s="18" t="str">
        <f>VLOOKUP(tbl_h1[[#This Row],[Valoración]],Datos!$B$3:$C$8,2,FALSE)</f>
        <v>NA</v>
      </c>
      <c r="E20" s="8" t="s">
        <v>7</v>
      </c>
      <c r="F20" s="43"/>
      <c r="G20" s="8" t="s">
        <v>7</v>
      </c>
      <c r="H20" s="43"/>
      <c r="I20" s="8" t="s">
        <v>7</v>
      </c>
      <c r="J20" s="8"/>
    </row>
    <row r="21" spans="2:10" ht="30" x14ac:dyDescent="0.25">
      <c r="B21" s="1" t="s">
        <v>69</v>
      </c>
      <c r="C21" s="18" t="s">
        <v>70</v>
      </c>
      <c r="D21" s="18" t="str">
        <f>VLOOKUP(tbl_h1[[#This Row],[Valoración]],Datos!$B$3:$C$8,2,FALSE)</f>
        <v>NA</v>
      </c>
      <c r="E21" s="8" t="s">
        <v>7</v>
      </c>
      <c r="F21" s="43"/>
      <c r="G21" s="8" t="s">
        <v>7</v>
      </c>
      <c r="H21" s="43"/>
      <c r="I21" s="8" t="s">
        <v>7</v>
      </c>
      <c r="J21" s="8"/>
    </row>
    <row r="22" spans="2:10" ht="30" x14ac:dyDescent="0.25">
      <c r="B22" s="1" t="s">
        <v>71</v>
      </c>
      <c r="C22" s="18" t="s">
        <v>72</v>
      </c>
      <c r="D22" s="18" t="str">
        <f>VLOOKUP(tbl_h1[[#This Row],[Valoración]],Datos!$B$3:$C$8,2,FALSE)</f>
        <v>NA</v>
      </c>
      <c r="E22" s="8" t="s">
        <v>7</v>
      </c>
      <c r="F22" s="43"/>
      <c r="G22" s="8" t="s">
        <v>7</v>
      </c>
      <c r="H22" s="43"/>
      <c r="I22" s="8" t="s">
        <v>7</v>
      </c>
      <c r="J22" s="8"/>
    </row>
    <row r="23" spans="2:10" ht="30" x14ac:dyDescent="0.25">
      <c r="B23" s="1" t="s">
        <v>73</v>
      </c>
      <c r="C23" s="18" t="s">
        <v>74</v>
      </c>
      <c r="D23" s="18" t="str">
        <f>VLOOKUP(tbl_h1[[#This Row],[Valoración]],Datos!$B$3:$C$8,2,FALSE)</f>
        <v>NA</v>
      </c>
      <c r="E23" s="8" t="s">
        <v>7</v>
      </c>
      <c r="F23" s="43"/>
      <c r="G23" s="8" t="s">
        <v>7</v>
      </c>
      <c r="H23" s="43"/>
      <c r="I23" s="8" t="s">
        <v>7</v>
      </c>
      <c r="J23" s="8"/>
    </row>
    <row r="24" spans="2:10" ht="30" x14ac:dyDescent="0.25">
      <c r="B24" s="1" t="s">
        <v>75</v>
      </c>
      <c r="C24" s="18" t="s">
        <v>76</v>
      </c>
      <c r="D24" s="18" t="str">
        <f>VLOOKUP(tbl_h1[[#This Row],[Valoración]],Datos!$B$3:$C$8,2,FALSE)</f>
        <v>NA</v>
      </c>
      <c r="E24" s="8" t="s">
        <v>7</v>
      </c>
      <c r="F24" s="43"/>
      <c r="G24" s="8" t="s">
        <v>7</v>
      </c>
      <c r="H24" s="43"/>
      <c r="I24" s="8" t="s">
        <v>7</v>
      </c>
      <c r="J24" s="8"/>
    </row>
    <row r="25" spans="2:10" ht="30" x14ac:dyDescent="0.25">
      <c r="B25" s="1" t="s">
        <v>77</v>
      </c>
      <c r="C25" s="18" t="s">
        <v>78</v>
      </c>
      <c r="D25" s="18" t="str">
        <f>VLOOKUP(tbl_h1[[#This Row],[Valoración]],Datos!$B$3:$C$8,2,FALSE)</f>
        <v>NA</v>
      </c>
      <c r="E25" s="8" t="s">
        <v>7</v>
      </c>
      <c r="F25" s="43"/>
      <c r="G25" s="8" t="s">
        <v>7</v>
      </c>
      <c r="H25" s="43"/>
      <c r="I25" s="8" t="s">
        <v>7</v>
      </c>
      <c r="J25" s="8"/>
    </row>
    <row r="26" spans="2:10" x14ac:dyDescent="0.25">
      <c r="B26" s="1" t="s">
        <v>79</v>
      </c>
      <c r="C26" s="18" t="s">
        <v>80</v>
      </c>
      <c r="D26" s="18" t="str">
        <f>VLOOKUP(tbl_h1[[#This Row],[Valoración]],Datos!$B$3:$C$8,2,FALSE)</f>
        <v>NA</v>
      </c>
      <c r="E26" s="8" t="s">
        <v>7</v>
      </c>
      <c r="F26" s="43"/>
      <c r="G26" s="8" t="s">
        <v>7</v>
      </c>
      <c r="H26" s="43"/>
      <c r="I26" s="8" t="s">
        <v>7</v>
      </c>
      <c r="J26" s="8"/>
    </row>
  </sheetData>
  <dataConsolidate/>
  <mergeCells count="4">
    <mergeCell ref="B2:C2"/>
    <mergeCell ref="B6:B7"/>
    <mergeCell ref="C6:C7"/>
    <mergeCell ref="G2:J2"/>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G13:G26</xm:sqref>
        </x14:dataValidation>
        <x14:dataValidation type="list" allowBlank="1" showInputMessage="1" showErrorMessage="1">
          <x14:formula1>
            <xm:f>Datos!$B$3:$B$8</xm:f>
          </x14:formula1>
          <xm:sqref>E13:E26</xm:sqref>
        </x14:dataValidation>
        <x14:dataValidation type="list" allowBlank="1" showInputMessage="1" showErrorMessage="1">
          <x14:formula1>
            <xm:f>Datos!$H$3:$H$7</xm:f>
          </x14:formula1>
          <xm:sqref>I13:I26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7"/>
  <sheetViews>
    <sheetView topLeftCell="B1" zoomScale="75" zoomScaleNormal="75"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81</v>
      </c>
      <c r="D4" s="16"/>
      <c r="G4" s="9" t="s">
        <v>37</v>
      </c>
      <c r="H4" s="9"/>
      <c r="I4" s="21" t="str">
        <f>IFERROR(AVERAGEIF(tbl_h2[Valoracion Numerica],"&lt;&gt;NA"),"")</f>
        <v/>
      </c>
      <c r="J4" s="10" t="str">
        <f>_xlfn.IFNA(INDEX(Datos!B4:C8,MATCH('H2. Relacion sistema-mundo-real'!I4,Datos!C4:C8),1),"")</f>
        <v/>
      </c>
    </row>
    <row r="5" spans="2:10" x14ac:dyDescent="0.25">
      <c r="B5" s="9" t="s">
        <v>38</v>
      </c>
      <c r="C5" s="10" t="s">
        <v>82</v>
      </c>
      <c r="D5" s="16"/>
      <c r="G5" s="9" t="s">
        <v>40</v>
      </c>
      <c r="H5" s="9"/>
      <c r="I5" s="21" t="str">
        <f>IFERROR(AVERAGEIF(tbl_h2[Valoracion numerica severidad impacto],"&lt;&gt;NA"),"")</f>
        <v/>
      </c>
      <c r="J5" s="10" t="str">
        <f>_xlfn.IFNA(INDEX(Datos!E4:F7,MATCH('H2. Relacion sistema-mundo-real'!I5,Datos!F4:F7),1),"")</f>
        <v/>
      </c>
    </row>
    <row r="6" spans="2:10" x14ac:dyDescent="0.25">
      <c r="B6" s="75" t="s">
        <v>41</v>
      </c>
      <c r="C6" s="76" t="s">
        <v>83</v>
      </c>
      <c r="D6" s="17"/>
      <c r="G6" s="9" t="s">
        <v>43</v>
      </c>
      <c r="H6" s="9"/>
      <c r="I6" s="21" t="str">
        <f>IFERROR(AVERAGEIF(tbl_h2[Valoración numérica de persistencia de impacto],"&lt;&gt;NA"),"")</f>
        <v/>
      </c>
      <c r="J6" s="10" t="str">
        <f>_xlfn.IFNA(INDEX(Datos!H4:I7,MATCH('H2. Relacion sistema-mundo-real'!I6,Datos!I4:I7),1),"")</f>
        <v/>
      </c>
    </row>
    <row r="7" spans="2:10" ht="30" x14ac:dyDescent="0.25">
      <c r="B7" s="75"/>
      <c r="C7" s="76"/>
      <c r="D7" s="17"/>
      <c r="G7" s="69" t="s">
        <v>44</v>
      </c>
      <c r="H7" s="22"/>
      <c r="I7" s="23" t="str">
        <f xml:space="preserve"> IF(AND(I5&lt;&gt;"",I6&lt;&gt;""), (I5+I6+2)*0.5,"")</f>
        <v/>
      </c>
      <c r="J7" s="24" t="str">
        <f>IF(I7&lt;&gt;"",IF(I7&lt;=1,Datos!L4,IF(AND('H2. Relacion sistema-mundo-real'!I7&gt;1,'H2. Relacion sistema-mundo-real'!I7&lt;=2),Datos!L5,IF(AND('H2. Relacion sistema-mundo-real'!I7&gt;2,'H2. Relacion sistema-mundo-real'!I7&lt;=3),Datos!L6,IF(AND('H2. Relacion sistema-mundo-real'!I7&gt;3,'H2. Relacion sistema-mundo-real'!I7&lt;=4),Datos!L7,IF('H2. Relacion sistema-mundo-real'!I7&gt;4,Datos!L8,""))))),"")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45" x14ac:dyDescent="0.25">
      <c r="B13" s="1" t="s">
        <v>85</v>
      </c>
      <c r="C13" s="18" t="s">
        <v>86</v>
      </c>
      <c r="D13" s="11" t="str">
        <f>VLOOKUP(tbl_h2[[#This Row],[Valoración]],Datos!$B$3:$C$8,2,FALSE)</f>
        <v>NA</v>
      </c>
      <c r="E13" s="8" t="s">
        <v>7</v>
      </c>
      <c r="F13" s="8"/>
      <c r="G13" s="8" t="s">
        <v>7</v>
      </c>
      <c r="H13" s="8"/>
      <c r="I13" s="8" t="s">
        <v>7</v>
      </c>
      <c r="J13" s="8"/>
    </row>
    <row r="14" spans="2:10" ht="30" x14ac:dyDescent="0.25">
      <c r="B14" s="1" t="s">
        <v>87</v>
      </c>
      <c r="C14" s="18" t="s">
        <v>88</v>
      </c>
      <c r="D14" s="11" t="str">
        <f>VLOOKUP(tbl_h2[[#This Row],[Valoración]],Datos!$B$3:$C$8,2,FALSE)</f>
        <v>NA</v>
      </c>
      <c r="E14" s="8" t="s">
        <v>7</v>
      </c>
      <c r="F14" s="8"/>
      <c r="G14" s="8" t="s">
        <v>7</v>
      </c>
      <c r="H14" s="8"/>
      <c r="I14" s="8" t="s">
        <v>7</v>
      </c>
      <c r="J14" s="8"/>
    </row>
    <row r="15" spans="2:10" x14ac:dyDescent="0.25">
      <c r="B15" s="1" t="s">
        <v>89</v>
      </c>
      <c r="C15" s="18" t="s">
        <v>90</v>
      </c>
      <c r="D15" s="11" t="str">
        <f>VLOOKUP(tbl_h2[[#This Row],[Valoración]],Datos!$B$3:$C$8,2,FALSE)</f>
        <v>NA</v>
      </c>
      <c r="E15" s="8" t="s">
        <v>7</v>
      </c>
      <c r="F15" s="8"/>
      <c r="G15" s="8" t="s">
        <v>7</v>
      </c>
      <c r="H15" s="8"/>
      <c r="I15" s="8" t="s">
        <v>7</v>
      </c>
      <c r="J15" s="8"/>
    </row>
    <row r="16" spans="2:10" ht="30" x14ac:dyDescent="0.25">
      <c r="B16" s="1" t="s">
        <v>91</v>
      </c>
      <c r="C16" s="18" t="s">
        <v>92</v>
      </c>
      <c r="D16" s="18" t="str">
        <f>VLOOKUP(tbl_h2[[#This Row],[Valoración]],Datos!$B$3:$C$8,2,FALSE)</f>
        <v>NA</v>
      </c>
      <c r="E16" s="8" t="s">
        <v>7</v>
      </c>
      <c r="F16" s="43"/>
      <c r="G16" s="8" t="s">
        <v>7</v>
      </c>
      <c r="H16" s="43"/>
      <c r="I16" s="8" t="s">
        <v>7</v>
      </c>
      <c r="J16" s="8"/>
    </row>
    <row r="17" spans="2:10" x14ac:dyDescent="0.25">
      <c r="B17" s="1" t="s">
        <v>93</v>
      </c>
      <c r="C17" s="18" t="s">
        <v>94</v>
      </c>
      <c r="D17" s="18" t="str">
        <f>VLOOKUP(tbl_h2[[#This Row],[Valoración]],Datos!$B$3:$C$8,2,FALSE)</f>
        <v>NA</v>
      </c>
      <c r="E17" s="8" t="s">
        <v>7</v>
      </c>
      <c r="F17" s="43"/>
      <c r="G17" s="8" t="s">
        <v>7</v>
      </c>
      <c r="H17" s="43"/>
      <c r="I17" s="8" t="s">
        <v>7</v>
      </c>
      <c r="J17" s="8"/>
    </row>
    <row r="18" spans="2:10" ht="30" x14ac:dyDescent="0.25">
      <c r="B18" s="1" t="s">
        <v>95</v>
      </c>
      <c r="C18" s="18" t="s">
        <v>96</v>
      </c>
      <c r="D18" s="18" t="str">
        <f>VLOOKUP(tbl_h2[[#This Row],[Valoración]],Datos!$B$3:$C$8,2,FALSE)</f>
        <v>NA</v>
      </c>
      <c r="E18" s="8" t="s">
        <v>7</v>
      </c>
      <c r="F18" s="43"/>
      <c r="G18" s="8" t="s">
        <v>7</v>
      </c>
      <c r="H18" s="43"/>
      <c r="I18" s="8" t="s">
        <v>7</v>
      </c>
      <c r="J18" s="8"/>
    </row>
    <row r="19" spans="2:10" ht="30" x14ac:dyDescent="0.25">
      <c r="B19" s="1" t="s">
        <v>97</v>
      </c>
      <c r="C19" s="18" t="s">
        <v>98</v>
      </c>
      <c r="D19" s="18" t="str">
        <f>VLOOKUP(tbl_h2[[#This Row],[Valoración]],Datos!$B$3:$C$8,2,FALSE)</f>
        <v>NA</v>
      </c>
      <c r="E19" s="8" t="s">
        <v>7</v>
      </c>
      <c r="F19" s="43"/>
      <c r="G19" s="8" t="s">
        <v>7</v>
      </c>
      <c r="H19" s="43"/>
      <c r="I19" s="8" t="s">
        <v>7</v>
      </c>
      <c r="J19" s="8"/>
    </row>
    <row r="20" spans="2:10" ht="45" x14ac:dyDescent="0.25">
      <c r="B20" s="1" t="s">
        <v>99</v>
      </c>
      <c r="C20" s="18" t="s">
        <v>100</v>
      </c>
      <c r="D20" s="18" t="str">
        <f>VLOOKUP(tbl_h2[[#This Row],[Valoración]],Datos!$B$3:$C$8,2,FALSE)</f>
        <v>NA</v>
      </c>
      <c r="E20" s="8" t="s">
        <v>7</v>
      </c>
      <c r="F20" s="43"/>
      <c r="G20" s="8" t="s">
        <v>7</v>
      </c>
      <c r="H20" s="43"/>
      <c r="I20" s="8" t="s">
        <v>7</v>
      </c>
      <c r="J20" s="8"/>
    </row>
    <row r="21" spans="2:10" ht="30" x14ac:dyDescent="0.25">
      <c r="B21" s="1" t="s">
        <v>101</v>
      </c>
      <c r="C21" s="18" t="s">
        <v>102</v>
      </c>
      <c r="D21" s="18" t="str">
        <f>VLOOKUP(tbl_h2[[#This Row],[Valoración]],Datos!$B$3:$C$8,2,FALSE)</f>
        <v>NA</v>
      </c>
      <c r="E21" s="8" t="s">
        <v>7</v>
      </c>
      <c r="F21" s="43"/>
      <c r="G21" s="8" t="s">
        <v>7</v>
      </c>
      <c r="H21" s="43"/>
      <c r="I21" s="8" t="s">
        <v>7</v>
      </c>
      <c r="J21" s="8"/>
    </row>
    <row r="22" spans="2:10" x14ac:dyDescent="0.25">
      <c r="B22" s="1" t="s">
        <v>103</v>
      </c>
      <c r="C22" s="18" t="s">
        <v>104</v>
      </c>
      <c r="D22" s="18" t="str">
        <f>VLOOKUP(tbl_h2[[#This Row],[Valoración]],Datos!$B$3:$C$8,2,FALSE)</f>
        <v>NA</v>
      </c>
      <c r="E22" s="8" t="s">
        <v>7</v>
      </c>
      <c r="F22" s="43"/>
      <c r="G22" s="8" t="s">
        <v>7</v>
      </c>
      <c r="H22" s="43"/>
      <c r="I22" s="8" t="s">
        <v>7</v>
      </c>
      <c r="J22" s="8"/>
    </row>
    <row r="23" spans="2:10" ht="30" x14ac:dyDescent="0.25">
      <c r="B23" s="1" t="s">
        <v>105</v>
      </c>
      <c r="C23" s="18" t="s">
        <v>106</v>
      </c>
      <c r="D23" s="18" t="str">
        <f>VLOOKUP(tbl_h2[[#This Row],[Valoración]],Datos!$B$3:$C$8,2,FALSE)</f>
        <v>NA</v>
      </c>
      <c r="E23" s="8" t="s">
        <v>7</v>
      </c>
      <c r="F23" s="43"/>
      <c r="G23" s="8" t="s">
        <v>7</v>
      </c>
      <c r="H23" s="43"/>
      <c r="I23" s="8" t="s">
        <v>7</v>
      </c>
      <c r="J23" s="8"/>
    </row>
    <row r="24" spans="2:10" ht="30" x14ac:dyDescent="0.25">
      <c r="B24" s="1" t="s">
        <v>107</v>
      </c>
      <c r="C24" s="18" t="s">
        <v>108</v>
      </c>
      <c r="D24" s="18" t="str">
        <f>VLOOKUP(tbl_h2[[#This Row],[Valoración]],Datos!$B$3:$C$8,2,FALSE)</f>
        <v>NA</v>
      </c>
      <c r="E24" s="8" t="s">
        <v>7</v>
      </c>
      <c r="F24" s="43"/>
      <c r="G24" s="8" t="s">
        <v>7</v>
      </c>
      <c r="H24" s="43"/>
      <c r="I24" s="8" t="s">
        <v>7</v>
      </c>
      <c r="J24" s="8"/>
    </row>
    <row r="25" spans="2:10" ht="45" x14ac:dyDescent="0.25">
      <c r="B25" s="1" t="s">
        <v>109</v>
      </c>
      <c r="C25" s="18" t="s">
        <v>110</v>
      </c>
      <c r="D25" s="18" t="str">
        <f>VLOOKUP(tbl_h2[[#This Row],[Valoración]],Datos!$B$3:$C$8,2,FALSE)</f>
        <v>NA</v>
      </c>
      <c r="E25" s="8" t="s">
        <v>7</v>
      </c>
      <c r="F25" s="43"/>
      <c r="G25" s="8" t="s">
        <v>7</v>
      </c>
      <c r="H25" s="43"/>
      <c r="I25" s="8" t="s">
        <v>7</v>
      </c>
      <c r="J25" s="8"/>
    </row>
    <row r="26" spans="2:10" ht="30" x14ac:dyDescent="0.25">
      <c r="B26" s="1" t="s">
        <v>111</v>
      </c>
      <c r="C26" s="18" t="s">
        <v>112</v>
      </c>
      <c r="D26" s="18" t="str">
        <f>VLOOKUP(tbl_h2[[#This Row],[Valoración]],Datos!$B$3:$C$8,2,FALSE)</f>
        <v>NA</v>
      </c>
      <c r="E26" s="8" t="s">
        <v>7</v>
      </c>
      <c r="F26" s="43"/>
      <c r="G26" s="8" t="s">
        <v>7</v>
      </c>
      <c r="H26" s="43"/>
      <c r="I26" s="8" t="s">
        <v>7</v>
      </c>
      <c r="J26" s="8"/>
    </row>
    <row r="27" spans="2:10" ht="30" x14ac:dyDescent="0.25">
      <c r="B27" s="1" t="s">
        <v>113</v>
      </c>
      <c r="C27" s="18" t="s">
        <v>114</v>
      </c>
      <c r="D27" s="18" t="str">
        <f>VLOOKUP(tbl_h2[[#This Row],[Valoración]],Datos!$B$3:$C$8,2,FALSE)</f>
        <v>NA</v>
      </c>
      <c r="E27" s="8" t="s">
        <v>7</v>
      </c>
      <c r="F27" s="43"/>
      <c r="G27" s="8" t="s">
        <v>7</v>
      </c>
      <c r="H27" s="43"/>
      <c r="I27" s="8" t="s">
        <v>7</v>
      </c>
      <c r="J27" s="8"/>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Datos!$B$3:$B$8</xm:f>
          </x14:formula1>
          <xm:sqref>E13:E27</xm:sqref>
        </x14:dataValidation>
        <x14:dataValidation type="list" allowBlank="1" showInputMessage="1" showErrorMessage="1">
          <x14:formula1>
            <xm:f>Datos!$E$3:$E$7</xm:f>
          </x14:formula1>
          <xm:sqref>G13:G27</xm:sqref>
        </x14:dataValidation>
        <x14:dataValidation type="list" allowBlank="1" showInputMessage="1" showErrorMessage="1">
          <x14:formula1>
            <xm:f>Datos!$H$3:$H$7</xm:f>
          </x14:formula1>
          <xm:sqref>I13:I27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topLeftCell="B1"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115</v>
      </c>
      <c r="D4" s="16"/>
      <c r="G4" s="9" t="s">
        <v>37</v>
      </c>
      <c r="H4" s="9"/>
      <c r="I4" s="21" t="str">
        <f>IFERROR(AVERAGEIF(tbl_h3[Valoracion Numerica],"&lt;&gt;NA"),"")</f>
        <v/>
      </c>
      <c r="J4" s="10" t="str">
        <f>_xlfn.IFNA(INDEX(Datos!B4:C8,MATCH('H3. Control y libertad usuario'!I4,Datos!C4:C8),1),"")</f>
        <v/>
      </c>
    </row>
    <row r="5" spans="2:10" x14ac:dyDescent="0.25">
      <c r="B5" s="9" t="s">
        <v>38</v>
      </c>
      <c r="C5" s="10" t="s">
        <v>116</v>
      </c>
      <c r="D5" s="16"/>
      <c r="G5" s="9" t="s">
        <v>40</v>
      </c>
      <c r="H5" s="9"/>
      <c r="I5" s="21" t="str">
        <f>IFERROR(AVERAGEIF(tbl_h3[Valoracion numerica severidad impacto],"&lt;&gt;NA"),"")</f>
        <v/>
      </c>
      <c r="J5" s="10" t="str">
        <f>_xlfn.IFNA(INDEX(Datos!E4:F7,MATCH('H3. Control y libertad usuario'!I5,Datos!F4:F7),1),"")</f>
        <v/>
      </c>
    </row>
    <row r="6" spans="2:10" x14ac:dyDescent="0.25">
      <c r="B6" s="75" t="s">
        <v>41</v>
      </c>
      <c r="C6" s="77" t="s">
        <v>117</v>
      </c>
      <c r="D6" s="17"/>
      <c r="G6" s="9" t="s">
        <v>43</v>
      </c>
      <c r="H6" s="9"/>
      <c r="I6" s="21" t="str">
        <f>IFERROR(AVERAGEIF(tbl_h3[Valoración numérica de persistencia de impacto],"&lt;&gt;NA"),"")</f>
        <v/>
      </c>
      <c r="J6" s="10" t="str">
        <f>_xlfn.IFNA(INDEX(Datos!H4:I7,MATCH('H3. Control y libertad usuario'!I6,Datos!I4:I7),1),"")</f>
        <v/>
      </c>
    </row>
    <row r="7" spans="2:10" ht="38.25" customHeight="1" x14ac:dyDescent="0.25">
      <c r="B7" s="75"/>
      <c r="C7" s="77"/>
      <c r="D7" s="17"/>
      <c r="G7" s="69" t="s">
        <v>44</v>
      </c>
      <c r="H7" s="22"/>
      <c r="I7" s="23" t="str">
        <f xml:space="preserve"> IF(AND(I5&lt;&gt;"",I6&lt;&gt;""), (I5+I6+2)*0.5,"")</f>
        <v/>
      </c>
      <c r="J7" s="24" t="str">
        <f>IF(I7&lt;&gt;"",IF(I7&lt;=1,Datos!L4,IF(AND('H3. Control y libertad usuario'!I7&gt;1,'H3. Control y libertad usuario'!I7&lt;=2),Datos!L5,IF(AND('H3. Control y libertad usuario'!I7&gt;2,'H3. Control y libertad usuario'!I7&lt;=3),Datos!L6,IF(AND('H3. Control y libertad usuario'!I7&gt;3,'H3. Control y libertad usuario'!I7&lt;=4),Datos!L7,IF('H3. Control y libertad usuario'!I7&gt;4,Datos!L8,""))))),"")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118</v>
      </c>
      <c r="C13" s="18" t="s">
        <v>119</v>
      </c>
      <c r="D13" s="11" t="str">
        <f>VLOOKUP(tbl_h3[[#This Row],[Valoración]],Datos!$B$3:$C$8,2,FALSE)</f>
        <v>NA</v>
      </c>
      <c r="E13" t="s">
        <v>7</v>
      </c>
      <c r="G13" t="s">
        <v>7</v>
      </c>
      <c r="I13" t="s">
        <v>7</v>
      </c>
    </row>
    <row r="14" spans="2:10" ht="30" x14ac:dyDescent="0.25">
      <c r="B14" s="1" t="s">
        <v>120</v>
      </c>
      <c r="C14" s="18" t="s">
        <v>121</v>
      </c>
      <c r="D14" s="11" t="str">
        <f>VLOOKUP(tbl_h3[[#This Row],[Valoración]],Datos!$B$3:$C$8,2,FALSE)</f>
        <v>NA</v>
      </c>
      <c r="E14" t="s">
        <v>7</v>
      </c>
      <c r="G14" t="s">
        <v>7</v>
      </c>
      <c r="I14" t="s">
        <v>7</v>
      </c>
    </row>
    <row r="15" spans="2:10" ht="45" x14ac:dyDescent="0.25">
      <c r="B15" s="1" t="s">
        <v>122</v>
      </c>
      <c r="C15" s="18" t="s">
        <v>123</v>
      </c>
      <c r="D15" s="11" t="str">
        <f>VLOOKUP(tbl_h3[[#This Row],[Valoración]],Datos!$B$3:$C$8,2,FALSE)</f>
        <v>NA</v>
      </c>
      <c r="E15" t="s">
        <v>7</v>
      </c>
      <c r="G15" t="s">
        <v>7</v>
      </c>
      <c r="I15" t="s">
        <v>7</v>
      </c>
    </row>
    <row r="16" spans="2:10" ht="30" x14ac:dyDescent="0.25">
      <c r="B16" s="1" t="s">
        <v>124</v>
      </c>
      <c r="C16" s="18" t="s">
        <v>125</v>
      </c>
      <c r="D16" s="18" t="str">
        <f>VLOOKUP(tbl_h3[[#This Row],[Valoración]],Datos!$B$3:$C$8,2,FALSE)</f>
        <v>NA</v>
      </c>
      <c r="E16" t="s">
        <v>7</v>
      </c>
      <c r="F16" s="42"/>
      <c r="G16" t="s">
        <v>7</v>
      </c>
      <c r="H16" s="42"/>
      <c r="I16" t="s">
        <v>7</v>
      </c>
    </row>
    <row r="17" spans="2:9" ht="30" x14ac:dyDescent="0.25">
      <c r="B17" s="1" t="s">
        <v>126</v>
      </c>
      <c r="C17" s="18" t="s">
        <v>127</v>
      </c>
      <c r="D17" s="18" t="str">
        <f>VLOOKUP(tbl_h3[[#This Row],[Valoración]],Datos!$B$3:$C$8,2,FALSE)</f>
        <v>NA</v>
      </c>
      <c r="E17" t="s">
        <v>7</v>
      </c>
      <c r="F17" s="42"/>
      <c r="G17" t="s">
        <v>7</v>
      </c>
      <c r="H17" s="42"/>
      <c r="I17" t="s">
        <v>7</v>
      </c>
    </row>
    <row r="18" spans="2:9" ht="30" x14ac:dyDescent="0.25">
      <c r="B18" s="1" t="s">
        <v>128</v>
      </c>
      <c r="C18" s="18" t="s">
        <v>129</v>
      </c>
      <c r="D18" s="18" t="str">
        <f>VLOOKUP(tbl_h3[[#This Row],[Valoración]],Datos!$B$3:$C$8,2,FALSE)</f>
        <v>NA</v>
      </c>
      <c r="E18" t="s">
        <v>7</v>
      </c>
      <c r="F18" s="42"/>
      <c r="G18" t="s">
        <v>7</v>
      </c>
      <c r="H18" s="42"/>
      <c r="I18" t="s">
        <v>7</v>
      </c>
    </row>
    <row r="19" spans="2:9" ht="45" x14ac:dyDescent="0.25">
      <c r="B19" s="1" t="s">
        <v>130</v>
      </c>
      <c r="C19" s="18" t="s">
        <v>131</v>
      </c>
      <c r="D19" s="18" t="str">
        <f>VLOOKUP(tbl_h3[[#This Row],[Valoración]],Datos!$B$3:$C$8,2,FALSE)</f>
        <v>NA</v>
      </c>
      <c r="E19" t="s">
        <v>7</v>
      </c>
      <c r="F19" s="42"/>
      <c r="G19" t="s">
        <v>7</v>
      </c>
      <c r="H19" s="42"/>
      <c r="I19" t="s">
        <v>7</v>
      </c>
    </row>
    <row r="20" spans="2:9" ht="30" x14ac:dyDescent="0.25">
      <c r="B20" s="1" t="s">
        <v>132</v>
      </c>
      <c r="C20" s="18" t="s">
        <v>133</v>
      </c>
      <c r="D20" s="18" t="str">
        <f>VLOOKUP(tbl_h3[[#This Row],[Valoración]],Datos!$B$3:$C$8,2,FALSE)</f>
        <v>NA</v>
      </c>
      <c r="E20" t="s">
        <v>7</v>
      </c>
      <c r="F20" s="42"/>
      <c r="G20" t="s">
        <v>7</v>
      </c>
      <c r="H20" s="42"/>
      <c r="I20" t="s">
        <v>7</v>
      </c>
    </row>
    <row r="21" spans="2:9" ht="45" x14ac:dyDescent="0.25">
      <c r="B21" s="1" t="s">
        <v>134</v>
      </c>
      <c r="C21" s="18" t="s">
        <v>135</v>
      </c>
      <c r="D21" s="18" t="str">
        <f>VLOOKUP(tbl_h3[[#This Row],[Valoración]],Datos!$B$3:$C$8,2,FALSE)</f>
        <v>NA</v>
      </c>
      <c r="E21" t="s">
        <v>7</v>
      </c>
      <c r="F21" s="42"/>
      <c r="G21" t="s">
        <v>7</v>
      </c>
      <c r="H21" s="42"/>
      <c r="I21" t="s">
        <v>7</v>
      </c>
    </row>
    <row r="22" spans="2:9" ht="45" x14ac:dyDescent="0.25">
      <c r="B22" s="1" t="s">
        <v>136</v>
      </c>
      <c r="C22" s="18" t="s">
        <v>137</v>
      </c>
      <c r="D22" s="18" t="str">
        <f>VLOOKUP(tbl_h3[[#This Row],[Valoración]],Datos!$B$3:$C$8,2,FALSE)</f>
        <v>NA</v>
      </c>
      <c r="E22" t="s">
        <v>7</v>
      </c>
      <c r="F22" s="42"/>
      <c r="G22" t="s">
        <v>7</v>
      </c>
      <c r="H22" s="42"/>
      <c r="I22" t="s">
        <v>7</v>
      </c>
    </row>
    <row r="23" spans="2:9" ht="30" x14ac:dyDescent="0.25">
      <c r="B23" s="1" t="s">
        <v>138</v>
      </c>
      <c r="C23" s="18" t="s">
        <v>139</v>
      </c>
      <c r="D23" s="18" t="str">
        <f>VLOOKUP(tbl_h3[[#This Row],[Valoración]],Datos!$B$3:$C$8,2,FALSE)</f>
        <v>NA</v>
      </c>
      <c r="E23" t="s">
        <v>7</v>
      </c>
      <c r="F23" s="42"/>
      <c r="G23" t="s">
        <v>7</v>
      </c>
      <c r="H23" s="42"/>
      <c r="I23" t="s">
        <v>7</v>
      </c>
    </row>
    <row r="24" spans="2:9" ht="30" x14ac:dyDescent="0.25">
      <c r="B24" s="1" t="s">
        <v>140</v>
      </c>
      <c r="C24" s="18" t="s">
        <v>141</v>
      </c>
      <c r="D24" s="18" t="str">
        <f>VLOOKUP(tbl_h3[[#This Row],[Valoración]],Datos!$B$3:$C$8,2,FALSE)</f>
        <v>NA</v>
      </c>
      <c r="E24" t="s">
        <v>7</v>
      </c>
      <c r="F24" s="42"/>
      <c r="G24" t="s">
        <v>7</v>
      </c>
      <c r="H24" s="42"/>
      <c r="I24" t="s">
        <v>7</v>
      </c>
    </row>
    <row r="25" spans="2:9" x14ac:dyDescent="0.25">
      <c r="C25" s="11"/>
      <c r="D25" s="11"/>
    </row>
    <row r="26" spans="2:9"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I13:I24</xm:sqref>
        </x14:dataValidation>
        <x14:dataValidation type="list" allowBlank="1" showInputMessage="1" showErrorMessage="1">
          <x14:formula1>
            <xm:f>Datos!$B$3:$B$8</xm:f>
          </x14:formula1>
          <xm:sqref>E13:E24</xm:sqref>
        </x14:dataValidation>
        <x14:dataValidation type="list" allowBlank="1" showInputMessage="1" showErrorMessage="1">
          <x14:formula1>
            <xm:f>Datos!$E$3:$E$7</xm:f>
          </x14:formula1>
          <xm:sqref>G13:G24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zoomScale="75" zoomScaleNormal="75"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142</v>
      </c>
      <c r="D4" s="16"/>
      <c r="G4" s="9" t="s">
        <v>37</v>
      </c>
      <c r="H4" s="9"/>
      <c r="I4" s="21" t="str">
        <f>IFERROR(AVERAGEIF(tbl_h4[Valoracion Numerica],"&lt;&gt;NA"),"")</f>
        <v/>
      </c>
      <c r="J4" s="10" t="str">
        <f>_xlfn.IFNA(INDEX(Datos!B4:C8,MATCH('H4. Consistencias y estándares'!I4,Datos!C4:C8),1),"")</f>
        <v/>
      </c>
    </row>
    <row r="5" spans="2:10" x14ac:dyDescent="0.25">
      <c r="B5" s="9" t="s">
        <v>38</v>
      </c>
      <c r="C5" s="10" t="s">
        <v>143</v>
      </c>
      <c r="D5" s="16"/>
      <c r="G5" s="9" t="s">
        <v>40</v>
      </c>
      <c r="H5" s="9"/>
      <c r="I5" s="21" t="str">
        <f>IFERROR(AVERAGEIF(tbl_h4[Valoracion numerica severidad impacto],"&lt;&gt;NA"),"")</f>
        <v/>
      </c>
      <c r="J5" s="10" t="str">
        <f>_xlfn.IFNA(INDEX(Datos!E4:F7,MATCH('H4. Consistencias y estándares'!I5,Datos!F4:F7),1),"")</f>
        <v/>
      </c>
    </row>
    <row r="6" spans="2:10" x14ac:dyDescent="0.25">
      <c r="B6" s="75" t="s">
        <v>41</v>
      </c>
      <c r="C6" s="78" t="s">
        <v>144</v>
      </c>
      <c r="D6" s="17"/>
      <c r="G6" s="9" t="s">
        <v>43</v>
      </c>
      <c r="H6" s="9"/>
      <c r="I6" s="21" t="str">
        <f>IFERROR(AVERAGEIF(tbl_h4[Valoración numérica de persistencia de impacto],"&lt;&gt;NA"),"")</f>
        <v/>
      </c>
      <c r="J6" s="10" t="str">
        <f>_xlfn.IFNA(INDEX(Datos!H4:I7,MATCH('H4. Consistencias y estándares'!I6,Datos!I4:I7),1),"")</f>
        <v/>
      </c>
    </row>
    <row r="7" spans="2:10" ht="27" customHeight="1" x14ac:dyDescent="0.25">
      <c r="B7" s="75"/>
      <c r="C7" s="78"/>
      <c r="D7" s="17"/>
      <c r="G7" s="69" t="s">
        <v>44</v>
      </c>
      <c r="H7" s="22"/>
      <c r="I7" s="23" t="str">
        <f xml:space="preserve"> IF(AND(I5&lt;&gt;"",I6&lt;&gt;""), (I5+I6+2)*0.5,"")</f>
        <v/>
      </c>
      <c r="J7" s="24" t="str">
        <f>IF(I7&lt;&gt;"",IF(I7&lt;=1,Datos!L4,IF(AND('H4. Consistencias y estándares'!I7&gt;1,'H4. Consistencias y estándares'!I7&lt;=2),Datos!L5,IF(AND('H4. Consistencias y estándares'!I7&gt;2,'H4. Consistencias y estándares'!I7&lt;=3),Datos!L6,IF(AND('H4. Consistencias y estándares'!I7&gt;3,'H4. Consistencias y estándares'!I7&lt;=4),Datos!L7,IF('H4. Consistencias y estándares'!I7&gt;4,Datos!L8,""))))),"")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x14ac:dyDescent="0.25">
      <c r="B13" s="1" t="s">
        <v>145</v>
      </c>
      <c r="C13" s="18" t="s">
        <v>146</v>
      </c>
      <c r="D13" s="11" t="str">
        <f>VLOOKUP(tbl_h4[[#This Row],[Valoración]],Datos!$B$3:$C$8,2,FALSE)</f>
        <v>NA</v>
      </c>
      <c r="E13" s="8" t="s">
        <v>7</v>
      </c>
      <c r="F13" s="8"/>
      <c r="G13" s="8" t="s">
        <v>7</v>
      </c>
      <c r="H13" s="8"/>
      <c r="I13" s="8" t="s">
        <v>7</v>
      </c>
      <c r="J13" s="8"/>
    </row>
    <row r="14" spans="2:10" ht="30" x14ac:dyDescent="0.25">
      <c r="B14" s="1" t="s">
        <v>147</v>
      </c>
      <c r="C14" s="18" t="s">
        <v>148</v>
      </c>
      <c r="D14" s="11" t="str">
        <f>VLOOKUP(tbl_h4[[#This Row],[Valoración]],Datos!$B$3:$C$8,2,FALSE)</f>
        <v>NA</v>
      </c>
      <c r="E14" s="8" t="s">
        <v>7</v>
      </c>
      <c r="F14" s="8"/>
      <c r="G14" s="8" t="s">
        <v>7</v>
      </c>
      <c r="H14" s="8"/>
      <c r="I14" s="8" t="s">
        <v>7</v>
      </c>
      <c r="J14" s="8"/>
    </row>
    <row r="15" spans="2:10" ht="30" x14ac:dyDescent="0.25">
      <c r="B15" s="1" t="s">
        <v>149</v>
      </c>
      <c r="C15" s="18" t="s">
        <v>150</v>
      </c>
      <c r="D15" s="11" t="str">
        <f>VLOOKUP(tbl_h4[[#This Row],[Valoración]],Datos!$B$3:$C$8,2,FALSE)</f>
        <v>NA</v>
      </c>
      <c r="E15" s="8" t="s">
        <v>7</v>
      </c>
      <c r="F15" s="8"/>
      <c r="G15" s="8" t="s">
        <v>7</v>
      </c>
      <c r="H15" s="8"/>
      <c r="I15" s="8" t="s">
        <v>7</v>
      </c>
      <c r="J15" s="8"/>
    </row>
    <row r="16" spans="2:10" ht="30" x14ac:dyDescent="0.25">
      <c r="B16" s="1" t="s">
        <v>151</v>
      </c>
      <c r="C16" s="18" t="s">
        <v>152</v>
      </c>
      <c r="D16" s="18" t="str">
        <f>VLOOKUP(tbl_h4[[#This Row],[Valoración]],Datos!$B$3:$C$8,2,FALSE)</f>
        <v>NA</v>
      </c>
      <c r="E16" s="8" t="s">
        <v>7</v>
      </c>
      <c r="F16" s="43"/>
      <c r="G16" s="8" t="s">
        <v>7</v>
      </c>
      <c r="H16" s="43"/>
      <c r="I16" s="8" t="s">
        <v>7</v>
      </c>
      <c r="J16" s="8"/>
    </row>
    <row r="17" spans="2:10" ht="30" x14ac:dyDescent="0.25">
      <c r="B17" s="1" t="s">
        <v>153</v>
      </c>
      <c r="C17" s="18" t="s">
        <v>154</v>
      </c>
      <c r="D17" s="18" t="str">
        <f>VLOOKUP(tbl_h4[[#This Row],[Valoración]],Datos!$B$3:$C$8,2,FALSE)</f>
        <v>NA</v>
      </c>
      <c r="E17" s="8" t="s">
        <v>7</v>
      </c>
      <c r="F17" s="43"/>
      <c r="G17" s="8" t="s">
        <v>7</v>
      </c>
      <c r="H17" s="43"/>
      <c r="I17" s="8" t="s">
        <v>7</v>
      </c>
      <c r="J17" s="8"/>
    </row>
    <row r="18" spans="2:10" x14ac:dyDescent="0.25">
      <c r="B18" s="1" t="s">
        <v>155</v>
      </c>
      <c r="C18" s="18" t="s">
        <v>156</v>
      </c>
      <c r="D18" s="18" t="str">
        <f>VLOOKUP(tbl_h4[[#This Row],[Valoración]],Datos!$B$3:$C$8,2,FALSE)</f>
        <v>NA</v>
      </c>
      <c r="E18" s="8" t="s">
        <v>7</v>
      </c>
      <c r="F18" s="43"/>
      <c r="G18" s="8" t="s">
        <v>7</v>
      </c>
      <c r="H18" s="43"/>
      <c r="I18" s="8" t="s">
        <v>7</v>
      </c>
      <c r="J18" s="8"/>
    </row>
    <row r="19" spans="2:10" ht="30" x14ac:dyDescent="0.25">
      <c r="B19" s="1" t="s">
        <v>157</v>
      </c>
      <c r="C19" s="18" t="s">
        <v>158</v>
      </c>
      <c r="D19" s="18" t="str">
        <f>VLOOKUP(tbl_h4[[#This Row],[Valoración]],Datos!$B$3:$C$8,2,FALSE)</f>
        <v>NA</v>
      </c>
      <c r="E19" s="8" t="s">
        <v>7</v>
      </c>
      <c r="F19" s="43"/>
      <c r="G19" s="8" t="s">
        <v>7</v>
      </c>
      <c r="H19" s="43"/>
      <c r="I19" s="8" t="s">
        <v>7</v>
      </c>
      <c r="J19" s="8"/>
    </row>
    <row r="20" spans="2:10" ht="30" x14ac:dyDescent="0.25">
      <c r="B20" s="1" t="s">
        <v>159</v>
      </c>
      <c r="C20" s="18" t="s">
        <v>160</v>
      </c>
      <c r="D20" s="18" t="str">
        <f>VLOOKUP(tbl_h4[[#This Row],[Valoración]],Datos!$B$3:$C$8,2,FALSE)</f>
        <v>NA</v>
      </c>
      <c r="E20" s="8" t="s">
        <v>7</v>
      </c>
      <c r="F20" s="43"/>
      <c r="G20" s="8" t="s">
        <v>7</v>
      </c>
      <c r="H20" s="43"/>
      <c r="I20" s="8" t="s">
        <v>7</v>
      </c>
      <c r="J20" s="8"/>
    </row>
    <row r="21" spans="2:10" ht="30" x14ac:dyDescent="0.25">
      <c r="B21" s="1" t="s">
        <v>161</v>
      </c>
      <c r="C21" s="18" t="s">
        <v>162</v>
      </c>
      <c r="D21" s="18" t="str">
        <f>VLOOKUP(tbl_h4[[#This Row],[Valoración]],Datos!$B$3:$C$8,2,FALSE)</f>
        <v>NA</v>
      </c>
      <c r="E21" s="8" t="s">
        <v>7</v>
      </c>
      <c r="F21" s="43"/>
      <c r="G21" s="8" t="s">
        <v>7</v>
      </c>
      <c r="H21" s="43"/>
      <c r="I21" s="8" t="s">
        <v>7</v>
      </c>
      <c r="J21" s="8"/>
    </row>
    <row r="22" spans="2:10" ht="45" x14ac:dyDescent="0.25">
      <c r="B22" s="1" t="s">
        <v>163</v>
      </c>
      <c r="C22" s="18" t="s">
        <v>164</v>
      </c>
      <c r="D22" s="18" t="str">
        <f>VLOOKUP(tbl_h4[[#This Row],[Valoración]],Datos!$B$3:$C$8,2,FALSE)</f>
        <v>NA</v>
      </c>
      <c r="E22" s="8" t="s">
        <v>7</v>
      </c>
      <c r="F22" s="43"/>
      <c r="G22" s="8" t="s">
        <v>7</v>
      </c>
      <c r="H22" s="43"/>
      <c r="I22" s="8" t="s">
        <v>7</v>
      </c>
      <c r="J22" s="8"/>
    </row>
    <row r="23" spans="2:10" ht="45" x14ac:dyDescent="0.25">
      <c r="B23" s="1" t="s">
        <v>165</v>
      </c>
      <c r="C23" s="18" t="s">
        <v>166</v>
      </c>
      <c r="D23" s="18" t="str">
        <f>VLOOKUP(tbl_h4[[#This Row],[Valoración]],Datos!$B$3:$C$8,2,FALSE)</f>
        <v>NA</v>
      </c>
      <c r="E23" s="8" t="s">
        <v>7</v>
      </c>
      <c r="F23" s="43"/>
      <c r="G23" s="8" t="s">
        <v>7</v>
      </c>
      <c r="H23" s="43"/>
      <c r="I23" s="8" t="s">
        <v>7</v>
      </c>
      <c r="J23" s="8"/>
    </row>
    <row r="24" spans="2:10" ht="30" x14ac:dyDescent="0.25">
      <c r="B24" s="1" t="s">
        <v>167</v>
      </c>
      <c r="C24" s="18" t="s">
        <v>168</v>
      </c>
      <c r="D24" s="18" t="str">
        <f>VLOOKUP(tbl_h4[[#This Row],[Valoración]],Datos!$B$3:$C$8,2,FALSE)</f>
        <v>NA</v>
      </c>
      <c r="E24" s="8" t="s">
        <v>7</v>
      </c>
      <c r="F24" s="43"/>
      <c r="G24" s="8" t="s">
        <v>7</v>
      </c>
      <c r="H24" s="43"/>
      <c r="I24" s="8" t="s">
        <v>7</v>
      </c>
      <c r="J24" s="8"/>
    </row>
    <row r="25" spans="2:10" ht="30" x14ac:dyDescent="0.25">
      <c r="B25" s="1" t="s">
        <v>169</v>
      </c>
      <c r="C25" s="18" t="s">
        <v>170</v>
      </c>
      <c r="D25" s="18" t="str">
        <f>VLOOKUP(tbl_h4[[#This Row],[Valoración]],Datos!$B$3:$C$8,2,FALSE)</f>
        <v>NA</v>
      </c>
      <c r="E25" s="8" t="s">
        <v>7</v>
      </c>
      <c r="F25" s="43"/>
      <c r="G25" s="8" t="s">
        <v>7</v>
      </c>
      <c r="H25" s="43"/>
      <c r="I25" s="8" t="s">
        <v>7</v>
      </c>
      <c r="J25" s="8"/>
    </row>
    <row r="26" spans="2:10" x14ac:dyDescent="0.25">
      <c r="B26" s="1" t="s">
        <v>171</v>
      </c>
      <c r="C26" s="18" t="s">
        <v>172</v>
      </c>
      <c r="D26" s="18" t="str">
        <f>VLOOKUP(tbl_h4[[#This Row],[Valoración]],Datos!$B$3:$C$8,2,FALSE)</f>
        <v>NA</v>
      </c>
      <c r="E26" s="8" t="s">
        <v>7</v>
      </c>
      <c r="F26" s="43"/>
      <c r="G26" s="8" t="s">
        <v>7</v>
      </c>
      <c r="H26" s="43"/>
      <c r="I26" s="8" t="s">
        <v>7</v>
      </c>
      <c r="J26" s="8"/>
    </row>
    <row r="27" spans="2:10" ht="30" x14ac:dyDescent="0.25">
      <c r="B27" s="1" t="s">
        <v>173</v>
      </c>
      <c r="C27" s="18" t="s">
        <v>174</v>
      </c>
      <c r="D27" s="18" t="str">
        <f>VLOOKUP(tbl_h4[[#This Row],[Valoración]],Datos!$B$3:$C$8,2,FALSE)</f>
        <v>NA</v>
      </c>
      <c r="E27" s="8" t="s">
        <v>7</v>
      </c>
      <c r="F27" s="43"/>
      <c r="G27" s="8" t="s">
        <v>7</v>
      </c>
      <c r="H27" s="43"/>
      <c r="I27" s="8" t="s">
        <v>7</v>
      </c>
      <c r="J27" s="8"/>
    </row>
    <row r="28" spans="2:10" ht="30" x14ac:dyDescent="0.25">
      <c r="B28" s="1" t="s">
        <v>175</v>
      </c>
      <c r="C28" s="18" t="s">
        <v>176</v>
      </c>
      <c r="D28" s="18" t="str">
        <f>VLOOKUP(tbl_h4[[#This Row],[Valoración]],Datos!$B$3:$C$8,2,FALSE)</f>
        <v>NA</v>
      </c>
      <c r="E28" s="8" t="s">
        <v>7</v>
      </c>
      <c r="F28" s="43"/>
      <c r="G28" s="8" t="s">
        <v>7</v>
      </c>
      <c r="H28" s="43"/>
      <c r="I28" s="8" t="s">
        <v>7</v>
      </c>
      <c r="J28" s="8"/>
    </row>
    <row r="29" spans="2:10" ht="30" x14ac:dyDescent="0.25">
      <c r="B29" s="1" t="s">
        <v>177</v>
      </c>
      <c r="C29" s="18" t="s">
        <v>178</v>
      </c>
      <c r="D29" s="18" t="str">
        <f>VLOOKUP(tbl_h4[[#This Row],[Valoración]],Datos!$B$3:$C$8,2,FALSE)</f>
        <v>NA</v>
      </c>
      <c r="E29" s="8" t="s">
        <v>7</v>
      </c>
      <c r="F29" s="43"/>
      <c r="G29" s="8" t="s">
        <v>7</v>
      </c>
      <c r="H29" s="43"/>
      <c r="I29" s="8" t="s">
        <v>7</v>
      </c>
      <c r="J29" s="8"/>
    </row>
    <row r="30" spans="2:10" ht="30" x14ac:dyDescent="0.25">
      <c r="B30" s="1" t="s">
        <v>179</v>
      </c>
      <c r="C30" s="18" t="s">
        <v>180</v>
      </c>
      <c r="D30" s="18" t="str">
        <f>VLOOKUP(tbl_h4[[#This Row],[Valoración]],Datos!$B$3:$C$8,2,FALSE)</f>
        <v>NA</v>
      </c>
      <c r="E30" s="8" t="s">
        <v>7</v>
      </c>
      <c r="F30" s="43"/>
      <c r="G30" s="8" t="s">
        <v>7</v>
      </c>
      <c r="H30" s="43"/>
      <c r="I30" s="8" t="s">
        <v>7</v>
      </c>
      <c r="J30" s="8"/>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G13:G30</xm:sqref>
        </x14:dataValidation>
        <x14:dataValidation type="list" allowBlank="1" showInputMessage="1" showErrorMessage="1">
          <x14:formula1>
            <xm:f>Datos!$B$3:$B$8</xm:f>
          </x14:formula1>
          <xm:sqref>E13:E30</xm:sqref>
        </x14:dataValidation>
        <x14:dataValidation type="list" allowBlank="1" showInputMessage="1" showErrorMessage="1">
          <x14:formula1>
            <xm:f>Datos!$H$3:$H$7</xm:f>
          </x14:formula1>
          <xm:sqref>I13:I30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181</v>
      </c>
      <c r="D4" s="16"/>
      <c r="G4" s="9" t="s">
        <v>37</v>
      </c>
      <c r="H4" s="9"/>
      <c r="I4" s="21" t="str">
        <f>IFERROR(AVERAGEIF(tbl_h5[Valoracion Numerica],"&lt;&gt;NA"),"")</f>
        <v/>
      </c>
      <c r="J4" s="10" t="str">
        <f>_xlfn.IFNA(INDEX(Datos!B4:C8,MATCH('H5. Recon, Ayuda, Recup. error'!I4,Datos!C4:C8),1),"")</f>
        <v/>
      </c>
    </row>
    <row r="5" spans="2:10" x14ac:dyDescent="0.25">
      <c r="B5" s="9" t="s">
        <v>38</v>
      </c>
      <c r="C5" s="10" t="s">
        <v>182</v>
      </c>
      <c r="D5" s="16"/>
      <c r="G5" s="9" t="s">
        <v>40</v>
      </c>
      <c r="H5" s="9"/>
      <c r="I5" s="21" t="str">
        <f>IFERROR(AVERAGEIF(tbl_h5[Valoracion numerica severidad impacto],"&lt;&gt;NA"),"")</f>
        <v/>
      </c>
      <c r="J5" s="10" t="str">
        <f>_xlfn.IFNA(INDEX(Datos!E4:F7,MATCH('H5. Recon, Ayuda, Recup. error'!I5,Datos!F4:F7),1),"")</f>
        <v/>
      </c>
    </row>
    <row r="6" spans="2:10" x14ac:dyDescent="0.25">
      <c r="B6" s="75" t="s">
        <v>41</v>
      </c>
      <c r="C6" s="77" t="s">
        <v>183</v>
      </c>
      <c r="D6" s="17"/>
      <c r="G6" s="9" t="s">
        <v>43</v>
      </c>
      <c r="H6" s="9"/>
      <c r="I6" s="21" t="str">
        <f>IFERROR(AVERAGEIF(tbl_h5[Valoración numérica de persistencia de impacto],"&lt;&gt;NA"),"")</f>
        <v/>
      </c>
      <c r="J6" s="10" t="str">
        <f>_xlfn.IFNA(INDEX(Datos!H4:I7,MATCH('H5. Recon, Ayuda, Recup. error'!I6,Datos!I4:I7),1),"")</f>
        <v/>
      </c>
    </row>
    <row r="7" spans="2:10" ht="30" customHeight="1" x14ac:dyDescent="0.25">
      <c r="B7" s="75"/>
      <c r="C7" s="77"/>
      <c r="D7" s="17"/>
      <c r="G7" s="69" t="s">
        <v>44</v>
      </c>
      <c r="H7" s="22"/>
      <c r="I7" s="23" t="str">
        <f xml:space="preserve"> IF(AND(I5&lt;&gt;"",I6&lt;&gt;""), (I5+I6+2)*0.5,"")</f>
        <v/>
      </c>
      <c r="J7" s="24" t="str">
        <f>IF(I7&lt;&gt;"",IF(I7&lt;=1,Datos!L4,IF(AND('H5. Recon, Ayuda, Recup. error'!I7&gt;1,'H5. Recon, Ayuda, Recup. error'!I7&lt;=2),Datos!L5,IF(AND('H5. Recon, Ayuda, Recup. error'!I7&gt;2,'H5. Recon, Ayuda, Recup. error'!I7&lt;=3),Datos!L6,IF(AND('H5. Recon, Ayuda, Recup. error'!I7&gt;3,'H5. Recon, Ayuda, Recup. error'!I7&lt;=4),Datos!L7,IF('H5. Recon, Ayuda, Recup. error'!I7&gt;4,Datos!L8,""))))),"")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s="1" t="s">
        <v>184</v>
      </c>
      <c r="C13" s="18" t="s">
        <v>185</v>
      </c>
      <c r="D13" s="11" t="str">
        <f>VLOOKUP(tbl_h5[[#This Row],[Valoración]],Datos!$B$3:$C$8,2,FALSE)</f>
        <v>NA</v>
      </c>
      <c r="E13" s="8" t="s">
        <v>7</v>
      </c>
      <c r="F13" s="8"/>
      <c r="G13" s="8" t="s">
        <v>7</v>
      </c>
      <c r="H13" s="8"/>
      <c r="I13" s="8" t="s">
        <v>7</v>
      </c>
      <c r="J13" s="8"/>
    </row>
    <row r="14" spans="2:10" ht="30" x14ac:dyDescent="0.25">
      <c r="B14" s="1" t="s">
        <v>186</v>
      </c>
      <c r="C14" s="18" t="s">
        <v>187</v>
      </c>
      <c r="D14" s="11" t="str">
        <f>VLOOKUP(tbl_h5[[#This Row],[Valoración]],Datos!$B$3:$C$8,2,FALSE)</f>
        <v>NA</v>
      </c>
      <c r="E14" s="8" t="s">
        <v>7</v>
      </c>
      <c r="F14" s="8"/>
      <c r="G14" s="8" t="s">
        <v>7</v>
      </c>
      <c r="H14" s="8"/>
      <c r="I14" s="8" t="s">
        <v>7</v>
      </c>
      <c r="J14" s="8"/>
    </row>
    <row r="15" spans="2:10" ht="45" x14ac:dyDescent="0.25">
      <c r="B15" s="1" t="s">
        <v>188</v>
      </c>
      <c r="C15" s="18" t="s">
        <v>189</v>
      </c>
      <c r="D15" s="11" t="str">
        <f>VLOOKUP(tbl_h5[[#This Row],[Valoración]],Datos!$B$3:$C$8,2,FALSE)</f>
        <v>NA</v>
      </c>
      <c r="E15" s="8" t="s">
        <v>7</v>
      </c>
      <c r="F15" s="8"/>
      <c r="G15" s="8" t="s">
        <v>7</v>
      </c>
      <c r="H15" s="8"/>
      <c r="I15" s="8" t="s">
        <v>7</v>
      </c>
      <c r="J15" s="8"/>
    </row>
    <row r="16" spans="2:10" ht="30" x14ac:dyDescent="0.25">
      <c r="B16" s="1" t="s">
        <v>190</v>
      </c>
      <c r="C16" s="18" t="s">
        <v>191</v>
      </c>
      <c r="D16" s="18" t="str">
        <f>VLOOKUP(tbl_h5[[#This Row],[Valoración]],Datos!$B$3:$C$8,2,FALSE)</f>
        <v>NA</v>
      </c>
      <c r="E16" s="8" t="s">
        <v>7</v>
      </c>
      <c r="F16" s="43"/>
      <c r="G16" s="8" t="s">
        <v>7</v>
      </c>
      <c r="H16" s="43"/>
      <c r="I16" s="8" t="s">
        <v>7</v>
      </c>
      <c r="J16" s="8"/>
    </row>
    <row r="17" spans="2:10" ht="30" x14ac:dyDescent="0.25">
      <c r="B17" s="1" t="s">
        <v>192</v>
      </c>
      <c r="C17" s="18" t="s">
        <v>193</v>
      </c>
      <c r="D17" s="18" t="str">
        <f>VLOOKUP(tbl_h5[[#This Row],[Valoración]],Datos!$B$3:$C$8,2,FALSE)</f>
        <v>NA</v>
      </c>
      <c r="E17" s="8" t="s">
        <v>7</v>
      </c>
      <c r="F17" s="43"/>
      <c r="G17" s="8" t="s">
        <v>7</v>
      </c>
      <c r="H17" s="43"/>
      <c r="I17" s="8" t="s">
        <v>7</v>
      </c>
      <c r="J17" s="8"/>
    </row>
    <row r="18" spans="2:10" x14ac:dyDescent="0.25">
      <c r="C18" s="11"/>
      <c r="D18" s="11"/>
    </row>
    <row r="19" spans="2:10" x14ac:dyDescent="0.25">
      <c r="C19" s="11"/>
      <c r="D19" s="11"/>
    </row>
    <row r="20" spans="2:10" x14ac:dyDescent="0.25">
      <c r="C20" s="11"/>
      <c r="D20" s="11"/>
    </row>
    <row r="21" spans="2:10" x14ac:dyDescent="0.25">
      <c r="C21" s="11"/>
      <c r="D21" s="11"/>
    </row>
    <row r="22" spans="2:10" x14ac:dyDescent="0.25">
      <c r="C22" s="11"/>
      <c r="D22" s="11"/>
    </row>
    <row r="23" spans="2:10" x14ac:dyDescent="0.25">
      <c r="C23" s="11"/>
      <c r="D23" s="11"/>
    </row>
    <row r="24" spans="2:10" x14ac:dyDescent="0.25">
      <c r="C24" s="11"/>
      <c r="D24" s="11"/>
    </row>
    <row r="25" spans="2:10" x14ac:dyDescent="0.25">
      <c r="C25" s="11"/>
      <c r="D25" s="11"/>
    </row>
    <row r="26" spans="2:10"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I13:I17</xm:sqref>
        </x14:dataValidation>
        <x14:dataValidation type="list" allowBlank="1" showInputMessage="1" showErrorMessage="1">
          <x14:formula1>
            <xm:f>Datos!$B$3:$B$8</xm:f>
          </x14:formula1>
          <xm:sqref>E13:E17</xm:sqref>
        </x14:dataValidation>
        <x14:dataValidation type="list" allowBlank="1" showInputMessage="1" showErrorMessage="1">
          <x14:formula1>
            <xm:f>Datos!$E$3:$E$7</xm:f>
          </x14:formula1>
          <xm:sqref>G13:G17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
  <sheetViews>
    <sheetView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194</v>
      </c>
      <c r="D4" s="16"/>
      <c r="G4" s="9" t="s">
        <v>37</v>
      </c>
      <c r="H4" s="9"/>
      <c r="I4" s="21" t="str">
        <f>IFERROR(AVERAGEIF(tbl_h6[Valoracion Numerica],"&lt;&gt;NA"),"")</f>
        <v/>
      </c>
      <c r="J4" s="10" t="str">
        <f>_xlfn.IFNA(INDEX(Datos!B4:C8,MATCH('H6. Prevención de errores'!I4,Datos!C4:C8),1),"")</f>
        <v/>
      </c>
    </row>
    <row r="5" spans="2:10" x14ac:dyDescent="0.25">
      <c r="B5" s="9" t="s">
        <v>38</v>
      </c>
      <c r="C5" s="10" t="s">
        <v>195</v>
      </c>
      <c r="D5" s="16"/>
      <c r="G5" s="9" t="s">
        <v>40</v>
      </c>
      <c r="H5" s="9"/>
      <c r="I5" s="21" t="str">
        <f>IFERROR(AVERAGEIF(tbl_h6[Valoracion numerica severidad impacto],"&lt;&gt;NA"),"")</f>
        <v/>
      </c>
      <c r="J5" s="10" t="str">
        <f>_xlfn.IFNA(INDEX(Datos!E4:F7,MATCH('H6. Prevención de errores'!I5,Datos!F4:F7),1),"")</f>
        <v/>
      </c>
    </row>
    <row r="6" spans="2:10" x14ac:dyDescent="0.25">
      <c r="B6" s="75" t="s">
        <v>41</v>
      </c>
      <c r="C6" s="77" t="s">
        <v>196</v>
      </c>
      <c r="D6" s="17"/>
      <c r="G6" s="9" t="s">
        <v>43</v>
      </c>
      <c r="H6" s="9"/>
      <c r="I6" s="21" t="str">
        <f>IFERROR(AVERAGEIF(tbl_h6[Valoración numérica de persistencia de impacto],"&lt;&gt;NA"),"")</f>
        <v/>
      </c>
      <c r="J6" s="10" t="str">
        <f>_xlfn.IFNA(INDEX(Datos!H4:I7,MATCH('H6. Prevención de errores'!I6,Datos!I4:I7),1),"")</f>
        <v/>
      </c>
    </row>
    <row r="7" spans="2:10" ht="43.5" customHeight="1" x14ac:dyDescent="0.25">
      <c r="B7" s="75"/>
      <c r="C7" s="77"/>
      <c r="D7" s="17"/>
      <c r="G7" s="69" t="s">
        <v>44</v>
      </c>
      <c r="H7" s="22"/>
      <c r="I7" s="23" t="str">
        <f xml:space="preserve"> IF(AND(I5&lt;&gt;"",I6&lt;&gt;""), (I5+I6+2)*0.5,"")</f>
        <v/>
      </c>
      <c r="J7" s="24" t="str">
        <f>IF(I7&lt;&gt;"",IF(I7&lt;=1,Datos!L4,IF(AND('H6. Prevención de errores'!I7&gt;1,'H6. Prevención de errores'!I7&lt;=2),Datos!L5,IF(AND('H6. Prevención de errores'!I7&gt;2,'H6. Prevención de errores'!I7&lt;=3),Datos!L6,IF(AND('H6. Prevención de errores'!I7&gt;3,'H6. Prevención de errores'!I7&lt;=4),Datos!L7,IF('H6. Prevención de errores'!I7&gt;4,Datos!L8,""))))),"")</f>
        <v/>
      </c>
    </row>
    <row r="8" spans="2:10" x14ac:dyDescent="0.25">
      <c r="C8" s="64"/>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t="s">
        <v>197</v>
      </c>
      <c r="C13" s="18" t="s">
        <v>198</v>
      </c>
      <c r="D13" s="11" t="str">
        <f>VLOOKUP(tbl_h6[[#This Row],[Valoración]],Datos!$B$3:$C$8,2,FALSE)</f>
        <v>NA</v>
      </c>
      <c r="E13" t="s">
        <v>7</v>
      </c>
      <c r="G13" t="s">
        <v>7</v>
      </c>
      <c r="I13" t="s">
        <v>7</v>
      </c>
    </row>
    <row r="14" spans="2:10" ht="30" x14ac:dyDescent="0.25">
      <c r="B14" t="s">
        <v>199</v>
      </c>
      <c r="C14" s="18" t="s">
        <v>200</v>
      </c>
      <c r="D14" s="11" t="str">
        <f>VLOOKUP(tbl_h6[[#This Row],[Valoración]],Datos!$B$3:$C$8,2,FALSE)</f>
        <v>NA</v>
      </c>
      <c r="E14" t="s">
        <v>7</v>
      </c>
      <c r="G14" t="s">
        <v>7</v>
      </c>
      <c r="I14" t="s">
        <v>7</v>
      </c>
    </row>
    <row r="15" spans="2:10" ht="30" x14ac:dyDescent="0.25">
      <c r="B15" t="s">
        <v>201</v>
      </c>
      <c r="C15" s="18" t="s">
        <v>202</v>
      </c>
      <c r="D15" s="11" t="str">
        <f>VLOOKUP(tbl_h6[[#This Row],[Valoración]],Datos!$B$3:$C$8,2,FALSE)</f>
        <v>NA</v>
      </c>
      <c r="E15" t="s">
        <v>7</v>
      </c>
      <c r="G15" t="s">
        <v>7</v>
      </c>
      <c r="I15" t="s">
        <v>7</v>
      </c>
    </row>
    <row r="16" spans="2:10" ht="30" x14ac:dyDescent="0.25">
      <c r="B16" t="s">
        <v>203</v>
      </c>
      <c r="C16" s="18" t="s">
        <v>204</v>
      </c>
      <c r="D16" s="18" t="str">
        <f>VLOOKUP(tbl_h6[[#This Row],[Valoración]],Datos!$B$3:$C$8,2,FALSE)</f>
        <v>NA</v>
      </c>
      <c r="E16" t="s">
        <v>7</v>
      </c>
      <c r="F16" s="42"/>
      <c r="G16" t="s">
        <v>7</v>
      </c>
      <c r="H16" s="42"/>
      <c r="I16" t="s">
        <v>7</v>
      </c>
    </row>
    <row r="17" spans="2:9" ht="30" x14ac:dyDescent="0.25">
      <c r="B17" t="s">
        <v>205</v>
      </c>
      <c r="C17" s="18" t="s">
        <v>206</v>
      </c>
      <c r="D17" s="18" t="str">
        <f>VLOOKUP(tbl_h6[[#This Row],[Valoración]],Datos!$B$3:$C$8,2,FALSE)</f>
        <v>NA</v>
      </c>
      <c r="E17" t="s">
        <v>7</v>
      </c>
      <c r="F17" s="42"/>
      <c r="G17" t="s">
        <v>7</v>
      </c>
      <c r="H17" s="42"/>
      <c r="I17" t="s">
        <v>7</v>
      </c>
    </row>
    <row r="18" spans="2:9" x14ac:dyDescent="0.25">
      <c r="C18" s="11"/>
      <c r="D18" s="11"/>
    </row>
    <row r="19" spans="2:9" x14ac:dyDescent="0.25">
      <c r="C19" s="11"/>
      <c r="D19" s="11"/>
    </row>
    <row r="20" spans="2:9" x14ac:dyDescent="0.25">
      <c r="C20" s="11"/>
      <c r="D20" s="11"/>
    </row>
    <row r="21" spans="2:9" x14ac:dyDescent="0.25">
      <c r="C21" s="11"/>
      <c r="D21" s="11"/>
    </row>
    <row r="22" spans="2:9" x14ac:dyDescent="0.25">
      <c r="C22" s="11"/>
      <c r="D22" s="11"/>
    </row>
    <row r="23" spans="2:9" x14ac:dyDescent="0.25">
      <c r="C23" s="11"/>
      <c r="D23" s="11"/>
    </row>
    <row r="24" spans="2:9" x14ac:dyDescent="0.25">
      <c r="C24" s="11"/>
      <c r="D24" s="11"/>
    </row>
    <row r="25" spans="2:9" x14ac:dyDescent="0.25">
      <c r="C25" s="11"/>
      <c r="D25" s="11"/>
    </row>
    <row r="26" spans="2:9" x14ac:dyDescent="0.25">
      <c r="C26" s="11"/>
      <c r="D26" s="11"/>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Datos!$E$3:$E$7</xm:f>
          </x14:formula1>
          <xm:sqref>G13:G17</xm:sqref>
        </x14:dataValidation>
        <x14:dataValidation type="list" allowBlank="1" showInputMessage="1" showErrorMessage="1">
          <x14:formula1>
            <xm:f>Datos!$B$3:$B$8</xm:f>
          </x14:formula1>
          <xm:sqref>E13:E17</xm:sqref>
        </x14:dataValidation>
        <x14:dataValidation type="list" allowBlank="1" showInputMessage="1" showErrorMessage="1">
          <x14:formula1>
            <xm:f>Datos!$H$3:$H$7</xm:f>
          </x14:formula1>
          <xm:sqref>I13:I17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opLeftCell="B1" zoomScale="80" zoomScaleNormal="80" workbookViewId="0">
      <selection activeCell="E13" sqref="E13"/>
    </sheetView>
  </sheetViews>
  <sheetFormatPr baseColWidth="10" defaultColWidth="11.42578125" defaultRowHeight="15" x14ac:dyDescent="0.25"/>
  <cols>
    <col min="1" max="1" width="3.5703125" customWidth="1"/>
    <col min="2" max="2" width="23.5703125" bestFit="1" customWidth="1"/>
    <col min="3" max="3" width="63.42578125" customWidth="1"/>
    <col min="4" max="4" width="72.85546875" hidden="1" customWidth="1"/>
    <col min="5" max="5" width="20.7109375" bestFit="1" customWidth="1"/>
    <col min="6" max="6" width="20.7109375" hidden="1" customWidth="1"/>
    <col min="7" max="7" width="35" bestFit="1" customWidth="1"/>
    <col min="8" max="8" width="35" hidden="1" customWidth="1"/>
    <col min="9" max="9" width="16.85546875" customWidth="1"/>
    <col min="10" max="10" width="45.85546875" customWidth="1"/>
  </cols>
  <sheetData>
    <row r="2" spans="2:10" x14ac:dyDescent="0.25">
      <c r="B2" s="74" t="s">
        <v>33</v>
      </c>
      <c r="C2" s="74"/>
      <c r="D2" s="7"/>
      <c r="G2" s="74" t="s">
        <v>34</v>
      </c>
      <c r="H2" s="74"/>
      <c r="I2" s="74"/>
      <c r="J2" s="74"/>
    </row>
    <row r="3" spans="2:10" x14ac:dyDescent="0.25">
      <c r="I3" s="26" t="s">
        <v>0</v>
      </c>
      <c r="J3" s="26" t="s">
        <v>4</v>
      </c>
    </row>
    <row r="4" spans="2:10" x14ac:dyDescent="0.25">
      <c r="B4" s="9" t="s">
        <v>35</v>
      </c>
      <c r="C4" s="10" t="s">
        <v>207</v>
      </c>
      <c r="D4" s="16"/>
      <c r="G4" s="9" t="s">
        <v>37</v>
      </c>
      <c r="H4" s="9"/>
      <c r="I4" s="21" t="str">
        <f>IFERROR(AVERAGEIF(tbl_h7[Valoracion Numerica],"&lt;&gt;NA"),"")</f>
        <v/>
      </c>
      <c r="J4" s="10" t="str">
        <f>_xlfn.IFNA(INDEX(Datos!B4:C8,MATCH('H7. Reconoc. antes que memor.'!I4,Datos!C4:C8),1),"")</f>
        <v/>
      </c>
    </row>
    <row r="5" spans="2:10" x14ac:dyDescent="0.25">
      <c r="B5" s="9" t="s">
        <v>38</v>
      </c>
      <c r="C5" s="10" t="s">
        <v>208</v>
      </c>
      <c r="D5" s="16"/>
      <c r="G5" s="9" t="s">
        <v>40</v>
      </c>
      <c r="H5" s="9"/>
      <c r="I5" s="21" t="str">
        <f>IFERROR(AVERAGEIF(tbl_h7[Valoracion numerica severidad impacto],"&lt;&gt;NA"),"")</f>
        <v/>
      </c>
      <c r="J5" s="10" t="str">
        <f>_xlfn.IFNA(INDEX(Datos!E4:F7,MATCH('H7. Reconoc. antes que memor.'!I5,Datos!F4:F7),1),"")</f>
        <v/>
      </c>
    </row>
    <row r="6" spans="2:10" x14ac:dyDescent="0.25">
      <c r="B6" s="75" t="s">
        <v>41</v>
      </c>
      <c r="C6" s="77" t="s">
        <v>209</v>
      </c>
      <c r="D6" s="17"/>
      <c r="G6" s="9" t="s">
        <v>43</v>
      </c>
      <c r="H6" s="9"/>
      <c r="I6" s="21" t="str">
        <f>IFERROR(AVERAGEIF(tbl_h7[Valoración numérica de persistencia de impacto],"&lt;&gt;NA"),"")</f>
        <v/>
      </c>
      <c r="J6" s="10" t="str">
        <f>_xlfn.IFNA(INDEX(Datos!H4:I7,MATCH('H7. Reconoc. antes que memor.'!I6,Datos!I4:I7),1),"")</f>
        <v/>
      </c>
    </row>
    <row r="7" spans="2:10" ht="59.25" customHeight="1" x14ac:dyDescent="0.25">
      <c r="B7" s="75"/>
      <c r="C7" s="77"/>
      <c r="D7" s="17"/>
      <c r="G7" s="69" t="s">
        <v>44</v>
      </c>
      <c r="H7" s="22"/>
      <c r="I7" s="23" t="str">
        <f xml:space="preserve"> IF(AND(I5&lt;&gt;"",I6&lt;&gt;""), (I5+I6+2)*0.5,"")</f>
        <v/>
      </c>
      <c r="J7" s="24" t="str">
        <f>IF(I7&lt;&gt;"",IF(I7&lt;=1,Datos!L4,IF(AND('H7. Reconoc. antes que memor.'!I7&gt;1,'H7. Reconoc. antes que memor.'!I7&lt;=2),Datos!L5,IF(AND('H7. Reconoc. antes que memor.'!I7&gt;2,'H7. Reconoc. antes que memor.'!I7&lt;=3),Datos!L6,IF(AND('H7. Reconoc. antes que memor.'!I7&gt;3,'H7. Reconoc. antes que memor.'!I7&lt;=4),Datos!L7,IF('H7. Reconoc. antes que memor.'!I7&gt;4,Datos!L8,""))))),"")</f>
        <v/>
      </c>
    </row>
    <row r="10" spans="2:10" x14ac:dyDescent="0.25">
      <c r="B10" s="6"/>
    </row>
    <row r="11" spans="2:10" x14ac:dyDescent="0.25">
      <c r="B11" s="6"/>
    </row>
    <row r="12" spans="2:10" ht="30" x14ac:dyDescent="0.25">
      <c r="B12" s="20" t="s">
        <v>45</v>
      </c>
      <c r="C12" s="20" t="s">
        <v>46</v>
      </c>
      <c r="D12" s="20" t="s">
        <v>47</v>
      </c>
      <c r="E12" s="20" t="s">
        <v>0</v>
      </c>
      <c r="F12" s="20" t="s">
        <v>48</v>
      </c>
      <c r="G12" s="20" t="s">
        <v>49</v>
      </c>
      <c r="H12" s="20" t="s">
        <v>50</v>
      </c>
      <c r="I12" s="20" t="s">
        <v>51</v>
      </c>
      <c r="J12" s="20" t="s">
        <v>84</v>
      </c>
    </row>
    <row r="13" spans="2:10" ht="30" x14ac:dyDescent="0.25">
      <c r="B13" t="s">
        <v>210</v>
      </c>
      <c r="C13" s="18" t="s">
        <v>211</v>
      </c>
      <c r="D13" s="11" t="str">
        <f>VLOOKUP(tbl_h7[[#This Row],[Valoración]],Datos!$B$3:$C$8,2,FALSE)</f>
        <v>NA</v>
      </c>
      <c r="E13" t="s">
        <v>7</v>
      </c>
      <c r="G13" t="s">
        <v>7</v>
      </c>
      <c r="I13" t="s">
        <v>7</v>
      </c>
    </row>
    <row r="14" spans="2:10" ht="30" x14ac:dyDescent="0.25">
      <c r="B14" t="s">
        <v>212</v>
      </c>
      <c r="C14" s="18" t="s">
        <v>213</v>
      </c>
      <c r="D14" s="11" t="str">
        <f>VLOOKUP(tbl_h7[[#This Row],[Valoración]],Datos!$B$3:$C$8,2,FALSE)</f>
        <v>NA</v>
      </c>
      <c r="E14" t="s">
        <v>7</v>
      </c>
      <c r="G14" t="s">
        <v>7</v>
      </c>
      <c r="I14" t="s">
        <v>7</v>
      </c>
    </row>
    <row r="15" spans="2:10" ht="30" x14ac:dyDescent="0.25">
      <c r="B15" t="s">
        <v>214</v>
      </c>
      <c r="C15" s="18" t="s">
        <v>215</v>
      </c>
      <c r="D15" s="11" t="str">
        <f>VLOOKUP(tbl_h7[[#This Row],[Valoración]],Datos!$B$3:$C$8,2,FALSE)</f>
        <v>NA</v>
      </c>
      <c r="E15" t="s">
        <v>7</v>
      </c>
      <c r="G15" t="s">
        <v>7</v>
      </c>
      <c r="I15" t="s">
        <v>7</v>
      </c>
    </row>
    <row r="16" spans="2:10" ht="30" x14ac:dyDescent="0.25">
      <c r="B16" t="s">
        <v>216</v>
      </c>
      <c r="C16" s="18" t="s">
        <v>217</v>
      </c>
      <c r="D16" s="18" t="str">
        <f>VLOOKUP(tbl_h7[[#This Row],[Valoración]],Datos!$B$3:$C$8,2,FALSE)</f>
        <v>NA</v>
      </c>
      <c r="E16" t="s">
        <v>7</v>
      </c>
      <c r="F16" s="42"/>
      <c r="G16" t="s">
        <v>7</v>
      </c>
      <c r="H16" s="42"/>
      <c r="I16" t="s">
        <v>7</v>
      </c>
    </row>
    <row r="17" spans="2:9" ht="45" x14ac:dyDescent="0.25">
      <c r="B17" t="s">
        <v>218</v>
      </c>
      <c r="C17" s="18" t="s">
        <v>219</v>
      </c>
      <c r="D17" s="18" t="str">
        <f>VLOOKUP(tbl_h7[[#This Row],[Valoración]],Datos!$B$3:$C$8,2,FALSE)</f>
        <v>NA</v>
      </c>
      <c r="E17" t="s">
        <v>7</v>
      </c>
      <c r="F17" s="42"/>
      <c r="G17" t="s">
        <v>7</v>
      </c>
      <c r="H17" s="42"/>
      <c r="I17" t="s">
        <v>7</v>
      </c>
    </row>
    <row r="18" spans="2:9" ht="30" x14ac:dyDescent="0.25">
      <c r="B18" t="s">
        <v>220</v>
      </c>
      <c r="C18" s="18" t="s">
        <v>221</v>
      </c>
      <c r="D18" s="18" t="str">
        <f>VLOOKUP(tbl_h7[[#This Row],[Valoración]],Datos!$B$3:$C$8,2,FALSE)</f>
        <v>NA</v>
      </c>
      <c r="E18" t="s">
        <v>7</v>
      </c>
      <c r="F18" s="42"/>
      <c r="G18" t="s">
        <v>7</v>
      </c>
      <c r="H18" s="42"/>
      <c r="I18" t="s">
        <v>7</v>
      </c>
    </row>
    <row r="19" spans="2:9" ht="30" x14ac:dyDescent="0.25">
      <c r="B19" t="s">
        <v>222</v>
      </c>
      <c r="C19" s="18" t="s">
        <v>223</v>
      </c>
      <c r="D19" s="18" t="str">
        <f>VLOOKUP(tbl_h7[[#This Row],[Valoración]],Datos!$B$3:$C$8,2,FALSE)</f>
        <v>NA</v>
      </c>
      <c r="E19" t="s">
        <v>7</v>
      </c>
      <c r="F19" s="42"/>
      <c r="G19" t="s">
        <v>7</v>
      </c>
      <c r="H19" s="42"/>
      <c r="I19" t="s">
        <v>7</v>
      </c>
    </row>
    <row r="20" spans="2:9" x14ac:dyDescent="0.25">
      <c r="B20" t="s">
        <v>224</v>
      </c>
      <c r="C20" s="18" t="s">
        <v>225</v>
      </c>
      <c r="D20" s="18" t="str">
        <f>VLOOKUP(tbl_h7[[#This Row],[Valoración]],Datos!$B$3:$C$8,2,FALSE)</f>
        <v>NA</v>
      </c>
      <c r="E20" t="s">
        <v>7</v>
      </c>
      <c r="F20" s="42"/>
      <c r="G20" t="s">
        <v>7</v>
      </c>
      <c r="H20" s="42"/>
      <c r="I20" t="s">
        <v>7</v>
      </c>
    </row>
    <row r="21" spans="2:9" ht="30" x14ac:dyDescent="0.25">
      <c r="B21" t="s">
        <v>226</v>
      </c>
      <c r="C21" s="18" t="s">
        <v>227</v>
      </c>
      <c r="D21" s="18" t="str">
        <f>VLOOKUP(tbl_h7[[#This Row],[Valoración]],Datos!$B$3:$C$8,2,FALSE)</f>
        <v>NA</v>
      </c>
      <c r="E21" t="s">
        <v>7</v>
      </c>
      <c r="F21" s="42"/>
      <c r="G21" t="s">
        <v>7</v>
      </c>
      <c r="H21" s="42"/>
      <c r="I21" t="s">
        <v>7</v>
      </c>
    </row>
    <row r="22" spans="2:9" ht="30" x14ac:dyDescent="0.25">
      <c r="B22" t="s">
        <v>228</v>
      </c>
      <c r="C22" s="18" t="s">
        <v>229</v>
      </c>
      <c r="D22" s="18" t="str">
        <f>VLOOKUP(tbl_h7[[#This Row],[Valoración]],Datos!$B$3:$C$8,2,FALSE)</f>
        <v>NA</v>
      </c>
      <c r="E22" t="s">
        <v>7</v>
      </c>
      <c r="F22" s="42"/>
      <c r="G22" t="s">
        <v>7</v>
      </c>
      <c r="H22" s="42"/>
      <c r="I22" t="s">
        <v>7</v>
      </c>
    </row>
    <row r="23" spans="2:9" x14ac:dyDescent="0.25">
      <c r="B23" t="s">
        <v>230</v>
      </c>
      <c r="C23" s="18" t="s">
        <v>231</v>
      </c>
      <c r="D23" s="18" t="str">
        <f>VLOOKUP(tbl_h7[[#This Row],[Valoración]],Datos!$B$3:$C$8,2,FALSE)</f>
        <v>NA</v>
      </c>
      <c r="E23" t="s">
        <v>7</v>
      </c>
      <c r="F23" s="42"/>
      <c r="G23" t="s">
        <v>7</v>
      </c>
      <c r="H23" s="42"/>
      <c r="I23" t="s">
        <v>7</v>
      </c>
    </row>
    <row r="24" spans="2:9" ht="30" x14ac:dyDescent="0.25">
      <c r="B24" t="s">
        <v>232</v>
      </c>
      <c r="C24" s="18" t="s">
        <v>233</v>
      </c>
      <c r="D24" s="18" t="str">
        <f>VLOOKUP(tbl_h7[[#This Row],[Valoración]],Datos!$B$3:$C$8,2,FALSE)</f>
        <v>NA</v>
      </c>
      <c r="E24" t="s">
        <v>7</v>
      </c>
      <c r="F24" s="42"/>
      <c r="G24" t="s">
        <v>7</v>
      </c>
      <c r="H24" s="42"/>
      <c r="I24" t="s">
        <v>7</v>
      </c>
    </row>
    <row r="25" spans="2:9" x14ac:dyDescent="0.25">
      <c r="B25" t="s">
        <v>234</v>
      </c>
      <c r="C25" s="18" t="s">
        <v>235</v>
      </c>
      <c r="D25" s="18" t="str">
        <f>VLOOKUP(tbl_h7[[#This Row],[Valoración]],Datos!$B$3:$C$8,2,FALSE)</f>
        <v>NA</v>
      </c>
      <c r="E25" t="s">
        <v>7</v>
      </c>
      <c r="F25" s="42"/>
      <c r="G25" t="s">
        <v>7</v>
      </c>
      <c r="H25" s="42"/>
      <c r="I25" t="s">
        <v>7</v>
      </c>
    </row>
    <row r="26" spans="2:9" ht="30" x14ac:dyDescent="0.25">
      <c r="B26" t="s">
        <v>236</v>
      </c>
      <c r="C26" s="18" t="s">
        <v>237</v>
      </c>
      <c r="D26" s="18" t="str">
        <f>VLOOKUP(tbl_h7[[#This Row],[Valoración]],Datos!$B$3:$C$8,2,FALSE)</f>
        <v>NA</v>
      </c>
      <c r="E26" t="s">
        <v>7</v>
      </c>
      <c r="F26" s="42"/>
      <c r="G26" t="s">
        <v>7</v>
      </c>
      <c r="H26" s="42"/>
      <c r="I26" t="s">
        <v>7</v>
      </c>
    </row>
    <row r="27" spans="2:9" ht="30" x14ac:dyDescent="0.25">
      <c r="B27" t="s">
        <v>238</v>
      </c>
      <c r="C27" s="18" t="s">
        <v>239</v>
      </c>
      <c r="D27" s="18" t="str">
        <f>VLOOKUP(tbl_h7[[#This Row],[Valoración]],Datos!$B$3:$C$8,2,FALSE)</f>
        <v>NA</v>
      </c>
      <c r="E27" t="s">
        <v>7</v>
      </c>
      <c r="F27" s="42"/>
      <c r="G27" t="s">
        <v>7</v>
      </c>
      <c r="H27" s="42"/>
      <c r="I27" t="s">
        <v>7</v>
      </c>
    </row>
    <row r="28" spans="2:9" ht="30" x14ac:dyDescent="0.25">
      <c r="B28" t="s">
        <v>240</v>
      </c>
      <c r="C28" s="18" t="s">
        <v>241</v>
      </c>
      <c r="D28" s="18" t="str">
        <f>VLOOKUP(tbl_h7[[#This Row],[Valoración]],Datos!$B$3:$C$8,2,FALSE)</f>
        <v>NA</v>
      </c>
      <c r="E28" t="s">
        <v>7</v>
      </c>
      <c r="F28" s="42"/>
      <c r="G28" t="s">
        <v>7</v>
      </c>
      <c r="H28" s="42"/>
      <c r="I28" t="s">
        <v>7</v>
      </c>
    </row>
    <row r="29" spans="2:9" ht="30" x14ac:dyDescent="0.25">
      <c r="B29" t="s">
        <v>242</v>
      </c>
      <c r="C29" s="18" t="s">
        <v>243</v>
      </c>
      <c r="D29" s="18" t="str">
        <f>VLOOKUP(tbl_h7[[#This Row],[Valoración]],Datos!$B$3:$C$8,2,FALSE)</f>
        <v>NA</v>
      </c>
      <c r="E29" t="s">
        <v>7</v>
      </c>
      <c r="F29" s="42"/>
      <c r="G29" t="s">
        <v>7</v>
      </c>
      <c r="H29" s="42"/>
      <c r="I29" t="s">
        <v>7</v>
      </c>
    </row>
    <row r="30" spans="2:9" ht="30" x14ac:dyDescent="0.25">
      <c r="B30" t="s">
        <v>244</v>
      </c>
      <c r="C30" s="18" t="s">
        <v>245</v>
      </c>
      <c r="D30" s="18" t="str">
        <f>VLOOKUP(tbl_h7[[#This Row],[Valoración]],Datos!$B$3:$C$8,2,FALSE)</f>
        <v>NA</v>
      </c>
      <c r="E30" t="s">
        <v>7</v>
      </c>
      <c r="F30" s="42"/>
      <c r="G30" t="s">
        <v>7</v>
      </c>
      <c r="H30" s="42"/>
      <c r="I30" t="s">
        <v>7</v>
      </c>
    </row>
    <row r="31" spans="2:9" x14ac:dyDescent="0.25">
      <c r="B31" t="s">
        <v>246</v>
      </c>
      <c r="C31" s="18" t="s">
        <v>247</v>
      </c>
      <c r="D31" s="18" t="str">
        <f>VLOOKUP(tbl_h7[[#This Row],[Valoración]],Datos!$B$3:$C$8,2,FALSE)</f>
        <v>NA</v>
      </c>
      <c r="E31" t="s">
        <v>7</v>
      </c>
      <c r="F31" s="42"/>
      <c r="G31" t="s">
        <v>7</v>
      </c>
      <c r="H31" s="42"/>
      <c r="I31" t="s">
        <v>7</v>
      </c>
    </row>
  </sheetData>
  <dataConsolidate/>
  <mergeCells count="4">
    <mergeCell ref="B2:C2"/>
    <mergeCell ref="G2:J2"/>
    <mergeCell ref="B6:B7"/>
    <mergeCell ref="C6:C7"/>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Datos!$H$3:$H$7</xm:f>
          </x14:formula1>
          <xm:sqref>I13:I31</xm:sqref>
        </x14:dataValidation>
        <x14:dataValidation type="list" allowBlank="1" showInputMessage="1" showErrorMessage="1">
          <x14:formula1>
            <xm:f>Datos!$B$3:$B$8</xm:f>
          </x14:formula1>
          <xm:sqref>E13:E31</xm:sqref>
        </x14:dataValidation>
        <x14:dataValidation type="list" allowBlank="1" showInputMessage="1" showErrorMessage="1">
          <x14:formula1>
            <xm:f>Datos!$E$3:$E$7</xm:f>
          </x14:formula1>
          <xm:sqref>G13:G31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Datos</vt:lpstr>
      <vt:lpstr>Datos de la evaluación</vt:lpstr>
      <vt:lpstr>H1. Visibilidad y estado</vt:lpstr>
      <vt:lpstr>H2. Relacion sistema-mundo-real</vt:lpstr>
      <vt:lpstr>H3. Control y libertad usuario</vt:lpstr>
      <vt:lpstr>H4. Consistencias y estándares</vt:lpstr>
      <vt:lpstr>H5. Recon, Ayuda, Recup. error</vt:lpstr>
      <vt:lpstr>H6. Prevención de errores</vt:lpstr>
      <vt:lpstr>H7. Reconoc. antes que memor.</vt:lpstr>
      <vt:lpstr>H8. Flexibilidad y eficiencia</vt:lpstr>
      <vt:lpstr>H9. Diseno minimalista</vt:lpstr>
      <vt:lpstr>H10. Documentación</vt:lpstr>
      <vt:lpstr>H11. Contenido</vt:lpstr>
      <vt:lpstr>H12. Confiabilidad y eficiencia</vt:lpstr>
      <vt:lpstr>H13. Búsqueda</vt:lpstr>
      <vt:lpstr>Tabla dinamica resultados</vt:lpstr>
      <vt:lpstr>Resultados Generales</vt:lpstr>
      <vt:lpstr>Resultados de cumplimiento</vt:lpstr>
      <vt:lpstr>Result. porc. cumplimiento</vt:lpstr>
      <vt:lpstr>Resul. porc. cump. individual</vt:lpstr>
      <vt:lpstr>Resultados de impacto </vt:lpstr>
      <vt:lpstr>Result. porc. impacto</vt:lpstr>
      <vt:lpstr>Result. porc. impac individual</vt:lpstr>
      <vt:lpstr>Consolidado heuristicas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Usuario de Windows</cp:lastModifiedBy>
  <cp:revision/>
  <dcterms:created xsi:type="dcterms:W3CDTF">2019-09-02T22:47:03Z</dcterms:created>
  <dcterms:modified xsi:type="dcterms:W3CDTF">2019-09-17T16:39:53Z</dcterms:modified>
  <cp:category/>
  <cp:contentStatus/>
</cp:coreProperties>
</file>