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activeTab="16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E14" i="132" l="1"/>
  <c r="F8" i="132"/>
  <c r="K8" i="13" l="1"/>
  <c r="K3" i="144" l="1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43"/>
  <c r="K3" i="142"/>
  <c r="K3" i="141"/>
  <c r="K3" i="140"/>
  <c r="K3" i="139"/>
  <c r="K3" i="138"/>
  <c r="F3" i="133"/>
  <c r="P27" i="1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D13" i="1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8" i="132"/>
  <c r="J7" i="132"/>
  <c r="J6" i="132"/>
  <c r="J5" i="132"/>
  <c r="J4" i="132"/>
  <c r="J3" i="132"/>
  <c r="J12" i="133"/>
  <c r="J11" i="133"/>
  <c r="J10" i="133"/>
  <c r="J8" i="133"/>
  <c r="J7" i="133"/>
  <c r="J6" i="133"/>
  <c r="J5" i="133"/>
  <c r="J4" i="133"/>
  <c r="J3" i="133"/>
  <c r="J12" i="134"/>
  <c r="J11" i="134"/>
  <c r="J10" i="134"/>
  <c r="J8" i="134"/>
  <c r="J7" i="134"/>
  <c r="J6" i="134"/>
  <c r="J5" i="134"/>
  <c r="J4" i="134"/>
  <c r="J3" i="134"/>
  <c r="J12" i="135"/>
  <c r="J11" i="135"/>
  <c r="J10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8" i="144" s="1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50" l="1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I13" i="159" s="1"/>
  <c r="D11" i="159"/>
  <c r="D13" i="159" s="1"/>
  <c r="I24" i="158"/>
  <c r="D24" i="158"/>
  <c r="I11" i="158"/>
  <c r="I13" i="158" s="1"/>
  <c r="D11" i="158"/>
  <c r="D13" i="158" s="1"/>
  <c r="I24" i="157"/>
  <c r="D24" i="157"/>
  <c r="I11" i="157"/>
  <c r="I13" i="157" s="1"/>
  <c r="D11" i="157"/>
  <c r="D13" i="157" s="1"/>
  <c r="I24" i="156"/>
  <c r="D24" i="156"/>
  <c r="I11" i="156"/>
  <c r="I13" i="156" s="1"/>
  <c r="D11" i="156"/>
  <c r="D13" i="156" s="1"/>
  <c r="I24" i="155"/>
  <c r="D24" i="155"/>
  <c r="I11" i="155"/>
  <c r="I13" i="155" s="1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I13" i="150" s="1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I13" i="148" s="1"/>
  <c r="D11" i="148"/>
  <c r="D13" i="148" s="1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I13" i="143" s="1"/>
  <c r="D11" i="143"/>
  <c r="D13" i="143" s="1"/>
  <c r="I24" i="142"/>
  <c r="D24" i="142"/>
  <c r="I11" i="142"/>
  <c r="I13" i="142" s="1"/>
  <c r="D11" i="142"/>
  <c r="D13" i="142" s="1"/>
  <c r="I24" i="141"/>
  <c r="D24" i="141"/>
  <c r="I11" i="141"/>
  <c r="I13" i="141" s="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1" i="139"/>
  <c r="D13" i="139" s="1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D13" i="137" s="1"/>
  <c r="I24" i="136"/>
  <c r="D24" i="136"/>
  <c r="I11" i="136"/>
  <c r="I13" i="136" s="1"/>
  <c r="D11" i="136"/>
  <c r="D13" i="136" s="1"/>
  <c r="I24" i="135"/>
  <c r="D24" i="135"/>
  <c r="I11" i="135"/>
  <c r="I13" i="135" s="1"/>
  <c r="D11" i="135"/>
  <c r="D13" i="135" s="1"/>
  <c r="I24" i="134"/>
  <c r="D24" i="134"/>
  <c r="I11" i="134"/>
  <c r="I13" i="134" s="1"/>
  <c r="D11" i="134"/>
  <c r="D13" i="134" s="1"/>
  <c r="I24" i="133"/>
  <c r="D24" i="133"/>
  <c r="I11" i="133"/>
  <c r="I13" i="133" s="1"/>
  <c r="D11" i="133"/>
  <c r="D13" i="133" s="1"/>
  <c r="I24" i="132"/>
  <c r="D24" i="132"/>
  <c r="I11" i="132"/>
  <c r="I13" i="132" s="1"/>
  <c r="D11" i="132"/>
  <c r="D13" i="132" s="1"/>
  <c r="I24" i="131"/>
  <c r="D24" i="131"/>
  <c r="I11" i="131"/>
  <c r="I13" i="131" s="1"/>
  <c r="D11" i="131"/>
  <c r="D13" i="131" s="1"/>
  <c r="I24" i="13"/>
  <c r="D24" i="13"/>
  <c r="I11" i="13"/>
  <c r="I13" i="13" s="1"/>
  <c r="D11" i="13"/>
  <c r="D13" i="13" s="1"/>
  <c r="I24" i="1"/>
  <c r="D24" i="1"/>
  <c r="D26" i="1" s="1"/>
  <c r="I11" i="1"/>
  <c r="I13" i="1" s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K14" i="131"/>
  <c r="F27" i="131"/>
  <c r="K27" i="131"/>
  <c r="K14" i="13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E15" i="132" s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F14" i="136" l="1"/>
  <c r="K14" i="136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13" i="1"/>
  <c r="K26" i="1" l="1"/>
  <c r="F27" i="1"/>
  <c r="Q15" i="14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<sst xmlns="http://schemas.openxmlformats.org/spreadsheetml/2006/main" count="877" uniqueCount="78">
  <si>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</si>
  <si>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</si>
  <si>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</si>
  <si>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</si>
  <si>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</si>
  <si>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</si>
  <si>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</si>
  <si>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</si>
  <si>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</si>
  <si>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</si>
  <si>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</si>
  <si>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</si>
  <si>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</si>
  <si>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</si>
  <si>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</si>
  <si>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</si>
  <si>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</si>
  <si>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</si>
  <si>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</si>
  <si>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</si>
  <si>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</si>
  <si>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</si>
  <si>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</si>
  <si>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</si>
  <si>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</si>
  <si>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</si>
  <si>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</si>
  <si>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</si>
  <si>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</si>
  <si>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</si>
  <si>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</si>
  <si>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</si>
  <si>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</si>
  <si>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</si>
  <si>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</si>
  <si>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</si>
  <si>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</si>
  <si>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</si>
  <si>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</si>
  <si>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</si>
  <si>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</si>
  <si>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</si>
  <si>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</si>
  <si>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</si>
  <si>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</si>
  <si>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</si>
  <si>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</si>
  <si>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</si>
  <si>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</si>
  <si>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</si>
  <si>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</si>
  <si>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</si>
  <si>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</si>
  <si>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</si>
  <si>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</si>
  <si>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</si>
  <si>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</si>
  <si>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</si>
  <si>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</si>
  <si>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</si>
  <si>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</si>
  <si>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</si>
  <si>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</si>
  <si>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</si>
  <si>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</si>
  <si>
    <t>동양외상</t>
    <phoneticPr fontId="1" type="noConversion"/>
  </si>
  <si>
    <t>차액</t>
    <phoneticPr fontId="1" type="noConversion"/>
  </si>
  <si>
    <t>동양외상</t>
    <phoneticPr fontId="1" type="noConversion"/>
  </si>
  <si>
    <t>동양외상</t>
    <phoneticPr fontId="1" type="noConversion"/>
  </si>
  <si>
    <t>동양외상</t>
    <phoneticPr fontId="1" type="noConversion"/>
  </si>
  <si>
    <r>
      <t>3697</t>
    </r>
    <r>
      <rPr>
        <sz val="11"/>
        <color theme="1"/>
        <rFont val="돋움"/>
        <family val="3"/>
        <charset val="129"/>
      </rPr>
      <t>호</t>
    </r>
    <phoneticPr fontId="1" type="noConversion"/>
  </si>
  <si>
    <t>동양외상</t>
    <phoneticPr fontId="1" type="noConversion"/>
  </si>
  <si>
    <t>동양외상</t>
    <phoneticPr fontId="1" type="noConversion"/>
  </si>
  <si>
    <t>동양외상</t>
    <phoneticPr fontId="1" type="noConversion"/>
  </si>
  <si>
    <t>동양외상</t>
    <phoneticPr fontId="1" type="noConversion"/>
  </si>
  <si>
    <t>안진외상</t>
    <phoneticPr fontId="1" type="noConversion"/>
  </si>
  <si>
    <t>안진외상</t>
    <phoneticPr fontId="1" type="noConversion"/>
  </si>
  <si>
    <t>이월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</si>
</sst>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  <font>
      <sz val="11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23" fillId="0" borderId="0" xfId="0" applyNumberFormat="1" applyFont="1" applyAlignment="1" applyProtection="1">
      <alignment horizontal="center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  <protection locked="0"/>
    </xf>
    <xf numFmtId="176" fontId="11" fillId="2" borderId="5" xfId="0" applyNumberFormat="1" applyFont="1" applyFill="1" applyBorder="1" applyAlignment="1" applyProtection="1">
      <alignment horizontal="right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</xf>
    <xf numFmtId="176" fontId="11" fillId="2" borderId="5" xfId="0" applyNumberFormat="1" applyFont="1" applyFill="1" applyBorder="1" applyAlignment="1" applyProtection="1">
      <alignment horizontal="right" vertical="center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A7" workbookViewId="0">
      <selection activeCell="F18" sqref="F18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12</v>
      </c>
      <c r="F1" s="24" t="str">
        <f>IF(E1&lt;1,"◀  월 입력","월")</f>
        <v>월</v>
      </c>
      <c r="G1" s="25">
        <v>1</v>
      </c>
      <c r="H1" s="26" t="s">
        <v>11</v>
      </c>
      <c r="I1" s="25">
        <v>1032</v>
      </c>
      <c r="J1" s="24" t="str">
        <f>IF(I1&lt;100,"◀  단가입력","원")</f>
        <v>원</v>
      </c>
      <c r="L1" s="28">
        <f>+ROUND(+O5*0.584/1000,3)</f>
        <v>15.68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15.68</v>
      </c>
      <c r="M2" s="27" t="s">
        <v>7</v>
      </c>
      <c r="N2" s="138" t="s">
        <v>12</v>
      </c>
      <c r="O2" s="138"/>
      <c r="P2" s="138"/>
      <c r="Q2" s="138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15.68</v>
      </c>
      <c r="M3" s="27" t="s">
        <v>10</v>
      </c>
      <c r="N3" s="32"/>
      <c r="O3" s="32"/>
      <c r="P3" s="137" t="str">
        <f>+'(1)'!$C$1&amp;"년"&amp;'(1)'!$E$1&amp;"월"&amp;$G$1&amp;"일"</f>
        <v>2023년12월1일</v>
      </c>
      <c r="Q3" s="137"/>
      <c r="R3" s="33"/>
    </row>
    <row r="4" spans="3:25" ht="16.5" customHeight="1" thickBot="1">
      <c r="C4" s="34" t="s">
        <v>15</v>
      </c>
      <c r="D4" s="35">
        <v>8281.2469999999994</v>
      </c>
      <c r="E4" s="34" t="str">
        <f>+'[1](1)'!E4</f>
        <v>고액권</v>
      </c>
      <c r="F4" s="36">
        <v>205000</v>
      </c>
      <c r="H4" s="93" t="str">
        <f>+C4</f>
        <v>판매량</v>
      </c>
      <c r="I4" s="35">
        <v>9518.2900000000009</v>
      </c>
      <c r="J4" s="42" t="str">
        <f>+'[1](1)'!J4</f>
        <v>고액권</v>
      </c>
      <c r="K4" s="36">
        <v>225000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39225</v>
      </c>
      <c r="S4" s="41" t="s">
        <v>17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1800</v>
      </c>
      <c r="H5" s="94" t="str">
        <f>+C5</f>
        <v>법인전표</v>
      </c>
      <c r="I5" s="43"/>
      <c r="J5" s="42" t="str">
        <f>+'[1](1)'!J5</f>
        <v>천원권</v>
      </c>
      <c r="K5" s="44">
        <v>3000</v>
      </c>
      <c r="M5" s="38"/>
      <c r="N5" s="45" t="str">
        <f>+C4</f>
        <v>판매량</v>
      </c>
      <c r="O5" s="46">
        <f>SUM(D4+I4+D17+I17+D35+I35)</f>
        <v>26849.938000000002</v>
      </c>
      <c r="P5" s="47" t="str">
        <f>+E4</f>
        <v>고액권</v>
      </c>
      <c r="Q5" s="48">
        <f>SUM(F4+K4+F17+K17+F35+K35)</f>
        <v>685000</v>
      </c>
      <c r="R5" s="49">
        <v>15</v>
      </c>
      <c r="S5" s="41" t="s">
        <v>20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186.523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6600</v>
      </c>
      <c r="R6" s="49">
        <v>2</v>
      </c>
      <c r="S6" s="41" t="s">
        <v>23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214.761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8294062</v>
      </c>
      <c r="H8" s="94" t="str">
        <f t="shared" si="2"/>
        <v>자가소비</v>
      </c>
      <c r="I8" s="50"/>
      <c r="J8" s="42" t="str">
        <f>+'[1](1)'!J8</f>
        <v>신용카드</v>
      </c>
      <c r="K8" s="44">
        <v>17679035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26729699</v>
      </c>
      <c r="R9" s="40"/>
    </row>
    <row r="10" spans="3:25" ht="16.5" customHeight="1">
      <c r="C10" s="42" t="s">
        <v>49</v>
      </c>
      <c r="D10" s="50"/>
      <c r="E10" s="42" t="str">
        <f>+'[1](1)'!E10</f>
        <v>OK케시백</v>
      </c>
      <c r="F10" s="44">
        <v>46150</v>
      </c>
      <c r="H10" s="94" t="str">
        <f t="shared" si="2"/>
        <v>고객우대</v>
      </c>
      <c r="I10" s="50">
        <v>337.97</v>
      </c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-11828.95</v>
      </c>
      <c r="J11" s="56" t="str">
        <f>+'[1](1)'!J11</f>
        <v>모바일</v>
      </c>
      <c r="K11" s="44">
        <v>5000</v>
      </c>
      <c r="M11" s="38"/>
      <c r="N11" s="51" t="str">
        <f t="shared" si="3"/>
        <v>고객우대</v>
      </c>
      <c r="O11" s="54">
        <f>SUM(D10+I10+D23+I23+D41+I41)</f>
        <v>450.00600000000003</v>
      </c>
      <c r="P11" s="51" t="str">
        <f t="shared" si="4"/>
        <v>OK케시백</v>
      </c>
      <c r="Q11" s="53">
        <f>SUM(F10+K10+F23+K23+F41+K41)</f>
        <v>46150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-15750.210000000001</v>
      </c>
      <c r="P12" s="51" t="str">
        <f t="shared" si="4"/>
        <v>모바일</v>
      </c>
      <c r="Q12" s="53">
        <f>SUM(F11+K11+F24+K24+F42+K42)</f>
        <v>5000</v>
      </c>
      <c r="R12" s="40"/>
    </row>
    <row r="13" spans="3:25" ht="16.5" customHeight="1" thickBot="1">
      <c r="C13" s="59" t="s">
        <v>33</v>
      </c>
      <c r="D13" s="60">
        <f>SUM((D4-D5-D6-D7-D8-D9)*$I$1+D11)</f>
        <v>8546246.9039999992</v>
      </c>
      <c r="E13" s="29" t="str">
        <f>+'[1](1)'!E13</f>
        <v>합계</v>
      </c>
      <c r="F13" s="61">
        <f>SUM(F4:F12)</f>
        <v>8547012</v>
      </c>
      <c r="G13" s="62"/>
      <c r="H13" s="92" t="str">
        <f t="shared" si="2"/>
        <v>합계</v>
      </c>
      <c r="I13" s="60">
        <f>SUM((I4-I5-I6-I7-I8-I9)*$I$1+I11)</f>
        <v>9618554.5940000024</v>
      </c>
      <c r="J13" s="29" t="str">
        <f t="shared" ref="J13" si="5">+E13</f>
        <v>합계</v>
      </c>
      <c r="K13" s="61">
        <f>IF(K8=0,0,SUM(K4:K12)-F8)</f>
        <v>9617973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765.09600000083447</v>
      </c>
      <c r="K14" s="67">
        <f>SUM(K13-I13)</f>
        <v>-581.59400000236928</v>
      </c>
      <c r="N14" s="39" t="str">
        <f t="shared" si="3"/>
        <v>합계</v>
      </c>
      <c r="O14" s="68">
        <f>SUM((O5-O6-O7-O8-O9-O10)*+$I$1+O12)</f>
        <v>27471752.454000004</v>
      </c>
      <c r="P14" s="39" t="str">
        <f t="shared" si="4"/>
        <v>합계</v>
      </c>
      <c r="Q14" s="69">
        <f>SUM(Q5:Q13)</f>
        <v>27472449</v>
      </c>
    </row>
    <row r="15" spans="3:25" ht="16.5" customHeight="1" thickBot="1">
      <c r="C15" s="27">
        <v>3</v>
      </c>
      <c r="H15" s="27">
        <v>4</v>
      </c>
      <c r="Q15" s="70">
        <f>SUM(F14+K14+F27+K27)</f>
        <v>696.54599999822676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9050.4009999999998</v>
      </c>
      <c r="E17" s="34" t="str">
        <f>+E4</f>
        <v>고액권</v>
      </c>
      <c r="F17" s="36">
        <v>255000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1800</v>
      </c>
      <c r="H18" s="94" t="str">
        <f>+C5</f>
        <v>법인전표</v>
      </c>
      <c r="I18" s="43"/>
      <c r="J18" s="42" t="str">
        <f>+E5</f>
        <v>천원권</v>
      </c>
      <c r="K18" s="44"/>
      <c r="N18" s="135" t="s">
        <v>34</v>
      </c>
      <c r="O18" s="148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28.238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9" t="s">
        <v>37</v>
      </c>
      <c r="O19" s="140"/>
      <c r="P19" s="117">
        <v>15</v>
      </c>
      <c r="Q19" s="48">
        <f>SUM(P19*1000)</f>
        <v>15000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5" t="s">
        <v>38</v>
      </c>
      <c r="O20" s="146"/>
      <c r="P20" s="118">
        <v>44</v>
      </c>
      <c r="Q20" s="53">
        <f>SUM(P20*1000)</f>
        <v>44000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26729699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5" t="s">
        <v>56</v>
      </c>
      <c r="O21" s="146"/>
      <c r="P21" s="118">
        <v>10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7" t="s">
        <v>58</v>
      </c>
      <c r="O22" s="142"/>
      <c r="P22" s="118">
        <v>8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112.036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41" t="s">
        <v>60</v>
      </c>
      <c r="O23" s="142"/>
      <c r="P23" s="118">
        <v>3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-3921.26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41" t="s">
        <v>63</v>
      </c>
      <c r="O24" s="142"/>
      <c r="P24" s="118">
        <v>7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41"/>
      <c r="O25" s="142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9306950.9560000002</v>
      </c>
      <c r="E26" s="29" t="str">
        <f t="shared" si="8"/>
        <v>합계</v>
      </c>
      <c r="F26" s="61">
        <f>IF(F21=0,0,SUM(F17:F25)-K8)</f>
        <v>9307464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41"/>
      <c r="O26" s="142"/>
      <c r="P26" s="72"/>
      <c r="Q26" s="113"/>
      <c r="R26" s="32"/>
      <c r="S26" s="32"/>
    </row>
    <row r="27" spans="3:19" ht="15.75" customHeight="1" thickBot="1">
      <c r="F27" s="67">
        <f>SUM(F26-D26)</f>
        <v>513.04399999976158</v>
      </c>
      <c r="K27" s="67">
        <f>SUM(K26-I26)</f>
        <v>0</v>
      </c>
      <c r="N27" s="143" t="s">
        <v>39</v>
      </c>
      <c r="O27" s="144"/>
      <c r="P27" s="119">
        <f>+P28-SUM(P19:P26)</f>
        <v>-7</v>
      </c>
      <c r="Q27" s="73"/>
    </row>
    <row r="28" spans="3:19" ht="23.25" customHeight="1" thickBot="1">
      <c r="F28" s="67"/>
      <c r="K28" s="67"/>
      <c r="N28" s="135" t="s">
        <v>40</v>
      </c>
      <c r="O28" s="136"/>
      <c r="P28" s="120">
        <v>80</v>
      </c>
      <c r="Q28" s="69">
        <f>SUM(Q19:Q27)</f>
        <v>59000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29173</v>
      </c>
      <c r="P31" s="103">
        <v>29199</v>
      </c>
      <c r="Q31" s="104">
        <f>P31-O31</f>
        <v>26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5.9740000000000002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10.305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103.05</v>
      </c>
      <c r="M3" s="18" t="s">
        <v>10</v>
      </c>
      <c r="N3" s="3"/>
      <c r="O3" s="3"/>
      <c r="P3" s="150" t="str">
        <f>+'(1)'!C1&amp;"년"&amp;'(1)'!E1&amp;"월"&amp;C1&amp;"일"</f>
        <v>2023년12월10일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5829.4709999999995</v>
      </c>
      <c r="E4" s="34" t="str">
        <f>+'[1](1)'!E4</f>
        <v>고액권</v>
      </c>
      <c r="F4" s="36">
        <v>155000</v>
      </c>
      <c r="G4" s="27"/>
      <c r="H4" s="34" t="str">
        <f>+C4</f>
        <v>판매량</v>
      </c>
      <c r="I4" s="35">
        <v>4400.027</v>
      </c>
      <c r="J4" s="42" t="str">
        <f>+'[1](1)'!J4</f>
        <v>고액권</v>
      </c>
      <c r="K4" s="36">
        <v>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32951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10229.498</v>
      </c>
      <c r="P5" s="47" t="str">
        <f>+E4</f>
        <v>고액권</v>
      </c>
      <c r="Q5" s="48">
        <f>SUM(F4+K4+F17+K17+F35+K35)</f>
        <v>195000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5836648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10333280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10333280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20000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6016014.0719999997</v>
      </c>
      <c r="E13" s="29" t="str">
        <f>+'[1](1)'!E13</f>
        <v>합계</v>
      </c>
      <c r="F13" s="61">
        <f>SUM(F4:F12)</f>
        <v>6015648</v>
      </c>
      <c r="G13" s="62"/>
      <c r="H13" s="29" t="str">
        <f t="shared" si="3"/>
        <v>합계</v>
      </c>
      <c r="I13" s="60">
        <f>SUM((I4-I5-I6-I7-I8-I9)*$I$1+I11)</f>
        <v>4540827.8640000001</v>
      </c>
      <c r="J13" s="29" t="str">
        <f t="shared" ref="J13" si="6">+E13</f>
        <v>합계</v>
      </c>
      <c r="K13" s="61">
        <f>IF(K8=0,0,SUM(K4:K12)-F8)</f>
        <v>4540632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-366.07199999969453</v>
      </c>
      <c r="G14" s="27"/>
      <c r="H14" s="27"/>
      <c r="I14" s="27"/>
      <c r="J14" s="27"/>
      <c r="K14" s="67">
        <f>SUM(K13-I13)</f>
        <v>-195.8640000000596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51147.49</v>
      </c>
      <c r="P14" s="39" t="str">
        <f t="shared" si="5"/>
        <v>합계</v>
      </c>
      <c r="Q14" s="69">
        <f>SUM(Q5:Q13)</f>
        <v>10556280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-561.93599999975413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76</v>
      </c>
      <c r="Q28" s="69">
        <f>SUM(Q19:Q27)</f>
        <v>63000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29632</v>
      </c>
      <c r="P31" s="103">
        <v>29669</v>
      </c>
      <c r="Q31" s="104">
        <f>P31-O31</f>
        <v>37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6.62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10.742000000000001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10.345000000000001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113.795</v>
      </c>
      <c r="M3" s="18" t="s">
        <v>10</v>
      </c>
      <c r="N3" s="3"/>
      <c r="O3" s="3"/>
      <c r="P3" s="150" t="str">
        <f>+'(1)'!C1&amp;"년"&amp;'(1)'!E1&amp;"월"&amp;C1&amp;"일"</f>
        <v>2023년12월11일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9717.2180000000008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8677.1620000000003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50573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130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18394.38</v>
      </c>
      <c r="P5" s="47" t="str">
        <f>+E4</f>
        <v>고액권</v>
      </c>
      <c r="Q5" s="48">
        <f>SUM(F4+K4+F17+K17+F35+K35)</f>
        <v>350000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183.02099999999999</v>
      </c>
      <c r="E6" s="105" t="str">
        <f>+'[1](1)'!E6</f>
        <v>블루/레드포인트</v>
      </c>
      <c r="F6" s="44"/>
      <c r="G6" s="130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183.02099999999999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9634296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18428949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18428949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213.66200000000001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60.679000000000002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-7478.17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-2123.7649999999999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274.34100000000001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-9601.9349999999995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9831813.1339999996</v>
      </c>
      <c r="E13" s="29" t="str">
        <f>+'[1](1)'!E13</f>
        <v>합계</v>
      </c>
      <c r="F13" s="61">
        <f>SUM(F4:F12)</f>
        <v>9831296</v>
      </c>
      <c r="G13" s="62"/>
      <c r="H13" s="29" t="str">
        <f t="shared" si="3"/>
        <v>합계</v>
      </c>
      <c r="I13" s="60">
        <f>SUM((I4-I5-I6-I7-I8-I9)*$I$1+I11)</f>
        <v>8952707.4189999998</v>
      </c>
      <c r="J13" s="29" t="str">
        <f t="shared" ref="J13" si="6">+E13</f>
        <v>합계</v>
      </c>
      <c r="K13" s="61">
        <f>IF(K8=0,0,SUM(K4:K12)-F8)</f>
        <v>8952653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-517.13399999961257</v>
      </c>
      <c r="G14" s="27"/>
      <c r="H14" s="27"/>
      <c r="I14" s="27"/>
      <c r="J14" s="27"/>
      <c r="K14" s="67">
        <f>SUM(K13-I13)</f>
        <v>-54.418999999761581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81454.86</v>
      </c>
      <c r="P14" s="39" t="str">
        <f t="shared" si="5"/>
        <v>합계</v>
      </c>
      <c r="Q14" s="69">
        <f>SUM(Q5:Q13)</f>
        <v>18783949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-571.55299999937415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29669</v>
      </c>
      <c r="P31" s="103">
        <v>29669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10" sqref="P10:Q1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10.398999999999999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124.78799999999998</v>
      </c>
      <c r="M3" s="18" t="s">
        <v>10</v>
      </c>
      <c r="N3" s="3"/>
      <c r="O3" s="3"/>
      <c r="P3" s="150" t="str">
        <f>+'(1)'!C1&amp;"년"&amp;'(1)'!E1&amp;"월"&amp;C1&amp;"일"</f>
        <v>2023년12월12일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10239.233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8579.7330000000002</v>
      </c>
      <c r="J4" s="42" t="str">
        <f>+'[1](1)'!J4</f>
        <v>고액권</v>
      </c>
      <c r="K4" s="36">
        <v>105000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31631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18818.966</v>
      </c>
      <c r="P5" s="47" t="str">
        <f>+E4</f>
        <v>고액권</v>
      </c>
      <c r="Q5" s="48">
        <f>SUM(F4+K4+F17+K17+F35+K35)</f>
        <v>300000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202.55500000000001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29.035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231.59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10008855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18636891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131" t="s">
        <v>75</v>
      </c>
      <c r="K9" s="132">
        <v>84311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18636891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456.15899999999999</v>
      </c>
      <c r="E10" s="42" t="str">
        <f>+'[1](1)'!E10</f>
        <v>OK케시백</v>
      </c>
      <c r="F10" s="44">
        <v>42600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7000</v>
      </c>
      <c r="L10" s="2"/>
      <c r="M10" s="20"/>
      <c r="N10" s="51" t="str">
        <f t="shared" si="4"/>
        <v>-</v>
      </c>
      <c r="O10" s="54"/>
      <c r="P10" s="133" t="s">
        <v>76</v>
      </c>
      <c r="Q10" s="134">
        <f>SUM(F9+K9+F22+K22+F40+K40)</f>
        <v>84311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-15965.565000000001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456.15899999999999</v>
      </c>
      <c r="P11" s="51" t="str">
        <f t="shared" si="5"/>
        <v>OK케시백</v>
      </c>
      <c r="Q11" s="53">
        <f>SUM(F10+K10+F23+K23+F41+K41)</f>
        <v>49600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95002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-15965.565000000001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10341886.131000001</v>
      </c>
      <c r="E13" s="29" t="str">
        <f>+'[1](1)'!E13</f>
        <v>합계</v>
      </c>
      <c r="F13" s="61">
        <f>SUM(F4:F12)</f>
        <v>10341457</v>
      </c>
      <c r="G13" s="62"/>
      <c r="H13" s="29" t="str">
        <f t="shared" si="3"/>
        <v>합계</v>
      </c>
      <c r="I13" s="60">
        <f>SUM((I4-I5-I6-I7-I8-I9)*$I$1+I11)</f>
        <v>8824320.3360000011</v>
      </c>
      <c r="J13" s="29" t="str">
        <f t="shared" ref="J13" si="6">+E13</f>
        <v>합계</v>
      </c>
      <c r="K13" s="61">
        <f>IF(K8=0,0,SUM(K4:K12)-F8)</f>
        <v>8825347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95002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-429.13100000098348</v>
      </c>
      <c r="G14" s="27"/>
      <c r="H14" s="27"/>
      <c r="I14" s="27"/>
      <c r="J14" s="27"/>
      <c r="K14" s="67">
        <f>SUM(K13-I13)</f>
        <v>1026.663999998942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76971.315000000002</v>
      </c>
      <c r="P14" s="39" t="str">
        <f t="shared" si="5"/>
        <v>합계</v>
      </c>
      <c r="Q14" s="69">
        <f>SUM(Q5:Q13)</f>
        <v>19166804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597.53299999795854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77</v>
      </c>
      <c r="Q20" s="53">
        <f>SUM(P20*1000)</f>
        <v>77000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184</v>
      </c>
      <c r="Q28" s="69">
        <f>SUM(Q19:Q27)</f>
        <v>107000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29669</v>
      </c>
      <c r="P31" s="103">
        <v>29707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11.224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10.462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136.006</v>
      </c>
      <c r="M3" s="18" t="s">
        <v>10</v>
      </c>
      <c r="N3" s="3"/>
      <c r="O3" s="3"/>
      <c r="P3" s="150" t="str">
        <f>+'(1)'!C1&amp;"년"&amp;'(1)'!E1&amp;"월"&amp;C1&amp;"일"</f>
        <v>2023년12월13일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10726.045</v>
      </c>
      <c r="E4" s="34" t="str">
        <f>+'[1](1)'!E4</f>
        <v>고액권</v>
      </c>
      <c r="F4" s="36">
        <v>35000</v>
      </c>
      <c r="G4" s="27"/>
      <c r="H4" s="34" t="str">
        <f>+C4</f>
        <v>판매량</v>
      </c>
      <c r="I4" s="35">
        <v>8493.7610000000004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48329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19219.806</v>
      </c>
      <c r="P5" s="47" t="str">
        <f>+E4</f>
        <v>고액권</v>
      </c>
      <c r="Q5" s="48">
        <f>SUM(F4+K4+F17+K17+F35+K35)</f>
        <v>100000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217.78399999999999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217.78399999999999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10792522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19485373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19485373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330.69400000000002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162.596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-11574.29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-5690.8600000000006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493.29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-17265.150000000001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10832951.062000001</v>
      </c>
      <c r="E13" s="29" t="str">
        <f>+'[1](1)'!E13</f>
        <v>합계</v>
      </c>
      <c r="F13" s="61">
        <f>SUM(F4:F12)</f>
        <v>10832522</v>
      </c>
      <c r="G13" s="62"/>
      <c r="H13" s="29" t="str">
        <f t="shared" si="3"/>
        <v>합계</v>
      </c>
      <c r="I13" s="60">
        <f>SUM((I4-I5-I6-I7-I8-I9)*$I$1+I11)</f>
        <v>8759870.4920000006</v>
      </c>
      <c r="J13" s="29" t="str">
        <f t="shared" ref="J13" si="6">+E13</f>
        <v>합계</v>
      </c>
      <c r="K13" s="61">
        <f>IF(K8=0,0,SUM(K4:K12)-F8)</f>
        <v>8759851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-429.06200000084937</v>
      </c>
      <c r="G14" s="27"/>
      <c r="H14" s="27"/>
      <c r="I14" s="27"/>
      <c r="J14" s="27"/>
      <c r="K14" s="67">
        <f>SUM(K13-I13)</f>
        <v>-19.492000000551343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77744.959999999992</v>
      </c>
      <c r="P14" s="39" t="str">
        <f t="shared" si="5"/>
        <v>합계</v>
      </c>
      <c r="Q14" s="69">
        <f>SUM(Q5:Q13)</f>
        <v>19592373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-448.55400000140071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46</v>
      </c>
      <c r="Q20" s="53">
        <f>SUM(P20*1000)</f>
        <v>46000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102</v>
      </c>
      <c r="Q28" s="69">
        <f>SUM(Q19:Q27)</f>
        <v>57000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29707</v>
      </c>
      <c r="P31" s="103">
        <v>29739</v>
      </c>
      <c r="Q31" s="104">
        <f>P31-O31</f>
        <v>32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21" sqref="R2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10.005000000000001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10.429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146.006</v>
      </c>
      <c r="M3" s="18" t="s">
        <v>10</v>
      </c>
      <c r="N3" s="3"/>
      <c r="O3" s="3"/>
      <c r="P3" s="150" t="str">
        <f>+'(1)'!C1&amp;"년"&amp;'(1)'!E1&amp;"월"&amp;C1&amp;"일"</f>
        <v>2023년12월14일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8551.3169999999991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8580.9140000000007</v>
      </c>
      <c r="J4" s="42" t="str">
        <f>+'[1](1)'!J4</f>
        <v>고액권</v>
      </c>
      <c r="K4" s="36">
        <v>210000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31176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17132.231</v>
      </c>
      <c r="P5" s="47" t="str">
        <f>+E4</f>
        <v>고액권</v>
      </c>
      <c r="Q5" s="48">
        <f>SUM(F4+K4+F17+K17+F35+K35)</f>
        <v>390000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218.46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40.878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259.33800000000002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8417549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17014965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17014965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45.481000000000002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45.54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-1591.835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-1593.8999999999999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91.021000000000001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-3185.7350000000001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8597916.5889999997</v>
      </c>
      <c r="E13" s="29" t="str">
        <f>+'[1](1)'!E13</f>
        <v>합계</v>
      </c>
      <c r="F13" s="61">
        <f>SUM(F4:F12)</f>
        <v>8597549</v>
      </c>
      <c r="G13" s="62"/>
      <c r="H13" s="29" t="str">
        <f t="shared" si="3"/>
        <v>합계</v>
      </c>
      <c r="I13" s="60">
        <f>SUM((I4-I5-I6-I7-I8-I9)*$I$1+I11)</f>
        <v>8811723.2520000003</v>
      </c>
      <c r="J13" s="29" t="str">
        <f t="shared" ref="J13" si="6">+E13</f>
        <v>합계</v>
      </c>
      <c r="K13" s="61">
        <f>IF(K8=0,0,SUM(K4:K12)-F8)</f>
        <v>8811416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-367.58899999968708</v>
      </c>
      <c r="G14" s="27"/>
      <c r="H14" s="27"/>
      <c r="I14" s="27"/>
      <c r="J14" s="27"/>
      <c r="K14" s="67">
        <f>SUM(K13-I13)</f>
        <v>-307.25200000032783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81178.73</v>
      </c>
      <c r="P14" s="39" t="str">
        <f t="shared" si="5"/>
        <v>합계</v>
      </c>
      <c r="Q14" s="69">
        <f>SUM(Q5:Q13)</f>
        <v>17408965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-674.8410000000149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</v>
      </c>
      <c r="Q20" s="53">
        <f>SUM(P20*1000)</f>
        <v>1000</v>
      </c>
      <c r="R20" s="18" t="s">
        <v>77</v>
      </c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</v>
      </c>
      <c r="Q28" s="69">
        <f>SUM(Q19:Q27)</f>
        <v>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29739</v>
      </c>
      <c r="P31" s="103">
        <v>29740</v>
      </c>
      <c r="Q31" s="104">
        <f>P31-O31</f>
        <v>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11.954000000000001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10.531000000000001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157.965</v>
      </c>
      <c r="M3" s="18" t="s">
        <v>10</v>
      </c>
      <c r="N3" s="3"/>
      <c r="O3" s="3"/>
      <c r="P3" s="150" t="str">
        <f>+'(1)'!C1&amp;"년"&amp;'(1)'!E1&amp;"월"&amp;C1&amp;"일"</f>
        <v>2023년12월15일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10412.869000000001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>
        <v>10057.014999999999</v>
      </c>
      <c r="J4" s="42" t="str">
        <f>+'[1](1)'!J4</f>
        <v>고액권</v>
      </c>
      <c r="K4" s="36">
        <v>285000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46434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3300</v>
      </c>
      <c r="L5" s="2"/>
      <c r="M5" s="20"/>
      <c r="N5" s="45" t="str">
        <f>+C4</f>
        <v>판매량</v>
      </c>
      <c r="O5" s="46">
        <f>SUM(D4+I4+D17+I17+D35+I35)</f>
        <v>20469.883999999998</v>
      </c>
      <c r="P5" s="47" t="str">
        <f>+E4</f>
        <v>고액권</v>
      </c>
      <c r="Q5" s="48">
        <f>SUM(F4+K4+F17+K17+F35+K35)</f>
        <v>365000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162.34200000000001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3300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162.34200000000001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10478844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20535995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20535995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419.822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108.29600000000001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-14693.77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-3790.36</v>
      </c>
      <c r="J11" s="56" t="str">
        <f>+'[1](1)'!J11</f>
        <v>모바일</v>
      </c>
      <c r="K11" s="44">
        <v>30000</v>
      </c>
      <c r="L11" s="2"/>
      <c r="M11" s="20"/>
      <c r="N11" s="51" t="str">
        <f t="shared" si="4"/>
        <v>고객우대</v>
      </c>
      <c r="O11" s="54">
        <f>SUM(D10+I10+D23+I23+D41+I41)</f>
        <v>528.11800000000005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-18484.13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10563850.094000001</v>
      </c>
      <c r="E13" s="29" t="str">
        <f>+'[1](1)'!E13</f>
        <v>합계</v>
      </c>
      <c r="F13" s="61">
        <f>SUM(F4:F12)</f>
        <v>10563844</v>
      </c>
      <c r="G13" s="62"/>
      <c r="H13" s="29" t="str">
        <f t="shared" si="3"/>
        <v>합계</v>
      </c>
      <c r="I13" s="60">
        <f>SUM((I4-I5-I6-I7-I8-I9)*$I$1+I11)</f>
        <v>10375049.119999999</v>
      </c>
      <c r="J13" s="29" t="str">
        <f t="shared" ref="J13" si="6">+E13</f>
        <v>합계</v>
      </c>
      <c r="K13" s="61">
        <f>IF(K8=0,0,SUM(K4:K12)-F8)</f>
        <v>10375451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-6.0940000005066395</v>
      </c>
      <c r="G14" s="27"/>
      <c r="H14" s="27"/>
      <c r="I14" s="27"/>
      <c r="J14" s="27"/>
      <c r="K14" s="67">
        <f>SUM(K13-I13)</f>
        <v>401.88000000081956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83053.579999999987</v>
      </c>
      <c r="P14" s="39" t="str">
        <f t="shared" si="5"/>
        <v>합계</v>
      </c>
      <c r="Q14" s="69">
        <f>SUM(Q5:Q13)</f>
        <v>20939295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395.78600000031292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9</v>
      </c>
      <c r="Q20" s="53">
        <f>SUM(P20*1000)</f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34</v>
      </c>
      <c r="Q28" s="69">
        <f>SUM(Q19:Q27)</f>
        <v>13000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29740</v>
      </c>
      <c r="P31" s="103">
        <v>29743</v>
      </c>
      <c r="Q31" s="104">
        <f>P31-O31</f>
        <v>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10.425000000000001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10.523999999999999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168.38399999999999</v>
      </c>
      <c r="M3" s="18" t="s">
        <v>10</v>
      </c>
      <c r="N3" s="3"/>
      <c r="O3" s="3"/>
      <c r="P3" s="150" t="str">
        <f>+'(1)'!C1&amp;"년"&amp;'(1)'!E1&amp;"월"&amp;C1&amp;"일"</f>
        <v>2023년12월16일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8826.2839999999997</v>
      </c>
      <c r="E4" s="34" t="str">
        <f>+'[1](1)'!E4</f>
        <v>고액권</v>
      </c>
      <c r="F4" s="36">
        <v>5000</v>
      </c>
      <c r="G4" s="27"/>
      <c r="H4" s="34" t="str">
        <f>+C4</f>
        <v>판매량</v>
      </c>
      <c r="I4" s="35">
        <v>9024.6260000000002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28464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500</v>
      </c>
      <c r="L5" s="2"/>
      <c r="M5" s="20"/>
      <c r="N5" s="45" t="str">
        <f>+C4</f>
        <v>판매량</v>
      </c>
      <c r="O5" s="46">
        <f>SUM(D4+I4+D17+I17+D35+I35)</f>
        <v>17850.91</v>
      </c>
      <c r="P5" s="47" t="str">
        <f>+E4</f>
        <v>고액권</v>
      </c>
      <c r="Q5" s="48">
        <f>SUM(F4+K4+F17+K17+F35+K35)</f>
        <v>160000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87.98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87.98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8985501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18143671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18143671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55.701999999999998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-1949.57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55.701999999999998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20000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-1949.57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9015980.1579999998</v>
      </c>
      <c r="E13" s="29" t="str">
        <f>+'[1](1)'!E13</f>
        <v>합계</v>
      </c>
      <c r="F13" s="61">
        <f>SUM(F4:F12)</f>
        <v>9017501</v>
      </c>
      <c r="G13" s="62"/>
      <c r="H13" s="29" t="str">
        <f t="shared" si="3"/>
        <v>합계</v>
      </c>
      <c r="I13" s="60">
        <f>SUM((I4-I5-I6-I7-I8-I9)*$I$1+I11)</f>
        <v>9313414.0319999997</v>
      </c>
      <c r="J13" s="29" t="str">
        <f t="shared" ref="J13" si="6">+E13</f>
        <v>합계</v>
      </c>
      <c r="K13" s="61">
        <f>IF(K8=0,0,SUM(K4:K12)-F8)</f>
        <v>9313670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1520.8420000001788</v>
      </c>
      <c r="G14" s="27"/>
      <c r="H14" s="27"/>
      <c r="I14" s="27"/>
      <c r="J14" s="27"/>
      <c r="K14" s="67">
        <f>SUM(K13-I13)</f>
        <v>255.96800000034273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86865.079999999987</v>
      </c>
      <c r="P14" s="39" t="str">
        <f t="shared" si="5"/>
        <v>합계</v>
      </c>
      <c r="Q14" s="69">
        <f>SUM(Q5:Q13)</f>
        <v>18331171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1776.8100000005215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39</v>
      </c>
      <c r="Q20" s="53">
        <f>SUM(P20*1000)</f>
        <v>39000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97</v>
      </c>
      <c r="Q28" s="69">
        <f>SUM(Q19:Q27)</f>
        <v>58000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29743</v>
      </c>
      <c r="P31" s="103">
        <v>29760</v>
      </c>
      <c r="Q31" s="104">
        <f>P31-O31</f>
        <v>17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topLeftCell="A7" workbookViewId="0">
      <selection activeCell="F9" sqref="F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3.6160000000000001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10.118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172.006</v>
      </c>
      <c r="M3" s="18" t="s">
        <v>10</v>
      </c>
      <c r="N3" s="3"/>
      <c r="O3" s="3"/>
      <c r="P3" s="150" t="str">
        <f>+'(1)'!C1&amp;"년"&amp;'(1)'!E1&amp;"월"&amp;C1&amp;"일"</f>
        <v>2023년12월17일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6191.1620000000003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6191.1620000000003</v>
      </c>
      <c r="P5" s="47" t="str">
        <f>+E4</f>
        <v>고액권</v>
      </c>
      <c r="Q5" s="48">
        <f>SUM(F4+K4+F17+K17+F35+K35)</f>
        <v>80000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6248898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6248898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45303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6389279.1840000004</v>
      </c>
      <c r="E13" s="29" t="str">
        <f>+'[1](1)'!E13</f>
        <v>합계</v>
      </c>
      <c r="F13" s="61">
        <f>SUM(F4:F12)</f>
        <v>6388201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45303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-1078.1840000003576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30955.81</v>
      </c>
      <c r="P14" s="39" t="str">
        <f t="shared" si="5"/>
        <v>합계</v>
      </c>
      <c r="Q14" s="69">
        <f>SUM(Q5:Q13)</f>
        <v>6388201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-1078.1840000003576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29760</v>
      </c>
      <c r="P31" s="103">
        <v>29760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9.5559999999999992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172.00799999999998</v>
      </c>
      <c r="M3" s="18" t="s">
        <v>10</v>
      </c>
      <c r="N3" s="3"/>
      <c r="O3" s="3"/>
      <c r="P3" s="150" t="str">
        <f>+'(1)'!C1&amp;"년"&amp;'(1)'!E1&amp;"월"&amp;C1&amp;"일"</f>
        <v>2023년12월18일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9.0530000000000008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172.00700000000001</v>
      </c>
      <c r="M3" s="18" t="s">
        <v>10</v>
      </c>
      <c r="N3" s="3"/>
      <c r="O3" s="3"/>
      <c r="P3" s="150" t="str">
        <f>+'(1)'!C1&amp;"년"&amp;'(1)'!E1&amp;"월"&amp;C1&amp;"일"</f>
        <v>2023년12월19일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1" sqref="K11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5</v>
      </c>
      <c r="F1" s="27"/>
      <c r="G1" s="27"/>
      <c r="H1" s="27"/>
      <c r="I1" s="27">
        <v>1032</v>
      </c>
      <c r="J1" s="27"/>
      <c r="K1" s="27"/>
      <c r="L1" s="31">
        <f>+ROUND(+O5*0.584/1000,3)</f>
        <v>9.6690000000000005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12.675000000000001</v>
      </c>
      <c r="M2" s="27" t="s">
        <v>7</v>
      </c>
      <c r="N2" s="138" t="s">
        <v>42</v>
      </c>
      <c r="O2" s="138"/>
      <c r="P2" s="138"/>
      <c r="Q2" s="138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25.35</v>
      </c>
      <c r="M3" s="27" t="s">
        <v>10</v>
      </c>
      <c r="N3" s="32"/>
      <c r="O3" s="32"/>
      <c r="P3" s="137" t="str">
        <f>+'(1)'!C1&amp;"년"&amp;'(1)'!E1&amp;"월"&amp;C1&amp;"일"</f>
        <v>2023년12월2일</v>
      </c>
      <c r="Q3" s="137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8724.7039999999997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7832.3559999999998</v>
      </c>
      <c r="J4" s="42" t="str">
        <f>+'[1](1)'!J4</f>
        <v>고액권</v>
      </c>
      <c r="K4" s="36">
        <v>280000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21888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37"/>
      <c r="M5" s="82"/>
      <c r="N5" s="45" t="str">
        <f>+C4</f>
        <v>판매량</v>
      </c>
      <c r="O5" s="46">
        <f>SUM(D4+I4+D17+I17+D35+I35)</f>
        <v>16557.059999999998</v>
      </c>
      <c r="P5" s="47" t="str">
        <f>+E4</f>
        <v>고액권</v>
      </c>
      <c r="Q5" s="48">
        <f>SUM(F4+K4+F17+K17+F35+K35)</f>
        <v>280000</v>
      </c>
      <c r="R5" s="49">
        <v>18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20.46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26.754999999999999</v>
      </c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49">
        <v>2.4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47.215000000000003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8980340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F8+7707732</f>
        <v>16688072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16688072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117.008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27053</v>
      </c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-4095.2799999999997</v>
      </c>
      <c r="E11" s="42" t="str">
        <f>+'[1](1)'!E11</f>
        <v>모바일</v>
      </c>
      <c r="F11" s="44">
        <v>35000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37"/>
      <c r="M11" s="82"/>
      <c r="N11" s="51" t="str">
        <f t="shared" si="3"/>
        <v>고객우대</v>
      </c>
      <c r="O11" s="54">
        <f>SUM(D10+I10+D23+I23+D41+I41)</f>
        <v>117.008</v>
      </c>
      <c r="P11" s="51" t="str">
        <f t="shared" si="4"/>
        <v>OK케시백</v>
      </c>
      <c r="Q11" s="53">
        <f>SUM(F10+K10+F23+K23+F41+K41)</f>
        <v>27053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-4095.2799999999997</v>
      </c>
      <c r="P12" s="51" t="str">
        <f t="shared" si="4"/>
        <v>모바일</v>
      </c>
      <c r="Q12" s="53">
        <f>SUM(F11+K11+F24+K24+F42+K42)</f>
        <v>35000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8978684.5280000009</v>
      </c>
      <c r="E13" s="29" t="str">
        <f>+'[1](1)'!E13</f>
        <v>합계</v>
      </c>
      <c r="F13" s="61">
        <f>SUM(F4:F12)</f>
        <v>9015340</v>
      </c>
      <c r="G13" s="62"/>
      <c r="H13" s="29" t="str">
        <f t="shared" si="2"/>
        <v>합계</v>
      </c>
      <c r="I13" s="60">
        <f>SUM((I4-I5-I6-I7-I8-I9)*$I$1+I11)</f>
        <v>8055380.2319999998</v>
      </c>
      <c r="J13" s="29" t="str">
        <f t="shared" ref="J13" si="5">+E13</f>
        <v>합계</v>
      </c>
      <c r="K13" s="61">
        <f>IF(K8=0,0,SUM(K4:K12)-F8)</f>
        <v>8017785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36655.471999999136</v>
      </c>
      <c r="G14" s="27"/>
      <c r="H14" s="27"/>
      <c r="I14" s="27"/>
      <c r="J14" s="27"/>
      <c r="K14" s="67">
        <f>SUM(K13-I13)</f>
        <v>-37595.231999999844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78453.944999999992</v>
      </c>
      <c r="P14" s="39" t="str">
        <f t="shared" si="4"/>
        <v>합계</v>
      </c>
      <c r="Q14" s="69">
        <f>SUM(Q5:Q13)</f>
        <v>17033125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-939.76000000070781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9</v>
      </c>
      <c r="Q19" s="48">
        <f>SUM(P19*1000)</f>
        <v>9000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76</v>
      </c>
      <c r="Q20" s="53">
        <f>SUM(P20*1000)</f>
        <v>76000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4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13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7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41"/>
      <c r="O26" s="142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-7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5" t="s">
        <v>40</v>
      </c>
      <c r="O28" s="136"/>
      <c r="P28" s="120">
        <v>108</v>
      </c>
      <c r="Q28" s="69">
        <f>SUM(Q19:Q27)</f>
        <v>85000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29199</v>
      </c>
      <c r="P31" s="103">
        <v>29250</v>
      </c>
      <c r="Q31" s="104">
        <f>P31-O31</f>
        <v>51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8:O28"/>
    <mergeCell ref="N24:O24"/>
    <mergeCell ref="N27:O27"/>
    <mergeCell ref="N22:O22"/>
    <mergeCell ref="N23:O23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8.6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172</v>
      </c>
      <c r="M3" s="18" t="s">
        <v>10</v>
      </c>
      <c r="N3" s="3"/>
      <c r="O3" s="3"/>
      <c r="P3" s="150" t="str">
        <f>+'(1)'!C1&amp;"년"&amp;'(1)'!E1&amp;"월"&amp;C1&amp;"일"</f>
        <v>2023년12월20일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8.19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171.98999999999998</v>
      </c>
      <c r="M3" s="18" t="s">
        <v>10</v>
      </c>
      <c r="N3" s="3"/>
      <c r="O3" s="3"/>
      <c r="P3" s="150" t="str">
        <f>+'(1)'!C1&amp;"년"&amp;'(1)'!E1&amp;"월"&amp;C1&amp;"일"</f>
        <v>2023년12월21일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7.8179999999999996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171.99599999999998</v>
      </c>
      <c r="M3" s="18" t="s">
        <v>10</v>
      </c>
      <c r="N3" s="3"/>
      <c r="O3" s="3"/>
      <c r="P3" s="150" t="str">
        <f>+'(1)'!C1&amp;"년"&amp;'(1)'!E1&amp;"월"&amp;C1&amp;"일"</f>
        <v>2023년12월22일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7.4779999999999998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171.994</v>
      </c>
      <c r="M3" s="18" t="s">
        <v>10</v>
      </c>
      <c r="N3" s="3"/>
      <c r="O3" s="3"/>
      <c r="P3" s="150" t="str">
        <f>+'(1)'!C1&amp;"년"&amp;'(1)'!E1&amp;"월"&amp;C1&amp;"일"</f>
        <v>2023년12월23일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7.1660000000000004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171.98400000000001</v>
      </c>
      <c r="M3" s="18" t="s">
        <v>10</v>
      </c>
      <c r="N3" s="3"/>
      <c r="O3" s="3"/>
      <c r="P3" s="150" t="str">
        <f>+'(1)'!C1&amp;"년"&amp;'(1)'!E1&amp;"월"&amp;C1&amp;"일"</f>
        <v>2023년12월24일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6.8789999999999996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171.97499999999999</v>
      </c>
      <c r="M3" s="18" t="s">
        <v>10</v>
      </c>
      <c r="N3" s="3"/>
      <c r="O3" s="3"/>
      <c r="P3" s="150" t="str">
        <f>+'(1)'!C1&amp;"년"&amp;'(1)'!E1&amp;"월"&amp;C1&amp;"일"</f>
        <v>2023년12월25일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6.6139999999999999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171.964</v>
      </c>
      <c r="M3" s="18" t="s">
        <v>10</v>
      </c>
      <c r="N3" s="3"/>
      <c r="O3" s="3"/>
      <c r="P3" s="150" t="str">
        <f>+'(1)'!C1&amp;"년"&amp;'(1)'!E1&amp;"월"&amp;C1&amp;"일"</f>
        <v>2023년12월26일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6.3689999999999998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171.96299999999999</v>
      </c>
      <c r="M3" s="18" t="s">
        <v>10</v>
      </c>
      <c r="N3" s="3"/>
      <c r="O3" s="3"/>
      <c r="P3" s="150" t="str">
        <f>+'(1)'!C1&amp;"년"&amp;'(1)'!E1&amp;"월"&amp;C1&amp;"일"</f>
        <v>2023년12월27일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6.1420000000000003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171.976</v>
      </c>
      <c r="M3" s="18" t="s">
        <v>10</v>
      </c>
      <c r="N3" s="3"/>
      <c r="O3" s="3"/>
      <c r="P3" s="150" t="str">
        <f>+'(1)'!C1&amp;"년"&amp;'(1)'!E1&amp;"월"&amp;C1&amp;"일"</f>
        <v>2023년12월28일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5.93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171.97</v>
      </c>
      <c r="M3" s="18" t="s">
        <v>10</v>
      </c>
      <c r="N3" s="3"/>
      <c r="O3" s="3"/>
      <c r="P3" s="150" t="str">
        <f>+'(1)'!C1&amp;"년"&amp;'(1)'!E1&amp;"월"&amp;C1&amp;"일"</f>
        <v>2023년12월29일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6.5709999999999997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10.64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31.92</v>
      </c>
      <c r="M3" s="18" t="s">
        <v>10</v>
      </c>
      <c r="N3" s="3"/>
      <c r="O3" s="3"/>
      <c r="P3" s="150" t="str">
        <f>+'(1)'!C1&amp;"년"&amp;'(1)'!E1&amp;"월"&amp;C1&amp;"일"</f>
        <v>2023년12월3일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7260.52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3990.6849999999999</v>
      </c>
      <c r="J4" s="42" t="str">
        <f>+'[1](1)'!J4</f>
        <v>고액권</v>
      </c>
      <c r="K4" s="36">
        <v>165000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46973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2600</v>
      </c>
      <c r="L5" s="2"/>
      <c r="M5" s="20"/>
      <c r="N5" s="45" t="str">
        <f>+C4</f>
        <v>판매량</v>
      </c>
      <c r="O5" s="46">
        <f>SUM(D4+I4+D17+I17+D35+I35)</f>
        <v>11251.205</v>
      </c>
      <c r="P5" s="47" t="str">
        <f>+E4</f>
        <v>고액권</v>
      </c>
      <c r="Q5" s="48">
        <f>SUM(F4+K4+F17+K17+F35+K35)</f>
        <v>260000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22.129000000000001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2600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22.129000000000001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7368061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11318458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11318458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63.584000000000003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-2225.44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63.584000000000003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-2225.44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7467794.0719999997</v>
      </c>
      <c r="E13" s="29" t="str">
        <f>+'[1](1)'!E13</f>
        <v>합계</v>
      </c>
      <c r="F13" s="61">
        <f>SUM(F4:F12)</f>
        <v>7468061</v>
      </c>
      <c r="G13" s="62"/>
      <c r="H13" s="29" t="str">
        <f t="shared" si="2"/>
        <v>합계</v>
      </c>
      <c r="I13" s="60">
        <f>SUM((I4-I5-I6-I7-I8-I9)*$I$1+I11)</f>
        <v>4118386.92</v>
      </c>
      <c r="J13" s="29" t="str">
        <f t="shared" ref="J13" si="5">+E13</f>
        <v>합계</v>
      </c>
      <c r="K13" s="61">
        <f>IF(K8=0,0,SUM(K4:K12)-F8)</f>
        <v>4117997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266.92800000030547</v>
      </c>
      <c r="G14" s="27"/>
      <c r="H14" s="27"/>
      <c r="I14" s="27"/>
      <c r="J14" s="27"/>
      <c r="K14" s="67">
        <f>SUM(K13-I13)</f>
        <v>-389.91999999992549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53919.939999999995</v>
      </c>
      <c r="P14" s="39" t="str">
        <f t="shared" si="4"/>
        <v>합계</v>
      </c>
      <c r="Q14" s="69">
        <f>SUM(Q5:Q13)</f>
        <v>11586058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-122.99199999962002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12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116</v>
      </c>
      <c r="Q28" s="69">
        <f>SUM(Q19:Q27)</f>
        <v>100000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29250</v>
      </c>
      <c r="P31" s="103">
        <v>29312</v>
      </c>
      <c r="Q31" s="104">
        <f>P31-O31</f>
        <v>62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5.7320000000000002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171.96</v>
      </c>
      <c r="M3" s="18" t="s">
        <v>10</v>
      </c>
      <c r="N3" s="3"/>
      <c r="O3" s="3"/>
      <c r="P3" s="150" t="str">
        <f>+'(1)'!C1&amp;"년"&amp;'(1)'!E1&amp;"월"&amp;C1&amp;"일"</f>
        <v>2023년12월30일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5.5469999999999997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171.95699999999999</v>
      </c>
      <c r="M3" s="18" t="s">
        <v>10</v>
      </c>
      <c r="N3" s="3"/>
      <c r="O3" s="3"/>
      <c r="P3" s="150" t="str">
        <f>+'(1)'!C1&amp;"년"&amp;'(1)'!E1&amp;"월"&amp;C1&amp;"일"</f>
        <v>2023년12월31일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11.135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10.763999999999999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43.055999999999997</v>
      </c>
      <c r="M3" s="18" t="s">
        <v>10</v>
      </c>
      <c r="N3" s="3"/>
      <c r="O3" s="3"/>
      <c r="P3" s="150" t="str">
        <f>+'(1)'!C1&amp;"년"&amp;'(1)'!E1&amp;"월"&amp;C1&amp;"일"</f>
        <v>2023년12월4일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10762.040999999999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8305.2530000000006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28212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19067.294000000002</v>
      </c>
      <c r="P5" s="47" t="str">
        <f>+E4</f>
        <v>고액권</v>
      </c>
      <c r="Q5" s="48">
        <f>SUM(F4+K4+F17+K17+F35+K35)</f>
        <v>200000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222.79300000000001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222.79300000000001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59.670999999999999</v>
      </c>
      <c r="E8" s="42" t="str">
        <f>+'[1](1)'!E8</f>
        <v>신용카드</v>
      </c>
      <c r="F8" s="44">
        <f>10903779-312000</f>
        <v>10591779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19032488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">
        <v>67</v>
      </c>
      <c r="F9" s="44">
        <v>106729</v>
      </c>
      <c r="G9" s="27"/>
      <c r="H9" s="42" t="str">
        <f t="shared" si="2"/>
        <v>-</v>
      </c>
      <c r="I9" s="50"/>
      <c r="J9" s="42" t="s">
        <v>67</v>
      </c>
      <c r="K9" s="44">
        <v>35742</v>
      </c>
      <c r="L9" s="2"/>
      <c r="M9" s="20"/>
      <c r="N9" s="51" t="str">
        <f t="shared" si="3"/>
        <v>자가소비</v>
      </c>
      <c r="O9" s="54">
        <f>SUM(D8+I8+D21+I21+D39+I39)</f>
        <v>59.670999999999999</v>
      </c>
      <c r="P9" s="51" t="str">
        <f t="shared" si="4"/>
        <v>신용카드</v>
      </c>
      <c r="Q9" s="53">
        <f>IF(K8=0,F8,IF(F21=0,K8,IF(K21=0,F21,K21)))</f>
        <v>19032488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221.631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동양외상</v>
      </c>
      <c r="Q10" s="53">
        <f>SUM(F9+K9+F22+K22+F40+K40)</f>
        <v>142471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-7757.085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221.631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-7757.085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10807166.378999999</v>
      </c>
      <c r="E13" s="29" t="str">
        <f>+'[1](1)'!E13</f>
        <v>합계</v>
      </c>
      <c r="F13" s="61">
        <f>SUM(F4:F12)</f>
        <v>10812508</v>
      </c>
      <c r="G13" s="62"/>
      <c r="H13" s="29" t="str">
        <f t="shared" si="2"/>
        <v>합계</v>
      </c>
      <c r="I13" s="60">
        <f>SUM((I4-I5-I6-I7-I8-I9)*$I$1+I11)</f>
        <v>8571021.0960000008</v>
      </c>
      <c r="J13" s="29" t="str">
        <f t="shared" ref="J13" si="5">+E13</f>
        <v>합계</v>
      </c>
      <c r="K13" s="61">
        <f>IF(K8=0,0,SUM(K4:K12)-F8)</f>
        <v>8571451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130" t="s">
        <v>65</v>
      </c>
      <c r="E14" s="130">
        <f>54698+52031</f>
        <v>106729</v>
      </c>
      <c r="F14" s="67">
        <f>SUM(F13-D13)</f>
        <v>5341.621000001207</v>
      </c>
      <c r="G14" s="27"/>
      <c r="H14" s="27"/>
      <c r="I14" s="27"/>
      <c r="J14" s="27"/>
      <c r="K14" s="67">
        <f>SUM(K13-I13)</f>
        <v>429.90399999916553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86167.065000000002</v>
      </c>
      <c r="P14" s="39" t="str">
        <f t="shared" si="4"/>
        <v>합계</v>
      </c>
      <c r="Q14" s="69">
        <f>SUM(Q5:Q13)</f>
        <v>19383959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130" t="s">
        <v>66</v>
      </c>
      <c r="E15" s="130">
        <f>E14+F14</f>
        <v>112070.62100000121</v>
      </c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5771.5250000003725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80</v>
      </c>
      <c r="Q20" s="53">
        <f>SUM(P20*1000)</f>
        <v>80000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동양외상</v>
      </c>
      <c r="F22" s="44"/>
      <c r="G22" s="27"/>
      <c r="H22" s="42" t="str">
        <f t="shared" si="10"/>
        <v>-</v>
      </c>
      <c r="I22" s="50"/>
      <c r="J22" s="42" t="str">
        <f t="shared" si="11"/>
        <v>동양외상</v>
      </c>
      <c r="K22" s="44"/>
      <c r="L22" s="2"/>
      <c r="M22" s="1"/>
      <c r="N22" s="147" t="s">
        <v>59</v>
      </c>
      <c r="O22" s="142"/>
      <c r="P22" s="118">
        <v>21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155</v>
      </c>
      <c r="Q28" s="69">
        <f>SUM(Q19:Q27)</f>
        <v>100000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29312</v>
      </c>
      <c r="P31" s="103">
        <v>29366</v>
      </c>
      <c r="Q31" s="104">
        <f>P31-O31</f>
        <v>54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11" sqref="R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5</v>
      </c>
      <c r="F1" s="1"/>
      <c r="G1" s="1"/>
      <c r="H1" s="1"/>
      <c r="I1" s="128">
        <v>1032</v>
      </c>
      <c r="J1" s="1"/>
      <c r="K1" s="1"/>
      <c r="L1" s="21">
        <f>+ROUND(+O5*0.584/1000,3)</f>
        <v>10.395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10.69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53.449999999999996</v>
      </c>
      <c r="M3" s="18" t="s">
        <v>10</v>
      </c>
      <c r="N3" s="3"/>
      <c r="O3" s="3"/>
      <c r="P3" s="150" t="str">
        <f>+'(1)'!C1&amp;"년"&amp;'(1)'!E1&amp;"월"&amp;C1&amp;"일"</f>
        <v>2023년12월5일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9597.1319999999996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8203.1229999999996</v>
      </c>
      <c r="J4" s="42" t="str">
        <f>+'[1](1)'!J4</f>
        <v>고액권</v>
      </c>
      <c r="K4" s="36">
        <v>295000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46496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17800.254999999997</v>
      </c>
      <c r="P5" s="47" t="str">
        <f>+E4</f>
        <v>고액권</v>
      </c>
      <c r="Q5" s="48">
        <f>SUM(F4+K4+F17+K17+F35+K35)</f>
        <v>480000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249.71799999999999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1017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249.71799999999999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9446174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17561551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1017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">
        <v>68</v>
      </c>
      <c r="K9" s="44">
        <v>24468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17561551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174.65899999999999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30000</v>
      </c>
      <c r="L10" s="2"/>
      <c r="M10" s="20"/>
      <c r="N10" s="51" t="str">
        <f t="shared" si="3"/>
        <v>-</v>
      </c>
      <c r="O10" s="54"/>
      <c r="P10" s="51" t="s">
        <v>69</v>
      </c>
      <c r="Q10" s="53">
        <f>SUM(F9+K9+F22+K22+F40+K40)</f>
        <v>24468</v>
      </c>
      <c r="R10" s="5" t="s">
        <v>70</v>
      </c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-6113.0649999999996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174.65899999999999</v>
      </c>
      <c r="P11" s="51" t="str">
        <f t="shared" si="4"/>
        <v>OK케시백</v>
      </c>
      <c r="Q11" s="53">
        <f>SUM(F10+K10+F23+K23+F41+K41)</f>
        <v>32000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-6113.0649999999996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9640418.1830000002</v>
      </c>
      <c r="E13" s="29" t="str">
        <f>+'[1](1)'!E13</f>
        <v>합계</v>
      </c>
      <c r="F13" s="61">
        <f>SUM(F4:F12)</f>
        <v>9639191</v>
      </c>
      <c r="G13" s="62"/>
      <c r="H13" s="29" t="str">
        <f t="shared" si="2"/>
        <v>합계</v>
      </c>
      <c r="I13" s="60">
        <f>SUM((I4-I5-I6-I7-I8-I9)*$I$1+I11)</f>
        <v>8465622.9359999988</v>
      </c>
      <c r="J13" s="29" t="str">
        <f t="shared" ref="J13" si="5">+E13</f>
        <v>합계</v>
      </c>
      <c r="K13" s="61">
        <f>IF(K8=0,0,SUM(K4:K12)-F8)</f>
        <v>8465845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-1227.1830000001937</v>
      </c>
      <c r="G14" s="27"/>
      <c r="H14" s="27"/>
      <c r="I14" s="27"/>
      <c r="J14" s="27"/>
      <c r="K14" s="67">
        <f>SUM(K13-I13)</f>
        <v>222.06400000117719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81639.619999999981</v>
      </c>
      <c r="P14" s="39" t="str">
        <f t="shared" si="4"/>
        <v>합계</v>
      </c>
      <c r="Q14" s="69">
        <f>SUM(Q5:Q13)</f>
        <v>18105036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-1005.1189999990165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21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101</v>
      </c>
      <c r="Q28" s="69">
        <f>SUM(Q19:Q27)</f>
        <v>64000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29366</v>
      </c>
      <c r="P31" s="103">
        <v>29398</v>
      </c>
      <c r="Q31" s="104">
        <f>P31-O31</f>
        <v>32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D32" sqref="D3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11.031000000000001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10.747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64.481999999999999</v>
      </c>
      <c r="M3" s="18" t="s">
        <v>10</v>
      </c>
      <c r="N3" s="3"/>
      <c r="O3" s="3"/>
      <c r="P3" s="150" t="str">
        <f>+'(1)'!C1&amp;"년"&amp;'(1)'!E1&amp;"월"&amp;C1&amp;"일"</f>
        <v>2023년12월6일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10199.07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8689.4040000000005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27037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1500</v>
      </c>
      <c r="L5" s="2"/>
      <c r="M5" s="20"/>
      <c r="N5" s="45" t="str">
        <f>+C4</f>
        <v>판매량</v>
      </c>
      <c r="O5" s="46">
        <f>SUM(D4+I4+D17+I17+D35+I35)</f>
        <v>18888.474000000002</v>
      </c>
      <c r="P5" s="47" t="str">
        <f>+E4</f>
        <v>고액권</v>
      </c>
      <c r="Q5" s="48">
        <f>SUM(F4+K4+F17+K17+F35+K35)</f>
        <v>275000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108.93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108.93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10237785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18992258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">
        <v>71</v>
      </c>
      <c r="K9" s="44">
        <v>33315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18992258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379.18299999999999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112.24299999999999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">
        <v>72</v>
      </c>
      <c r="Q10" s="53">
        <f>SUM(F9+K9+F22+K22+F40+K40)</f>
        <v>33315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-13271.404999999999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-3928.5049999999997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491.42599999999999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56644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-17199.91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10399753.074999999</v>
      </c>
      <c r="E13" s="29" t="str">
        <f>+'[1](1)'!E13</f>
        <v>합계</v>
      </c>
      <c r="F13" s="61">
        <f>SUM(F4:F12)</f>
        <v>10398429</v>
      </c>
      <c r="G13" s="62"/>
      <c r="H13" s="29" t="str">
        <f t="shared" si="2"/>
        <v>합계</v>
      </c>
      <c r="I13" s="60">
        <f>SUM((I4-I5-I6-I7-I8-I9)*$I$1+I11)</f>
        <v>8963536.4230000004</v>
      </c>
      <c r="J13" s="29" t="str">
        <f t="shared" ref="J13" si="5">+E13</f>
        <v>합계</v>
      </c>
      <c r="K13" s="61">
        <f>IF(K8=0,0,SUM(K4:K12)-F8)</f>
        <v>8964288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56644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-1324.0749999992549</v>
      </c>
      <c r="G14" s="27"/>
      <c r="H14" s="27"/>
      <c r="I14" s="27"/>
      <c r="J14" s="27"/>
      <c r="K14" s="67">
        <f>SUM(K13-I13)</f>
        <v>751.57699999958277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76697.81</v>
      </c>
      <c r="P14" s="39" t="str">
        <f t="shared" si="4"/>
        <v>합계</v>
      </c>
      <c r="Q14" s="69">
        <f>SUM(Q5:Q13)</f>
        <v>19362717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-572.49799999967217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13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62</v>
      </c>
      <c r="Q28" s="69">
        <f>SUM(Q19:Q27)</f>
        <v>34000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29398</v>
      </c>
      <c r="P31" s="103">
        <v>29417</v>
      </c>
      <c r="Q31" s="104">
        <f>P31-O31</f>
        <v>19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Q11" sqref="Q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11.007999999999999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10.784000000000001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75.488</v>
      </c>
      <c r="M3" s="18" t="s">
        <v>10</v>
      </c>
      <c r="N3" s="3"/>
      <c r="O3" s="3"/>
      <c r="P3" s="150" t="str">
        <f>+'(1)'!C1&amp;"년"&amp;'(1)'!E1&amp;"월"&amp;C1&amp;"일"</f>
        <v>2023년12월7일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10210.909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8638.6759999999995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44479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2500</v>
      </c>
      <c r="L5" s="2"/>
      <c r="M5" s="20"/>
      <c r="N5" s="45" t="str">
        <f>+C4</f>
        <v>판매량</v>
      </c>
      <c r="O5" s="46">
        <f>SUM(D4+I4+D17+I17+D35+I35)</f>
        <v>18849.584999999999</v>
      </c>
      <c r="P5" s="47" t="str">
        <f>+E4</f>
        <v>고액권</v>
      </c>
      <c r="Q5" s="48">
        <f>SUM(F4+K4+F17+K17+F35+K35)</f>
        <v>390000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270.029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270.029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9995361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18729232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">
        <v>73</v>
      </c>
      <c r="K9" s="44">
        <v>33025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18729232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425.79</v>
      </c>
      <c r="E10" s="42" t="str">
        <f>+'[1](1)'!E10</f>
        <v>OK케시백</v>
      </c>
      <c r="F10" s="44">
        <v>3000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">
        <v>74</v>
      </c>
      <c r="Q10" s="53">
        <f>SUM(F9+K9+F22+K22+F40+K40)</f>
        <v>33025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-14902.650000000001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425.79</v>
      </c>
      <c r="P11" s="51" t="str">
        <f t="shared" si="4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-14902.650000000001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10244085.509999998</v>
      </c>
      <c r="E13" s="29" t="str">
        <f>+'[1](1)'!E13</f>
        <v>합계</v>
      </c>
      <c r="F13" s="61">
        <f>SUM(F4:F12)</f>
        <v>10210361</v>
      </c>
      <c r="G13" s="62"/>
      <c r="H13" s="29" t="str">
        <f t="shared" si="2"/>
        <v>합계</v>
      </c>
      <c r="I13" s="60">
        <f>SUM((I4-I5-I6-I7-I8-I9)*$I$1+I11)</f>
        <v>8915113.6319999993</v>
      </c>
      <c r="J13" s="29" t="str">
        <f t="shared" ref="J13" si="5">+E13</f>
        <v>합계</v>
      </c>
      <c r="K13" s="61">
        <f>IF(K8=0,0,SUM(K4:K12)-F8)</f>
        <v>8949396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-33724.509999997914</v>
      </c>
      <c r="G14" s="27"/>
      <c r="H14" s="27"/>
      <c r="I14" s="27"/>
      <c r="J14" s="27"/>
      <c r="K14" s="67">
        <f>SUM(K13-I13)</f>
        <v>34282.368000000715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77995.13</v>
      </c>
      <c r="P14" s="39" t="str">
        <f t="shared" si="4"/>
        <v>합계</v>
      </c>
      <c r="Q14" s="69">
        <f>SUM(Q5:Q13)</f>
        <v>19159757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557.85800000280142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131</v>
      </c>
      <c r="Q20" s="53">
        <f>SUM(P20*1000)</f>
        <v>131000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29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24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20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220</v>
      </c>
      <c r="Q28" s="69">
        <f>SUM(Q19:Q27)</f>
        <v>161000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29417</v>
      </c>
      <c r="P31" s="103">
        <v>29485</v>
      </c>
      <c r="Q31" s="104">
        <f>P31-O31</f>
        <v>68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L21" sqref="L2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11.766999999999999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10.907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87.256</v>
      </c>
      <c r="M3" s="18" t="s">
        <v>10</v>
      </c>
      <c r="N3" s="3"/>
      <c r="O3" s="3"/>
      <c r="P3" s="150" t="str">
        <f>+'(1)'!C1&amp;"년"&amp;'(1)'!E1&amp;"월"&amp;C1&amp;"일"</f>
        <v>2023년12월8일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11131.566999999999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9018.1659999999993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23803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4200</v>
      </c>
      <c r="L5" s="2"/>
      <c r="M5" s="20"/>
      <c r="N5" s="45" t="str">
        <f>+C4</f>
        <v>판매량</v>
      </c>
      <c r="O5" s="46">
        <f>SUM(D4+I4+D17+I17+D35+I35)</f>
        <v>20149.733</v>
      </c>
      <c r="P5" s="47" t="str">
        <f>+E4</f>
        <v>고액권</v>
      </c>
      <c r="Q5" s="48">
        <f>SUM(F4+K4+F17+K17+F35+K35)</f>
        <v>85000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282.22899999999998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35.923000000000002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4200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318.15199999999999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11195964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20311359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20311359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108.30500000000001</v>
      </c>
      <c r="E10" s="42" t="str">
        <f>+'[1](1)'!E10</f>
        <v>OK케시백</v>
      </c>
      <c r="F10" s="44">
        <v>19000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-3790.6750000000002</v>
      </c>
      <c r="E11" s="42" t="str">
        <f>+'[1](1)'!E11</f>
        <v>모바일</v>
      </c>
      <c r="F11" s="44">
        <v>40000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108.30500000000001</v>
      </c>
      <c r="P11" s="51" t="str">
        <f t="shared" si="4"/>
        <v>OK케시백</v>
      </c>
      <c r="Q11" s="53">
        <f>SUM(F10+K10+F23+K23+F41+K41)</f>
        <v>21000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-3790.6750000000002</v>
      </c>
      <c r="P12" s="51" t="str">
        <f t="shared" si="4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11192726.140999999</v>
      </c>
      <c r="E13" s="29" t="str">
        <f>+'[1](1)'!E13</f>
        <v>합계</v>
      </c>
      <c r="F13" s="61">
        <f>SUM(F4:F12)</f>
        <v>11254964</v>
      </c>
      <c r="G13" s="62"/>
      <c r="H13" s="29" t="str">
        <f t="shared" si="2"/>
        <v>합계</v>
      </c>
      <c r="I13" s="60">
        <f>SUM((I4-I5-I6-I7-I8-I9)*$I$1+I11)</f>
        <v>9269674.7759999987</v>
      </c>
      <c r="J13" s="29" t="str">
        <f t="shared" ref="J13" si="5">+E13</f>
        <v>합계</v>
      </c>
      <c r="K13" s="61">
        <f>IF(K8=0,0,SUM(K4:K12)-F8)</f>
        <v>9206595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62237.859000001103</v>
      </c>
      <c r="G14" s="27"/>
      <c r="H14" s="27"/>
      <c r="I14" s="27"/>
      <c r="J14" s="27"/>
      <c r="K14" s="67">
        <f>SUM(K13-I13)</f>
        <v>-63079.775999998674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95367.23000000001</v>
      </c>
      <c r="P14" s="39" t="str">
        <f t="shared" si="4"/>
        <v>합계</v>
      </c>
      <c r="Q14" s="69">
        <f>SUM(Q5:Q13)</f>
        <v>20461559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-841.91699999757111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129</v>
      </c>
      <c r="Q20" s="53">
        <f>SUM(P20*1000)</f>
        <v>129000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165</v>
      </c>
      <c r="Q28" s="69">
        <f>SUM(Q19:Q27)</f>
        <v>140000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29485</v>
      </c>
      <c r="P31" s="103">
        <v>29576</v>
      </c>
      <c r="Q31" s="104">
        <f>P31-O31</f>
        <v>91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9.8219999999999992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10.786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97.073999999999998</v>
      </c>
      <c r="M3" s="18" t="s">
        <v>10</v>
      </c>
      <c r="N3" s="3"/>
      <c r="O3" s="3"/>
      <c r="P3" s="150" t="str">
        <f>+'(1)'!C1&amp;"년"&amp;'(1)'!E1&amp;"월"&amp;C1&amp;"일"</f>
        <v>2023년12월9일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8336.5310000000009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8482.4189999999999</v>
      </c>
      <c r="J4" s="42" t="str">
        <f>+'[1](1)'!J4</f>
        <v>고액권</v>
      </c>
      <c r="K4" s="36">
        <v>385000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43535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16818.95</v>
      </c>
      <c r="P5" s="47" t="str">
        <f>+E4</f>
        <v>고액권</v>
      </c>
      <c r="Q5" s="48">
        <f>SUM(F4+K4+F17+K17+F35+K35)</f>
        <v>560000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73.924000000000007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73.924000000000007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8337418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16695593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16695593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105.172</v>
      </c>
      <c r="E10" s="42" t="str">
        <f>+'[1](1)'!E10</f>
        <v>OK케시백</v>
      </c>
      <c r="F10" s="44">
        <v>6000</v>
      </c>
      <c r="G10" s="27"/>
      <c r="H10" s="42" t="str">
        <f t="shared" si="2"/>
        <v>고객우대</v>
      </c>
      <c r="I10" s="50">
        <v>53.768999999999998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-3681.02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-1881.915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158.941</v>
      </c>
      <c r="P11" s="51" t="str">
        <f t="shared" si="4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-5562.9350000000004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8523329.404000001</v>
      </c>
      <c r="E13" s="29" t="str">
        <f>+'[1](1)'!E13</f>
        <v>합계</v>
      </c>
      <c r="F13" s="61">
        <f>SUM(F4:F12)</f>
        <v>8523418</v>
      </c>
      <c r="G13" s="62"/>
      <c r="H13" s="29" t="str">
        <f t="shared" si="2"/>
        <v>합계</v>
      </c>
      <c r="I13" s="60">
        <f>SUM((I4-I5-I6-I7-I8-I9)*$I$1+I11)</f>
        <v>8751974.4930000007</v>
      </c>
      <c r="J13" s="29" t="str">
        <f t="shared" ref="J13" si="5">+E13</f>
        <v>합계</v>
      </c>
      <c r="K13" s="61">
        <f>IF(K8=0,0,SUM(K4:K12)-F8)</f>
        <v>8752175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88.59599999897182</v>
      </c>
      <c r="G14" s="27"/>
      <c r="H14" s="27"/>
      <c r="I14" s="27"/>
      <c r="J14" s="27"/>
      <c r="K14" s="67">
        <f>SUM(K13-I13)</f>
        <v>200.50699999928474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78162.195000000007</v>
      </c>
      <c r="P14" s="39" t="str">
        <f t="shared" si="4"/>
        <v>합계</v>
      </c>
      <c r="Q14" s="69">
        <f>SUM(Q5:Q13)</f>
        <v>17275593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289.10299999825656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140</v>
      </c>
      <c r="Q28" s="69">
        <f>SUM(Q19:Q27)</f>
        <v>102000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29576</v>
      </c>
      <c r="P31" s="103">
        <v>29632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2023-12-17T12:03:51Z</dcterms:modified>
</cp:coreProperties>
</file>