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16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K8" i="152" l="1"/>
  <c r="F8" i="149" l="1"/>
  <c r="K8" i="145" l="1"/>
  <c r="K3" i="139" l="1"/>
  <c r="K3" i="140"/>
  <c r="K3" i="141"/>
  <c r="K3" i="142"/>
  <c r="K3" i="143"/>
  <c r="K3" i="144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38"/>
  <c r="D11" i="135" l="1"/>
  <c r="Q20" i="135"/>
  <c r="F3" i="133" l="1"/>
  <c r="F8" i="13" l="1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F14" i="136" s="1"/>
  <c r="I24" i="135"/>
  <c r="D24" i="135"/>
  <c r="I11" i="135"/>
  <c r="I13" i="135" s="1"/>
  <c r="D13" i="135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D13" i="1" s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K14" i="136" l="1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<sst xmlns="http://schemas.openxmlformats.org/spreadsheetml/2006/main" count="865" uniqueCount="67">
  <si>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</si>
  <si>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</si>
  <si>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</si>
  <si>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</si>
  <si>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</si>
  <si>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</si>
  <si>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</si>
  <si>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</si>
  <si>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</si>
  <si>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</si>
  <si>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</si>
  <si>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</si>
  <si>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</si>
  <si>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</si>
  <si>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</si>
  <si>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</si>
  <si>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</si>
  <si>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</si>
  <si>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</si>
  <si>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</si>
  <si>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</si>
  <si>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</si>
  <si>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</si>
  <si>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</si>
  <si>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</si>
  <si>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</si>
  <si>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</si>
  <si>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</si>
  <si>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</si>
  <si>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</si>
  <si>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</si>
  <si>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</si>
  <si>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</si>
  <si>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</si>
  <si>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</si>
  <si>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</si>
  <si>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</si>
  <si>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</si>
  <si>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</si>
  <si>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</si>
  <si>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</si>
  <si>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</si>
  <si>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</si>
  <si>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</si>
  <si>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</si>
  <si>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</si>
  <si>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</si>
  <si>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</si>
  <si>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</si>
  <si>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</si>
  <si>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</si>
  <si>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</si>
  <si>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</si>
  <si>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</si>
  <si>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</si>
  <si>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</si>
  <si>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</si>
  <si>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</si>
  <si>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</si>
  <si>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</si>
  <si>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</si>
  <si>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</si>
  <si>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</si>
  <si>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</si>
  <si>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</si>
  <si>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(태영 1783호 승인취소안됨)</t>
    <phoneticPr fontId="1" type="noConversion"/>
  </si>
  <si>
    <t>6/5처리함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</si>
</sst>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1" fillId="2" borderId="5" xfId="0" applyNumberFormat="1" applyFont="1" applyFill="1" applyBorder="1" applyAlignment="1" applyProtection="1">
      <alignment horizontal="right" vertical="center"/>
      <protection locked="0"/>
    </xf>
    <xf numFmtId="176" fontId="21" fillId="2" borderId="0" xfId="0" applyNumberFormat="1" applyFont="1" applyFill="1" applyAlignment="1" applyProtection="1">
      <alignment horizontal="left" vertical="center"/>
      <protection locked="0"/>
    </xf>
    <xf numFmtId="0" fontId="11" fillId="2" borderId="0" xfId="0" applyNumberFormat="1" applyFont="1" applyFill="1" applyBorder="1" applyAlignment="1" applyProtection="1">
      <alignment horizontal="center" vertical="center"/>
      <protection locked="0"/>
    </xf>
    <xf numFmtId="176" fontId="11" fillId="2" borderId="0" xfId="0" applyNumberFormat="1" applyFont="1" applyFill="1" applyAlignment="1" applyProtection="1">
      <alignment horizontal="right" vertical="center"/>
      <protection locked="0"/>
    </xf>
    <xf numFmtId="177" fontId="11" fillId="3" borderId="1" xfId="0" applyNumberFormat="1" applyFont="1" applyFill="1" applyBorder="1" applyAlignment="1" applyProtection="1">
      <alignment horizontal="right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I2" sqref="I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6</v>
      </c>
      <c r="F1" s="24" t="str">
        <f>IF(E1&lt;1,"◀  월 입력","월")</f>
        <v>월</v>
      </c>
      <c r="G1" s="25">
        <v>1</v>
      </c>
      <c r="H1" s="26" t="s">
        <v>11</v>
      </c>
      <c r="I1" s="25">
        <v>1023</v>
      </c>
      <c r="J1" s="24" t="str">
        <f>IF(I1&lt;100,"◀  단가입력","원")</f>
        <v>원</v>
      </c>
      <c r="L1" s="28">
        <f>+ROUND(+O5*0.584/1000,3)</f>
        <v>14.313000000000001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14.313000000000001</v>
      </c>
      <c r="M2" s="27" t="s">
        <v>7</v>
      </c>
      <c r="N2" s="138" t="s">
        <v>12</v>
      </c>
      <c r="O2" s="138"/>
      <c r="P2" s="138"/>
      <c r="Q2" s="138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14.313000000000001</v>
      </c>
      <c r="M3" s="27" t="s">
        <v>10</v>
      </c>
      <c r="N3" s="32"/>
      <c r="O3" s="32"/>
      <c r="P3" s="137" t="str">
        <f>+'(1)'!$C$1&amp;"년"&amp;'(1)'!$E$1&amp;"월"&amp;$G$1&amp;"일"</f>
        <v>2023년6월1일</v>
      </c>
      <c r="Q3" s="137"/>
      <c r="R3" s="33"/>
    </row>
    <row r="4" spans="3:25" ht="16.5" customHeight="1" thickBot="1">
      <c r="C4" s="34" t="s">
        <v>15</v>
      </c>
      <c r="D4" s="35">
        <v>6910.6059999999998</v>
      </c>
      <c r="E4" s="34" t="str">
        <f>+'[1](1)'!E4</f>
        <v>고액권</v>
      </c>
      <c r="F4" s="36">
        <v>205000</v>
      </c>
      <c r="H4" s="93" t="str">
        <f>+C4</f>
        <v>판매량</v>
      </c>
      <c r="I4" s="35">
        <v>9898.3469999999998</v>
      </c>
      <c r="J4" s="42" t="str">
        <f>+'[1](1)'!J4</f>
        <v>고액권</v>
      </c>
      <c r="K4" s="36">
        <v>275000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26947</v>
      </c>
      <c r="S4" s="41" t="s">
        <v>17</v>
      </c>
      <c r="T4" s="27">
        <v>45439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6000</v>
      </c>
      <c r="H5" s="94" t="str">
        <f>+C5</f>
        <v>법인전표</v>
      </c>
      <c r="I5" s="43"/>
      <c r="J5" s="42" t="str">
        <f>+'[1](1)'!J5</f>
        <v>천원권</v>
      </c>
      <c r="K5" s="44">
        <v>1000</v>
      </c>
      <c r="M5" s="38"/>
      <c r="N5" s="45" t="str">
        <f>+C4</f>
        <v>판매량</v>
      </c>
      <c r="O5" s="46">
        <f>SUM(D4+I4+D17+I17+D35+I35)</f>
        <v>24508.562000000002</v>
      </c>
      <c r="P5" s="47" t="str">
        <f>+E4</f>
        <v>고액권</v>
      </c>
      <c r="Q5" s="48">
        <f>SUM(F4+K4+F17+K17+F35+K35)</f>
        <v>640000</v>
      </c>
      <c r="R5" s="49">
        <v>28</v>
      </c>
      <c r="S5" s="41" t="s">
        <v>20</v>
      </c>
      <c r="T5" s="27">
        <v>21</v>
      </c>
    </row>
    <row r="6" spans="3:25" ht="16.5" customHeight="1">
      <c r="C6" s="42" t="s">
        <v>21</v>
      </c>
      <c r="D6" s="50">
        <v>26.834</v>
      </c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191.113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9000</v>
      </c>
      <c r="R6" s="49">
        <v>2.2999999999999998</v>
      </c>
      <c r="S6" s="41" t="s">
        <v>23</v>
      </c>
      <c r="T6" s="129">
        <v>2.1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217.947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6831726</v>
      </c>
      <c r="H8" s="94" t="str">
        <f t="shared" si="2"/>
        <v>자가소비</v>
      </c>
      <c r="I8" s="50"/>
      <c r="J8" s="42" t="str">
        <f>+'[1](1)'!J8</f>
        <v>신용카드</v>
      </c>
      <c r="K8" s="44">
        <v>16402766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24115256</v>
      </c>
      <c r="R9" s="40"/>
    </row>
    <row r="10" spans="3:25" ht="16.5" customHeight="1">
      <c r="C10" s="42" t="s">
        <v>49</v>
      </c>
      <c r="D10" s="50">
        <v>0</v>
      </c>
      <c r="E10" s="42" t="str">
        <f>+'[1](1)'!E10</f>
        <v>OK케시백</v>
      </c>
      <c r="F10" s="44"/>
      <c r="H10" s="94" t="str">
        <f t="shared" si="2"/>
        <v>고객우대</v>
      </c>
      <c r="I10" s="50">
        <v>313.238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-10963.33</v>
      </c>
      <c r="J11" s="56" t="str">
        <f>+'[1](1)'!J11</f>
        <v>모바일</v>
      </c>
      <c r="K11" s="44">
        <v>10000</v>
      </c>
      <c r="M11" s="38"/>
      <c r="N11" s="51" t="str">
        <f t="shared" si="3"/>
        <v>고객우대</v>
      </c>
      <c r="O11" s="54">
        <f>SUM(D10+I10+D23+I23+D41+I41)</f>
        <v>360.18399999999997</v>
      </c>
      <c r="P11" s="51" t="str">
        <f t="shared" si="4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>
        <v>62391</v>
      </c>
      <c r="M12" s="38"/>
      <c r="N12" s="51" t="str">
        <f t="shared" si="3"/>
        <v>-</v>
      </c>
      <c r="O12" s="52">
        <f>SUM(O11*-35)</f>
        <v>-12606.439999999999</v>
      </c>
      <c r="P12" s="51" t="str">
        <f t="shared" si="4"/>
        <v>모바일</v>
      </c>
      <c r="Q12" s="53">
        <f>SUM(F11+K11+F24+K24+F42+K42)</f>
        <v>10000</v>
      </c>
      <c r="R12" s="40"/>
    </row>
    <row r="13" spans="3:25" ht="16.5" customHeight="1" thickBot="1">
      <c r="C13" s="59" t="s">
        <v>33</v>
      </c>
      <c r="D13" s="60">
        <f>SUM((D4-D5-D6-D7-D8-D9)*$I$1+D11)</f>
        <v>7042098.7560000001</v>
      </c>
      <c r="E13" s="29" t="str">
        <f>+'[1](1)'!E13</f>
        <v>합계</v>
      </c>
      <c r="F13" s="61">
        <f>SUM(F4:F12)</f>
        <v>7042726</v>
      </c>
      <c r="G13" s="62"/>
      <c r="H13" s="92" t="str">
        <f t="shared" si="2"/>
        <v>합계</v>
      </c>
      <c r="I13" s="60">
        <f>SUM((I4-I5-I6-I7-I8-I9)*$I$1+I11)</f>
        <v>9919537.0520000011</v>
      </c>
      <c r="J13" s="29" t="str">
        <f t="shared" ref="J13" si="5">+E13</f>
        <v>합계</v>
      </c>
      <c r="K13" s="61">
        <f>IF(K8=0,0,SUM(K4:K12)-F8)</f>
        <v>9919431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62391</v>
      </c>
      <c r="R13" s="40"/>
      <c r="Y13" s="66"/>
    </row>
    <row r="14" spans="3:25" ht="16.5" customHeight="1" thickBot="1">
      <c r="C14" s="37"/>
      <c r="F14" s="67">
        <f>SUM(F13-D13)</f>
        <v>627.24399999994785</v>
      </c>
      <c r="K14" s="67">
        <f>SUM(K13-I13)</f>
        <v>-106.05200000107288</v>
      </c>
      <c r="N14" s="39" t="str">
        <f t="shared" si="3"/>
        <v>합계</v>
      </c>
      <c r="O14" s="68">
        <f>SUM((O5-O6-O7-O8-O9-O10)*+$I$1+O12)</f>
        <v>24836692.705000002</v>
      </c>
      <c r="P14" s="39" t="str">
        <f t="shared" si="4"/>
        <v>합계</v>
      </c>
      <c r="Q14" s="69">
        <f>SUM(Q5:Q13)</f>
        <v>24836647</v>
      </c>
    </row>
    <row r="15" spans="3:25" ht="16.5" customHeight="1" thickBot="1">
      <c r="C15" s="27">
        <v>3</v>
      </c>
      <c r="H15" s="27">
        <v>4</v>
      </c>
      <c r="Q15" s="70">
        <f>SUM(F14+K14+F27+K27)</f>
        <v>-45.705000001005828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7699.6090000000004</v>
      </c>
      <c r="E17" s="34" t="str">
        <f>+E4</f>
        <v>고액권</v>
      </c>
      <c r="F17" s="36">
        <v>160000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2000</v>
      </c>
      <c r="H18" s="94" t="str">
        <f>+C5</f>
        <v>법인전표</v>
      </c>
      <c r="I18" s="43"/>
      <c r="J18" s="42" t="str">
        <f>+E5</f>
        <v>천원권</v>
      </c>
      <c r="K18" s="44"/>
      <c r="N18" s="135" t="s">
        <v>34</v>
      </c>
      <c r="O18" s="148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/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9" t="s">
        <v>37</v>
      </c>
      <c r="O19" s="140"/>
      <c r="P19" s="117">
        <v>11</v>
      </c>
      <c r="Q19" s="48">
        <f>SUM(P19*1000)</f>
        <v>11000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5" t="s">
        <v>38</v>
      </c>
      <c r="O20" s="146"/>
      <c r="P20" s="118">
        <v>60</v>
      </c>
      <c r="Q20" s="53">
        <f>SUM(P20*1000)</f>
        <v>60000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24115256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5" t="s">
        <v>56</v>
      </c>
      <c r="O21" s="146"/>
      <c r="P21" s="118">
        <v>8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7" t="s">
        <v>58</v>
      </c>
      <c r="O22" s="142"/>
      <c r="P22" s="118">
        <v>23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46.945999999999998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41" t="s">
        <v>60</v>
      </c>
      <c r="O23" s="142"/>
      <c r="P23" s="118">
        <v>16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-1643.11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41" t="s">
        <v>63</v>
      </c>
      <c r="O24" s="142"/>
      <c r="P24" s="118">
        <v>13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41"/>
      <c r="O25" s="142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7875056.8969999999</v>
      </c>
      <c r="E26" s="29" t="str">
        <f t="shared" si="8"/>
        <v>합계</v>
      </c>
      <c r="F26" s="61">
        <f>IF(F21=0,0,SUM(F17:F25)-K8)</f>
        <v>7874490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41"/>
      <c r="O26" s="142"/>
      <c r="P26" s="72"/>
      <c r="Q26" s="113"/>
      <c r="R26" s="32"/>
      <c r="S26" s="32"/>
    </row>
    <row r="27" spans="3:19" ht="15.75" customHeight="1" thickBot="1">
      <c r="F27" s="67">
        <f>SUM(F26-D26)</f>
        <v>-566.89699999988079</v>
      </c>
      <c r="K27" s="67">
        <f>SUM(K26-I26)</f>
        <v>0</v>
      </c>
      <c r="N27" s="143" t="s">
        <v>39</v>
      </c>
      <c r="O27" s="144"/>
      <c r="P27" s="119">
        <f>+P28-SUM(P19:P26)</f>
        <v>-5</v>
      </c>
      <c r="Q27" s="73"/>
    </row>
    <row r="28" spans="3:19" ht="23.25" customHeight="1" thickBot="1">
      <c r="F28" s="67"/>
      <c r="K28" s="67"/>
      <c r="N28" s="135" t="s">
        <v>40</v>
      </c>
      <c r="O28" s="136"/>
      <c r="P28" s="120">
        <v>126</v>
      </c>
      <c r="Q28" s="69">
        <f>SUM(Q19:Q27)</f>
        <v>71000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22546</v>
      </c>
      <c r="P31" s="103">
        <v>22587</v>
      </c>
      <c r="Q31" s="104">
        <f>P31-O31</f>
        <v>41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5" sqref="D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9.7430000000000003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10.273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102.72999999999999</v>
      </c>
      <c r="M3" s="18" t="s">
        <v>10</v>
      </c>
      <c r="N3" s="3"/>
      <c r="O3" s="3"/>
      <c r="P3" s="150" t="str">
        <f>+'(1)'!C1&amp;"년"&amp;'(1)'!E1&amp;"월"&amp;C1&amp;"일"</f>
        <v>2023년6월10일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8522.0619999999999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8161.6350000000002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50612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16683.697</v>
      </c>
      <c r="P5" s="47" t="str">
        <f>+E4</f>
        <v>고액권</v>
      </c>
      <c r="Q5" s="48">
        <f>SUM(F4+K4+F17+K17+F35+K35)</f>
        <v>365000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48.381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48.381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8484478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16584099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16584099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149.9</v>
      </c>
      <c r="E10" s="42" t="str">
        <f>+'[1](1)'!E10</f>
        <v>OK케시백</v>
      </c>
      <c r="F10" s="44">
        <v>40000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-5246.5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149.9</v>
      </c>
      <c r="P11" s="51" t="str">
        <f t="shared" si="5"/>
        <v>OK케시백</v>
      </c>
      <c r="Q11" s="53">
        <f>SUM(F10+K10+F23+K23+F41+K41)</f>
        <v>40000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-5246.5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8663329.1630000006</v>
      </c>
      <c r="E13" s="29" t="str">
        <f>+'[1](1)'!E13</f>
        <v>합계</v>
      </c>
      <c r="F13" s="61">
        <f>SUM(F4:F12)</f>
        <v>8663478</v>
      </c>
      <c r="G13" s="62"/>
      <c r="H13" s="29" t="str">
        <f t="shared" si="3"/>
        <v>합계</v>
      </c>
      <c r="I13" s="60">
        <f>SUM((I4-I5-I6-I7-I8-I9)*$I$1+I11)</f>
        <v>8349352.6050000004</v>
      </c>
      <c r="J13" s="29" t="str">
        <f t="shared" ref="J13" si="6">+E13</f>
        <v>합계</v>
      </c>
      <c r="K13" s="61">
        <f>IF(K8=0,0,SUM(K4:K12)-F8)</f>
        <v>8348621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148.83699999935925</v>
      </c>
      <c r="G14" s="27"/>
      <c r="H14" s="27"/>
      <c r="I14" s="27"/>
      <c r="J14" s="27"/>
      <c r="K14" s="67">
        <f>SUM(K13-I13)</f>
        <v>-731.60500000044703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77930.079999999987</v>
      </c>
      <c r="P14" s="39" t="str">
        <f t="shared" si="5"/>
        <v>합계</v>
      </c>
      <c r="Q14" s="69">
        <f>SUM(Q5:Q13)</f>
        <v>17012099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-582.76800000108778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61</v>
      </c>
      <c r="Q20" s="53">
        <f>SUM(P20*1000)</f>
        <v>61000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76</v>
      </c>
      <c r="Q28" s="69">
        <f>SUM(Q19:Q27)</f>
        <v>66000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23054</v>
      </c>
      <c r="P31" s="103">
        <v>23089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6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7.1689999999999996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9.9909999999999997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109.901</v>
      </c>
      <c r="M3" s="18" t="s">
        <v>10</v>
      </c>
      <c r="N3" s="3"/>
      <c r="O3" s="3"/>
      <c r="P3" s="150" t="str">
        <f>+'(1)'!C1&amp;"년"&amp;'(1)'!E1&amp;"월"&amp;C1&amp;"일"</f>
        <v>2023년6월11일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6809.5839999999998</v>
      </c>
      <c r="E4" s="34" t="str">
        <f>+'[1](1)'!E4</f>
        <v>고액권</v>
      </c>
      <c r="F4" s="36">
        <v>65000</v>
      </c>
      <c r="G4" s="27"/>
      <c r="H4" s="34" t="str">
        <f>+C4</f>
        <v>판매량</v>
      </c>
      <c r="I4" s="35">
        <v>5465.6080000000002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37796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12275.191999999999</v>
      </c>
      <c r="P5" s="47" t="str">
        <f>+E4</f>
        <v>고액권</v>
      </c>
      <c r="Q5" s="48">
        <f>SUM(F4+K4+F17+K17+F35+K35)</f>
        <v>155000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6806670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12280553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12280553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45905</v>
      </c>
      <c r="G10" s="27"/>
      <c r="H10" s="42" t="str">
        <f t="shared" si="3"/>
        <v>고객우대</v>
      </c>
      <c r="I10" s="50">
        <v>53.701000000000001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-1879.5350000000001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53.701000000000001</v>
      </c>
      <c r="P11" s="51" t="str">
        <f t="shared" si="5"/>
        <v>OK케시백</v>
      </c>
      <c r="Q11" s="53">
        <f>SUM(F10+K10+F23+K23+F41+K41)</f>
        <v>45905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43336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-1879.5350000000001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6966204.432</v>
      </c>
      <c r="E13" s="29" t="str">
        <f>+'[1](1)'!E13</f>
        <v>합계</v>
      </c>
      <c r="F13" s="61">
        <f>SUM(F4:F12)</f>
        <v>6965911</v>
      </c>
      <c r="G13" s="62"/>
      <c r="H13" s="29" t="str">
        <f t="shared" si="3"/>
        <v>합계</v>
      </c>
      <c r="I13" s="60">
        <f>SUM((I4-I5-I6-I7-I8-I9)*$I$1+I11)</f>
        <v>5589437.449</v>
      </c>
      <c r="J13" s="29" t="str">
        <f t="shared" ref="J13" si="6">+E13</f>
        <v>합계</v>
      </c>
      <c r="K13" s="61">
        <f>IF(K8=0,0,SUM(K4:K12)-F8)</f>
        <v>5589883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63336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-293.4320000000298</v>
      </c>
      <c r="G14" s="27"/>
      <c r="H14" s="27"/>
      <c r="I14" s="27"/>
      <c r="J14" s="27"/>
      <c r="K14" s="67">
        <f>SUM(K13-I13)</f>
        <v>445.55099999997765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59496.424999999988</v>
      </c>
      <c r="P14" s="39" t="str">
        <f t="shared" si="5"/>
        <v>합계</v>
      </c>
      <c r="Q14" s="69">
        <f>SUM(Q5:Q13)</f>
        <v>12555794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152.11899999994785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23089</v>
      </c>
      <c r="P31" s="103">
        <v>23089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10.818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10.06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120.72</v>
      </c>
      <c r="M3" s="18" t="s">
        <v>10</v>
      </c>
      <c r="N3" s="3"/>
      <c r="O3" s="3"/>
      <c r="P3" s="150" t="str">
        <f>+'(1)'!C1&amp;"년"&amp;'(1)'!E1&amp;"월"&amp;C1&amp;"일"</f>
        <v>2023년6월12일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10211.641</v>
      </c>
      <c r="E4" s="34" t="str">
        <f>+'[1](1)'!E4</f>
        <v>고액권</v>
      </c>
      <c r="F4" s="36">
        <v>265000</v>
      </c>
      <c r="G4" s="27"/>
      <c r="H4" s="34" t="str">
        <f>+C4</f>
        <v>판매량</v>
      </c>
      <c r="I4" s="35">
        <v>8312.4040000000005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18149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18524.044999999998</v>
      </c>
      <c r="P5" s="47" t="str">
        <f>+E4</f>
        <v>고액권</v>
      </c>
      <c r="Q5" s="48">
        <f>SUM(F4+K4+F17+K17+F35+K35)</f>
        <v>420000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289.49900000000002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19.632000000000001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309.13100000000003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49.954000000000001</v>
      </c>
      <c r="E8" s="42" t="str">
        <f>+'[1](1)'!E8</f>
        <v>신용카드</v>
      </c>
      <c r="F8" s="44">
        <v>9805157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18130075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49.954000000000001</v>
      </c>
      <c r="P9" s="51" t="str">
        <f t="shared" si="5"/>
        <v>신용카드</v>
      </c>
      <c r="Q9" s="53">
        <f>IF(K8=0,F8,IF(F21=0,K8,IF(K21=0,F21,K21)))</f>
        <v>18130075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392.76</v>
      </c>
      <c r="E10" s="42" t="str">
        <f>+'[1](1)'!E10</f>
        <v>OK케시백</v>
      </c>
      <c r="F10" s="44">
        <v>12000</v>
      </c>
      <c r="G10" s="27"/>
      <c r="H10" s="42" t="str">
        <f t="shared" si="3"/>
        <v>고객우대</v>
      </c>
      <c r="I10" s="50">
        <v>96.55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-13746.6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-3379.25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489.31</v>
      </c>
      <c r="P11" s="51" t="str">
        <f t="shared" si="5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-17125.849999999999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10085501.724000001</v>
      </c>
      <c r="E13" s="29" t="str">
        <f>+'[1](1)'!E13</f>
        <v>합계</v>
      </c>
      <c r="F13" s="61">
        <f>SUM(F4:F12)</f>
        <v>10086157</v>
      </c>
      <c r="G13" s="62"/>
      <c r="H13" s="29" t="str">
        <f t="shared" si="3"/>
        <v>합계</v>
      </c>
      <c r="I13" s="60">
        <f>SUM((I4-I5-I6-I7-I8-I9)*$I$1+I11)</f>
        <v>8480126.506000001</v>
      </c>
      <c r="J13" s="29" t="str">
        <f t="shared" ref="J13" si="6">+E13</f>
        <v>합계</v>
      </c>
      <c r="K13" s="61">
        <f>IF(K8=0,0,SUM(K4:K12)-F8)</f>
        <v>8479918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655.2759999986738</v>
      </c>
      <c r="G14" s="27"/>
      <c r="H14" s="27"/>
      <c r="I14" s="27"/>
      <c r="J14" s="27"/>
      <c r="K14" s="67">
        <f>SUM(K13-I13)</f>
        <v>-208.50600000098348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73698.949999999983</v>
      </c>
      <c r="P14" s="39" t="str">
        <f t="shared" si="5"/>
        <v>합계</v>
      </c>
      <c r="Q14" s="69">
        <f>SUM(Q5:Q13)</f>
        <v>18566075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446.76999999769032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117</v>
      </c>
      <c r="Q28" s="69">
        <f>SUM(Q19:Q27)</f>
        <v>69000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23089</v>
      </c>
      <c r="P31" s="103">
        <v>23127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10.422000000000001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10.087999999999999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131.14399999999998</v>
      </c>
      <c r="M3" s="18" t="s">
        <v>10</v>
      </c>
      <c r="N3" s="3"/>
      <c r="O3" s="3"/>
      <c r="P3" s="150" t="str">
        <f>+'(1)'!C1&amp;"년"&amp;'(1)'!E1&amp;"월"&amp;C1&amp;"일"</f>
        <v>2023년6월13일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10182.116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7663.3720000000003</v>
      </c>
      <c r="J4" s="42" t="str">
        <f>+'[1](1)'!J4</f>
        <v>고액권</v>
      </c>
      <c r="K4" s="36">
        <v>260000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36647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17845.488000000001</v>
      </c>
      <c r="P5" s="47" t="str">
        <f>+E4</f>
        <v>고액권</v>
      </c>
      <c r="Q5" s="48">
        <f>SUM(F4+K4+F17+K17+F35+K35)</f>
        <v>365000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371.75099999999998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371.75099999999998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9922390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17432038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17432038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166.876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-5840.66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166.876</v>
      </c>
      <c r="P11" s="51" t="str">
        <f t="shared" si="5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55351</v>
      </c>
      <c r="L12" s="2"/>
      <c r="M12" s="20"/>
      <c r="N12" s="51" t="str">
        <f t="shared" si="4"/>
        <v>-</v>
      </c>
      <c r="O12" s="55">
        <f>SUM(O11*-35)</f>
        <v>-5840.66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10030162.734999999</v>
      </c>
      <c r="E13" s="29" t="str">
        <f>+'[1](1)'!E13</f>
        <v>합계</v>
      </c>
      <c r="F13" s="61">
        <f>SUM(F4:F12)</f>
        <v>10037390</v>
      </c>
      <c r="G13" s="62"/>
      <c r="H13" s="29" t="str">
        <f t="shared" si="3"/>
        <v>합계</v>
      </c>
      <c r="I13" s="60">
        <f>SUM((I4-I5-I6-I7-I8-I9)*$I$1+I11)</f>
        <v>7839629.5559999999</v>
      </c>
      <c r="J13" s="29" t="str">
        <f t="shared" ref="J13" si="6">+E13</f>
        <v>합계</v>
      </c>
      <c r="K13" s="61">
        <f>IF(K8=0,0,SUM(K4:K12)-F8)</f>
        <v>7839999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55351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7227.265000000596</v>
      </c>
      <c r="G14" s="27"/>
      <c r="H14" s="27"/>
      <c r="I14" s="27"/>
      <c r="J14" s="27"/>
      <c r="K14" s="67">
        <f>SUM(K13-I13)</f>
        <v>369.44400000013411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81528.024999999994</v>
      </c>
      <c r="P14" s="39" t="str">
        <f t="shared" si="5"/>
        <v>합계</v>
      </c>
      <c r="Q14" s="69">
        <f>SUM(Q5:Q13)</f>
        <v>17877389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7596.7090000007302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115</v>
      </c>
      <c r="Q20" s="53">
        <f>SUM(P20*1000)</f>
        <v>115000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197</v>
      </c>
      <c r="Q28" s="69">
        <f>SUM(Q19:Q27)</f>
        <v>136000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23127</v>
      </c>
      <c r="P31" s="103">
        <v>23199</v>
      </c>
      <c r="Q31" s="104">
        <f>P31-O31</f>
        <v>72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10.834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10.141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141.97399999999999</v>
      </c>
      <c r="M3" s="18" t="s">
        <v>10</v>
      </c>
      <c r="N3" s="3"/>
      <c r="O3" s="3"/>
      <c r="P3" s="150" t="str">
        <f>+'(1)'!C1&amp;"년"&amp;'(1)'!E1&amp;"월"&amp;C1&amp;"일"</f>
        <v>2023년6월14일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10034.388000000001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8517.06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16651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18551.448</v>
      </c>
      <c r="P5" s="47" t="str">
        <f>+E4</f>
        <v>고액권</v>
      </c>
      <c r="Q5" s="48">
        <f>SUM(F4+K4+F17+K17+F35+K35)</f>
        <v>275000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189.57599999999999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25.596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215.172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9885091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18429306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18429306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219.066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224.309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-7667.31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-7850.8149999999996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443.375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-15518.125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10063575.366</v>
      </c>
      <c r="E13" s="29" t="str">
        <f>+'[1](1)'!E13</f>
        <v>합계</v>
      </c>
      <c r="F13" s="61">
        <f>SUM(F4:F12)</f>
        <v>10063091</v>
      </c>
      <c r="G13" s="62"/>
      <c r="H13" s="29" t="str">
        <f t="shared" si="3"/>
        <v>합계</v>
      </c>
      <c r="I13" s="60">
        <f>SUM((I4-I5-I6-I7-I8-I9)*$I$1+I11)</f>
        <v>8678916.8570000008</v>
      </c>
      <c r="J13" s="29" t="str">
        <f t="shared" ref="J13" si="6">+E13</f>
        <v>합계</v>
      </c>
      <c r="K13" s="61">
        <f>IF(K8=0,0,SUM(K4:K12)-F8)</f>
        <v>8678215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-484.36600000038743</v>
      </c>
      <c r="G14" s="27"/>
      <c r="H14" s="27"/>
      <c r="I14" s="27"/>
      <c r="J14" s="27"/>
      <c r="K14" s="67">
        <f>SUM(K13-I13)</f>
        <v>-701.85700000077486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76163.255000000005</v>
      </c>
      <c r="P14" s="39" t="str">
        <f t="shared" si="5"/>
        <v>합계</v>
      </c>
      <c r="Q14" s="69">
        <f>SUM(Q5:Q13)</f>
        <v>18741306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-1186.2230000011623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50</v>
      </c>
      <c r="Q20" s="53">
        <f>SUM(P20*1000)</f>
        <v>50000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103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23199</v>
      </c>
      <c r="P31" s="103">
        <v>23229</v>
      </c>
      <c r="Q31" s="104">
        <f>P31-O31</f>
        <v>30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9" sqref="S1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10.238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153.57</v>
      </c>
      <c r="M3" s="18" t="s">
        <v>10</v>
      </c>
      <c r="N3" s="3"/>
      <c r="O3" s="3"/>
      <c r="P3" s="150" t="str">
        <f>+'(1)'!C1&amp;"년"&amp;'(1)'!E1&amp;"월"&amp;C1&amp;"일"</f>
        <v>2023년6월15일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11562.261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8301.1620000000003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32563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19863.423000000003</v>
      </c>
      <c r="P5" s="47" t="str">
        <f>+E4</f>
        <v>고액권</v>
      </c>
      <c r="Q5" s="48">
        <f>SUM(F4+K4+F17+K17+F35+K35)</f>
        <v>345000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301.25700000000001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301.25700000000001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11319800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19645780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19645780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367.11399999999998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53.774999999999999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-12848.99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-1882.125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420.88899999999995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-14731.114999999998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11507158.102</v>
      </c>
      <c r="E13" s="29" t="str">
        <f>+'[1](1)'!E13</f>
        <v>합계</v>
      </c>
      <c r="F13" s="61">
        <f>SUM(F4:F12)</f>
        <v>11507800</v>
      </c>
      <c r="G13" s="62"/>
      <c r="H13" s="29" t="str">
        <f t="shared" si="3"/>
        <v>합계</v>
      </c>
      <c r="I13" s="60">
        <f>SUM((I4-I5-I6-I7-I8-I9)*$I$1+I11)</f>
        <v>8490206.6009999998</v>
      </c>
      <c r="J13" s="29" t="str">
        <f t="shared" ref="J13" si="6">+E13</f>
        <v>합계</v>
      </c>
      <c r="K13" s="61">
        <f>IF(K8=0,0,SUM(K4:K12)-F8)</f>
        <v>8488980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641.8980000000447</v>
      </c>
      <c r="G14" s="27"/>
      <c r="H14" s="27"/>
      <c r="I14" s="27"/>
      <c r="J14" s="27"/>
      <c r="K14" s="67">
        <f>SUM(K13-I13)</f>
        <v>-1226.6009999997914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83079.714999999997</v>
      </c>
      <c r="P14" s="39" t="str">
        <f t="shared" si="5"/>
        <v>합계</v>
      </c>
      <c r="Q14" s="69">
        <f>SUM(Q5:Q13)</f>
        <v>19996780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-584.70299999974668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57</v>
      </c>
      <c r="Q20" s="53">
        <f>SUM(P20*1000)</f>
        <v>57000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-30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96</v>
      </c>
      <c r="Q28" s="69">
        <f>SUM(Q19:Q27)</f>
        <v>69000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23229</v>
      </c>
      <c r="P31" s="103">
        <v>23270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4" sqref="R4:R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11.978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10.347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165.55199999999999</v>
      </c>
      <c r="M3" s="18" t="s">
        <v>10</v>
      </c>
      <c r="N3" s="3"/>
      <c r="O3" s="3"/>
      <c r="P3" s="150" t="str">
        <f>+'(1)'!C1&amp;"년"&amp;'(1)'!E1&amp;"월"&amp;C1&amp;"일"</f>
        <v>2023년6월16일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10755.403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9755.2739999999994</v>
      </c>
      <c r="J4" s="42" t="str">
        <f>+'[1](1)'!J4</f>
        <v>고액권</v>
      </c>
      <c r="K4" s="36">
        <v>255000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47698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20510.677</v>
      </c>
      <c r="P5" s="47" t="str">
        <f>+E4</f>
        <v>고액권</v>
      </c>
      <c r="Q5" s="48">
        <f>SUM(F4+K4+F17+K17+F35+K35)</f>
        <v>480000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357.221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357.221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10393002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20104698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20104698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308.33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-10791.55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308.33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-10791.55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10626548.636</v>
      </c>
      <c r="E13" s="29" t="str">
        <f>+'[1](1)'!E13</f>
        <v>합계</v>
      </c>
      <c r="F13" s="61">
        <f>SUM(F4:F12)</f>
        <v>10627002</v>
      </c>
      <c r="G13" s="62"/>
      <c r="H13" s="29" t="str">
        <f t="shared" si="3"/>
        <v>합계</v>
      </c>
      <c r="I13" s="60">
        <f>SUM((I4-I5-I6-I7-I8-I9)*$I$1+I11)</f>
        <v>9979645.3019999992</v>
      </c>
      <c r="J13" s="29" t="str">
        <f t="shared" ref="J13" si="6">+E13</f>
        <v>합계</v>
      </c>
      <c r="K13" s="61">
        <f>IF(K8=0,0,SUM(K4:K12)-F8)</f>
        <v>9979696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453.3640000000596</v>
      </c>
      <c r="G14" s="27"/>
      <c r="H14" s="27"/>
      <c r="I14" s="27"/>
      <c r="J14" s="27"/>
      <c r="K14" s="67">
        <f>SUM(K13-I13)</f>
        <v>50.698000000789762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89975.73</v>
      </c>
      <c r="P14" s="39" t="str">
        <f t="shared" si="5"/>
        <v>합계</v>
      </c>
      <c r="Q14" s="69">
        <f>SUM(Q5:Q13)</f>
        <v>20606698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504.06200000084937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122</v>
      </c>
      <c r="Q20" s="53">
        <f>SUM(P20*1000)</f>
        <v>122000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177</v>
      </c>
      <c r="Q28" s="69">
        <f>SUM(Q19:Q27)</f>
        <v>132000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23270</v>
      </c>
      <c r="P31" s="103">
        <v>23345</v>
      </c>
      <c r="Q31" s="104">
        <f>P31-O31</f>
        <v>75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10.352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175.98400000000001</v>
      </c>
      <c r="M3" s="18" t="s">
        <v>10</v>
      </c>
      <c r="N3" s="3"/>
      <c r="O3" s="3"/>
      <c r="P3" s="150" t="str">
        <f>+'(1)'!C1&amp;"년"&amp;'(1)'!E1&amp;"월"&amp;C1&amp;"일"</f>
        <v>2023년6월17일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9205.8760000000002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8644.9369999999999</v>
      </c>
      <c r="J4" s="42" t="str">
        <f>+'[1](1)'!J4</f>
        <v>고액권</v>
      </c>
      <c r="K4" s="36">
        <v>230000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30295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17850.813000000002</v>
      </c>
      <c r="P5" s="47" t="str">
        <f>+E4</f>
        <v>고액권</v>
      </c>
      <c r="Q5" s="48">
        <f>SUM(F4+K4+F17+K17+F35+K35)</f>
        <v>320000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82.341999999999999</v>
      </c>
      <c r="E6" s="105" t="str">
        <f>+'[1](1)'!E6</f>
        <v>블루/레드포인트</v>
      </c>
      <c r="F6" s="44">
        <v>36673</v>
      </c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82.341999999999999</v>
      </c>
      <c r="P7" s="106" t="str">
        <f t="shared" ref="P7:P14" si="5">+E6</f>
        <v>블루/레드포인트</v>
      </c>
      <c r="Q7" s="53">
        <f>SUM(F6+K6+F19+K19+F37+K37)</f>
        <v>36673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9143214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8611747+F8</f>
        <v>17754961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17754961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102.682</v>
      </c>
      <c r="E10" s="42" t="str">
        <f>+'[1](1)'!E10</f>
        <v>OK케시백</v>
      </c>
      <c r="F10" s="44">
        <v>4000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100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-3593.87</v>
      </c>
      <c r="E11" s="42" t="str">
        <f>+'[1](1)'!E11</f>
        <v>모바일</v>
      </c>
      <c r="F11" s="44">
        <v>55000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102.682</v>
      </c>
      <c r="P11" s="51" t="str">
        <f t="shared" si="5"/>
        <v>OK케시백</v>
      </c>
      <c r="Q11" s="53">
        <f>SUM(F10+K10+F23+K23+F41+K41)</f>
        <v>4100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-3593.87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9329781.4120000005</v>
      </c>
      <c r="E13" s="29" t="str">
        <f>+'[1](1)'!E13</f>
        <v>합계</v>
      </c>
      <c r="F13" s="61">
        <f>SUM(F4:F12)</f>
        <v>9329887</v>
      </c>
      <c r="G13" s="62"/>
      <c r="H13" s="29" t="str">
        <f t="shared" si="3"/>
        <v>합계</v>
      </c>
      <c r="I13" s="60">
        <f>SUM((I4-I5-I6-I7-I8-I9)*$I$1+I11)</f>
        <v>8843770.550999999</v>
      </c>
      <c r="J13" s="29" t="str">
        <f t="shared" ref="J13" si="6">+E13</f>
        <v>합계</v>
      </c>
      <c r="K13" s="61">
        <f>IF(K8=0,0,SUM(K4:K12)-F8)</f>
        <v>8842847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105.58799999952316</v>
      </c>
      <c r="G14" s="27"/>
      <c r="H14" s="27"/>
      <c r="I14" s="27"/>
      <c r="J14" s="27"/>
      <c r="K14" s="67">
        <f>SUM(K13-I13)</f>
        <v>-923.55099999904633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85248.485000000015</v>
      </c>
      <c r="P14" s="39" t="str">
        <f t="shared" si="5"/>
        <v>합계</v>
      </c>
      <c r="Q14" s="69">
        <f>SUM(Q5:Q13)</f>
        <v>18172734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-817.96299999952316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93</v>
      </c>
      <c r="Q20" s="53">
        <f>SUM(P20*1000)</f>
        <v>93000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160</v>
      </c>
      <c r="Q28" s="69">
        <f>SUM(Q19:Q27)</f>
        <v>110000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23345</v>
      </c>
      <c r="P31" s="103">
        <v>23415</v>
      </c>
      <c r="Q31" s="104">
        <f>P31-O31</f>
        <v>70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6.9889999999999999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10.164999999999999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182.96999999999997</v>
      </c>
      <c r="M3" s="18" t="s">
        <v>10</v>
      </c>
      <c r="N3" s="3"/>
      <c r="O3" s="3"/>
      <c r="P3" s="150" t="str">
        <f>+'(1)'!C1&amp;"년"&amp;'(1)'!E1&amp;"월"&amp;C1&amp;"일"</f>
        <v>2023년6월18일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6600.1419999999998</v>
      </c>
      <c r="E4" s="34" t="str">
        <f>+'[1](1)'!E4</f>
        <v>고액권</v>
      </c>
      <c r="F4" s="36">
        <v>250000</v>
      </c>
      <c r="G4" s="27"/>
      <c r="H4" s="34" t="str">
        <f>+C4</f>
        <v>판매량</v>
      </c>
      <c r="I4" s="35">
        <v>5367.9390000000003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16258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11968.081</v>
      </c>
      <c r="P5" s="47" t="str">
        <f>+E4</f>
        <v>고액권</v>
      </c>
      <c r="Q5" s="48">
        <f>SUM(F4+K4+F17+K17+F35+K35)</f>
        <v>355000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6491519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11875038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11875038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55.268999999999998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-1934.415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55.268999999999998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-1934.415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6751945.2659999998</v>
      </c>
      <c r="E13" s="29" t="str">
        <f>+'[1](1)'!E13</f>
        <v>합계</v>
      </c>
      <c r="F13" s="61">
        <f>SUM(F4:F12)</f>
        <v>6751519</v>
      </c>
      <c r="G13" s="62"/>
      <c r="H13" s="29" t="str">
        <f t="shared" si="3"/>
        <v>합계</v>
      </c>
      <c r="I13" s="60">
        <f>SUM((I4-I5-I6-I7-I8-I9)*$I$1+I11)</f>
        <v>5489467.182</v>
      </c>
      <c r="J13" s="29" t="str">
        <f t="shared" ref="J13" si="6">+E13</f>
        <v>합계</v>
      </c>
      <c r="K13" s="61">
        <f>IF(K8=0,0,SUM(K4:K12)-F8)</f>
        <v>5489519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-426.26599999982864</v>
      </c>
      <c r="G14" s="27"/>
      <c r="H14" s="27"/>
      <c r="I14" s="27"/>
      <c r="J14" s="27"/>
      <c r="K14" s="67">
        <f>SUM(K13-I13)</f>
        <v>51.817999999970198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57905.99</v>
      </c>
      <c r="P14" s="39" t="str">
        <f t="shared" si="5"/>
        <v>합계</v>
      </c>
      <c r="Q14" s="69">
        <f>SUM(Q5:Q13)</f>
        <v>12241038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-374.44799999985844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83</v>
      </c>
      <c r="Q20" s="53">
        <f>SUM(P20*1000)</f>
        <v>83000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121</v>
      </c>
      <c r="Q28" s="69">
        <f>SUM(Q19:Q27)</f>
        <v>90000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23415</v>
      </c>
      <c r="P31" s="103">
        <v>23478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10.818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10.199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193.78100000000001</v>
      </c>
      <c r="M3" s="18" t="s">
        <v>10</v>
      </c>
      <c r="N3" s="3"/>
      <c r="O3" s="3"/>
      <c r="P3" s="150" t="str">
        <f>+'(1)'!C1&amp;"년"&amp;'(1)'!E1&amp;"월"&amp;C1&amp;"일"</f>
        <v>2023년6월19일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9910.723</v>
      </c>
      <c r="E4" s="34" t="str">
        <f>+'[1](1)'!E4</f>
        <v>고액권</v>
      </c>
      <c r="F4" s="36">
        <v>260000</v>
      </c>
      <c r="G4" s="27"/>
      <c r="H4" s="34" t="str">
        <f>+C4</f>
        <v>판매량</v>
      </c>
      <c r="I4" s="35">
        <v>8613.6209999999992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33408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18524.343999999997</v>
      </c>
      <c r="P5" s="47" t="str">
        <f>+E4</f>
        <v>고액권</v>
      </c>
      <c r="Q5" s="48">
        <f>SUM(F4+K4+F17+K17+F35+K35)</f>
        <v>370000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305.94099999999997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20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305.94099999999997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9500555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18139315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20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18139315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393.44099999999997</v>
      </c>
      <c r="E10" s="42" t="str">
        <f>+'[1](1)'!E10</f>
        <v>OK케시백</v>
      </c>
      <c r="F10" s="44">
        <v>35093</v>
      </c>
      <c r="G10" s="27"/>
      <c r="H10" s="42" t="str">
        <f t="shared" si="3"/>
        <v>고객우대</v>
      </c>
      <c r="I10" s="50">
        <v>73.968999999999994</v>
      </c>
      <c r="J10" s="42" t="str">
        <f>+'[1](1)'!J10</f>
        <v>OK케시백</v>
      </c>
      <c r="K10" s="44">
        <v>29760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-13770.434999999999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-2588.915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467.40999999999997</v>
      </c>
      <c r="P11" s="51" t="str">
        <f t="shared" si="5"/>
        <v>OK케시백</v>
      </c>
      <c r="Q11" s="53">
        <f>SUM(F10+K10+F23+K23+F41+K41)</f>
        <v>64853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-16359.349999999999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9811921.550999999</v>
      </c>
      <c r="E13" s="29" t="str">
        <f>+'[1](1)'!E13</f>
        <v>합계</v>
      </c>
      <c r="F13" s="61">
        <f>SUM(F4:F12)</f>
        <v>9811668</v>
      </c>
      <c r="G13" s="62"/>
      <c r="H13" s="29" t="str">
        <f t="shared" si="3"/>
        <v>합계</v>
      </c>
      <c r="I13" s="60">
        <f>SUM((I4-I5-I6-I7-I8-I9)*$I$1+I11)</f>
        <v>8809145.3680000007</v>
      </c>
      <c r="J13" s="29" t="str">
        <f t="shared" ref="J13" si="6">+E13</f>
        <v>합계</v>
      </c>
      <c r="K13" s="61">
        <f>IF(K8=0,0,SUM(K4:K12)-F8)</f>
        <v>8809520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-253.55099999904633</v>
      </c>
      <c r="G14" s="27"/>
      <c r="H14" s="27"/>
      <c r="I14" s="27"/>
      <c r="J14" s="27"/>
      <c r="K14" s="67">
        <f>SUM(K13-I13)</f>
        <v>374.63199999928474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74732.664999999979</v>
      </c>
      <c r="P14" s="39" t="str">
        <f t="shared" si="5"/>
        <v>합계</v>
      </c>
      <c r="Q14" s="69">
        <f>SUM(Q5:Q13)</f>
        <v>18621188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121.08100000023842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74</v>
      </c>
      <c r="Q20" s="53">
        <f>SUM(P20*1000)</f>
        <v>74000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150</v>
      </c>
      <c r="Q28" s="69">
        <f>SUM(Q19:Q27)</f>
        <v>91000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23478</v>
      </c>
      <c r="P31" s="103">
        <v>23527</v>
      </c>
      <c r="Q31" s="104">
        <f>P31-O31</f>
        <v>49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5">
        <v>1023</v>
      </c>
      <c r="J1" s="27"/>
      <c r="K1" s="27"/>
      <c r="L1" s="31">
        <f>+ROUND(+O5*0.584/1000,3)</f>
        <v>11.973000000000001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13.143000000000001</v>
      </c>
      <c r="M2" s="27" t="s">
        <v>7</v>
      </c>
      <c r="N2" s="138" t="s">
        <v>42</v>
      </c>
      <c r="O2" s="138"/>
      <c r="P2" s="138"/>
      <c r="Q2" s="138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8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26.286000000000001</v>
      </c>
      <c r="M3" s="27" t="s">
        <v>10</v>
      </c>
      <c r="N3" s="32"/>
      <c r="O3" s="32"/>
      <c r="P3" s="137" t="str">
        <f>+'(1)'!C1&amp;"년"&amp;'(1)'!E1&amp;"월"&amp;C1&amp;"일"</f>
        <v>2023년6월2일</v>
      </c>
      <c r="Q3" s="137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11505.406000000001</v>
      </c>
      <c r="E4" s="34" t="str">
        <f>+'[1](1)'!E4</f>
        <v>고액권</v>
      </c>
      <c r="F4" s="36">
        <v>250000</v>
      </c>
      <c r="G4" s="27"/>
      <c r="H4" s="34" t="str">
        <f>+C4</f>
        <v>판매량</v>
      </c>
      <c r="I4" s="35">
        <v>8996.1329999999998</v>
      </c>
      <c r="J4" s="42" t="str">
        <f>+'[1](1)'!J4</f>
        <v>고액권</v>
      </c>
      <c r="K4" s="36">
        <v>225000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42075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37"/>
      <c r="M5" s="82"/>
      <c r="N5" s="45" t="str">
        <f>+C4</f>
        <v>판매량</v>
      </c>
      <c r="O5" s="46">
        <f>SUM(D4+I4+D17+I17+D35+I35)</f>
        <v>20501.539000000001</v>
      </c>
      <c r="P5" s="47" t="str">
        <f>+E4</f>
        <v>고액권</v>
      </c>
      <c r="Q5" s="48">
        <f>SUM(F4+K4+F17+K17+F35+K35)</f>
        <v>475000</v>
      </c>
      <c r="R5" s="49">
        <v>27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316.154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21.206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49">
        <v>2.4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337.36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f>11582059-396000</f>
        <v>11186059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20141570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130">
        <v>-13931</v>
      </c>
      <c r="L9" s="131" t="s">
        <v>65</v>
      </c>
      <c r="M9" s="13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20141570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288.73399999999998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43.372</v>
      </c>
      <c r="J10" s="42" t="str">
        <f>+'[1](1)'!J10</f>
        <v>OK케시백</v>
      </c>
      <c r="K10" s="44"/>
      <c r="L10" s="133" t="s">
        <v>66</v>
      </c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-13931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-10105.689999999999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-1518.02</v>
      </c>
      <c r="J11" s="56" t="str">
        <f>+'[1](1)'!J11</f>
        <v>모바일</v>
      </c>
      <c r="K11" s="44">
        <v>10000</v>
      </c>
      <c r="L11" s="37"/>
      <c r="M11" s="82"/>
      <c r="N11" s="51" t="str">
        <f t="shared" si="3"/>
        <v>고객우대</v>
      </c>
      <c r="O11" s="54">
        <f>SUM(D10+I10+D23+I23+D41+I41)</f>
        <v>332.10599999999999</v>
      </c>
      <c r="P11" s="51" t="str">
        <f t="shared" si="4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-11623.71</v>
      </c>
      <c r="P12" s="51" t="str">
        <f t="shared" si="4"/>
        <v>모바일</v>
      </c>
      <c r="Q12" s="53">
        <f>SUM(F11+K11+F24+K24+F42+K42)</f>
        <v>10000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11436499.106000001</v>
      </c>
      <c r="E13" s="29" t="str">
        <f>+'[1](1)'!E13</f>
        <v>합계</v>
      </c>
      <c r="F13" s="61">
        <f>SUM(F4:F12)</f>
        <v>11438059</v>
      </c>
      <c r="G13" s="62"/>
      <c r="H13" s="29" t="str">
        <f t="shared" si="2"/>
        <v>합계</v>
      </c>
      <c r="I13" s="60">
        <f>SUM((I4-I5-I6-I7-I8-I9)*$I$1+I11)</f>
        <v>9179832.3010000009</v>
      </c>
      <c r="J13" s="29" t="str">
        <f t="shared" ref="J13" si="5">+E13</f>
        <v>합계</v>
      </c>
      <c r="K13" s="61">
        <f>IF(K8=0,0,SUM(K4:K12)-F8)</f>
        <v>9179580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1559.8939999993891</v>
      </c>
      <c r="G14" s="27"/>
      <c r="H14" s="27"/>
      <c r="I14" s="27"/>
      <c r="J14" s="27"/>
      <c r="K14" s="67">
        <f>SUM(K13-I13)</f>
        <v>-252.30100000090897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89197.184999999998</v>
      </c>
      <c r="P14" s="39" t="str">
        <f t="shared" si="4"/>
        <v>합계</v>
      </c>
      <c r="Q14" s="69">
        <f>SUM(Q5:Q13)</f>
        <v>20617639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1307.5929999984801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16</v>
      </c>
      <c r="Q19" s="48">
        <f>SUM(P19*1000)</f>
        <v>16000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115</v>
      </c>
      <c r="Q20" s="53">
        <f>SUM(P20*1000)</f>
        <v>115000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41"/>
      <c r="O26" s="142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-20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5" t="s">
        <v>40</v>
      </c>
      <c r="O28" s="136"/>
      <c r="P28" s="120">
        <v>163</v>
      </c>
      <c r="Q28" s="69">
        <f>SUM(Q19:Q27)</f>
        <v>131000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3">
        <v>22587</v>
      </c>
      <c r="P31" s="103">
        <v>22662</v>
      </c>
      <c r="Q31" s="104">
        <f>P31-O31</f>
        <v>75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10.606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10.218999999999999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204.38</v>
      </c>
      <c r="M3" s="18" t="s">
        <v>10</v>
      </c>
      <c r="N3" s="3"/>
      <c r="O3" s="3"/>
      <c r="P3" s="150" t="str">
        <f>+'(1)'!C1&amp;"년"&amp;'(1)'!E1&amp;"월"&amp;C1&amp;"일"</f>
        <v>2023년6월20일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10446.33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7715.2619999999997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13958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18161.592000000001</v>
      </c>
      <c r="P5" s="47" t="str">
        <f>+E4</f>
        <v>고액권</v>
      </c>
      <c r="Q5" s="48">
        <f>SUM(F4+K4+F17+K17+F35+K35)</f>
        <v>275000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285.99299999999999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18.567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304.56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10220536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17968511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17968511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208.803</v>
      </c>
      <c r="E10" s="42" t="str">
        <f>+'[1](1)'!E10</f>
        <v>OK케시백</v>
      </c>
      <c r="F10" s="44">
        <v>3000</v>
      </c>
      <c r="G10" s="27"/>
      <c r="H10" s="42" t="str">
        <f t="shared" si="3"/>
        <v>고객우대</v>
      </c>
      <c r="I10" s="50">
        <v>61.451999999999998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-7308.1049999999996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-2150.8199999999997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270.255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-9458.9249999999993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10386716.646</v>
      </c>
      <c r="E13" s="29" t="str">
        <f>+'[1](1)'!E13</f>
        <v>합계</v>
      </c>
      <c r="F13" s="61">
        <f>SUM(F4:F12)</f>
        <v>10385536</v>
      </c>
      <c r="G13" s="62"/>
      <c r="H13" s="29" t="str">
        <f t="shared" si="3"/>
        <v>합계</v>
      </c>
      <c r="I13" s="60">
        <f>SUM((I4-I5-I6-I7-I8-I9)*$I$1+I11)</f>
        <v>7871568.1649999991</v>
      </c>
      <c r="J13" s="29" t="str">
        <f t="shared" ref="J13" si="6">+E13</f>
        <v>합계</v>
      </c>
      <c r="K13" s="61">
        <f>IF(K8=0,0,SUM(K4:K12)-F8)</f>
        <v>7871975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-1180.6459999997169</v>
      </c>
      <c r="G14" s="27"/>
      <c r="H14" s="27"/>
      <c r="I14" s="27"/>
      <c r="J14" s="27"/>
      <c r="K14" s="67">
        <f>SUM(K13-I13)</f>
        <v>406.83500000089407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79826.235000000001</v>
      </c>
      <c r="P14" s="39" t="str">
        <f t="shared" si="5"/>
        <v>합계</v>
      </c>
      <c r="Q14" s="69">
        <f>SUM(Q5:Q13)</f>
        <v>18257511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-773.81099999882281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34</v>
      </c>
      <c r="Q20" s="53">
        <f>SUM(P20*1000)</f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42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122</v>
      </c>
      <c r="Q28" s="69">
        <f>SUM(Q19:Q27)</f>
        <v>44000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23527</v>
      </c>
      <c r="P31" s="103">
        <v>23545</v>
      </c>
      <c r="Q31" s="104">
        <f>P31-O31</f>
        <v>18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10.981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10.255000000000001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215.35500000000002</v>
      </c>
      <c r="M3" s="18" t="s">
        <v>10</v>
      </c>
      <c r="N3" s="3"/>
      <c r="O3" s="3"/>
      <c r="P3" s="150" t="str">
        <f>+'(1)'!C1&amp;"년"&amp;'(1)'!E1&amp;"월"&amp;C1&amp;"일"</f>
        <v>2023년6월21일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10605.683999999999</v>
      </c>
      <c r="E4" s="34" t="str">
        <f>+'[1](1)'!E4</f>
        <v>고액권</v>
      </c>
      <c r="F4" s="36">
        <v>45000</v>
      </c>
      <c r="G4" s="27"/>
      <c r="H4" s="34" t="str">
        <f>+C4</f>
        <v>판매량</v>
      </c>
      <c r="I4" s="35">
        <v>8198.0820000000003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31449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18803.766</v>
      </c>
      <c r="P5" s="47" t="str">
        <f>+E4</f>
        <v>고액권</v>
      </c>
      <c r="Q5" s="48">
        <f>SUM(F4+K4+F17+K17+F35+K35)</f>
        <v>180000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256.221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256.221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50.99</v>
      </c>
      <c r="E8" s="42" t="str">
        <f>+'[1](1)'!E8</f>
        <v>신용카드</v>
      </c>
      <c r="F8" s="44">
        <f>10708084-359189</f>
        <v>10348895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18590380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100000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50.99</v>
      </c>
      <c r="P9" s="51" t="str">
        <f t="shared" si="5"/>
        <v>신용카드</v>
      </c>
      <c r="Q9" s="53">
        <f>IF(K8=0,F8,IF(F21=0,K8,IF(K21=0,F21,K21)))</f>
        <v>18590380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134">
        <v>313.83</v>
      </c>
      <c r="E10" s="42" t="str">
        <f>+'[1](1)'!E10</f>
        <v>OK케시백</v>
      </c>
      <c r="F10" s="44">
        <v>3000</v>
      </c>
      <c r="G10" s="27"/>
      <c r="H10" s="42" t="str">
        <f t="shared" si="3"/>
        <v>고객우대</v>
      </c>
      <c r="I10" s="50">
        <v>113.474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-10984.05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-3971.59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427.30399999999997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-14955.64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10524353.829</v>
      </c>
      <c r="E13" s="29" t="str">
        <f>+'[1](1)'!E13</f>
        <v>합계</v>
      </c>
      <c r="F13" s="61">
        <f>SUM(F4:F12)</f>
        <v>10522895</v>
      </c>
      <c r="G13" s="62"/>
      <c r="H13" s="29" t="str">
        <f t="shared" si="3"/>
        <v>합계</v>
      </c>
      <c r="I13" s="60">
        <f>SUM((I4-I5-I6-I7-I8-I9)*$I$1+I11)</f>
        <v>8382666.2960000001</v>
      </c>
      <c r="J13" s="29" t="str">
        <f t="shared" ref="J13" si="6">+E13</f>
        <v>합계</v>
      </c>
      <c r="K13" s="61">
        <f>IF(K8=0,0,SUM(K4:K12)-F8)</f>
        <v>8383485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-1458.8289999999106</v>
      </c>
      <c r="G14" s="27"/>
      <c r="H14" s="27"/>
      <c r="I14" s="27"/>
      <c r="J14" s="27"/>
      <c r="K14" s="67">
        <f>SUM(K13-I13)</f>
        <v>818.70399999991059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77527.13499999998</v>
      </c>
      <c r="P14" s="39" t="str">
        <f t="shared" si="5"/>
        <v>합계</v>
      </c>
      <c r="Q14" s="69">
        <f>SUM(Q5:Q13)</f>
        <v>18906380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-640.125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68</v>
      </c>
      <c r="Q28" s="69">
        <f>SUM(Q19:Q27)</f>
        <v>27000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23545</v>
      </c>
      <c r="P31" s="103">
        <v>23554</v>
      </c>
      <c r="Q31" s="104">
        <f>P31-O31</f>
        <v>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11.491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10.311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226.84199999999998</v>
      </c>
      <c r="M3" s="18" t="s">
        <v>10</v>
      </c>
      <c r="N3" s="3"/>
      <c r="O3" s="3"/>
      <c r="P3" s="150" t="str">
        <f>+'(1)'!C1&amp;"년"&amp;'(1)'!E1&amp;"월"&amp;C1&amp;"일"</f>
        <v>2023년6월22일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10815.259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8861.5149999999994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47221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19676.773999999998</v>
      </c>
      <c r="P5" s="47" t="str">
        <f>+E4</f>
        <v>고액권</v>
      </c>
      <c r="Q5" s="48">
        <f>SUM(F4+K4+F17+K17+F35+K35)</f>
        <v>390000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290.44400000000002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49.807000000000002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340.25100000000003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10540948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19343896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19343896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266.44099999999997</v>
      </c>
      <c r="E10" s="42" t="str">
        <f>+'[1](1)'!E10</f>
        <v>OK케시백</v>
      </c>
      <c r="F10" s="44">
        <v>26100</v>
      </c>
      <c r="G10" s="27"/>
      <c r="H10" s="42" t="str">
        <f t="shared" si="3"/>
        <v>고객우대</v>
      </c>
      <c r="I10" s="50">
        <v>59.420999999999999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-9325.4349999999995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-2079.7350000000001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325.86199999999997</v>
      </c>
      <c r="P11" s="51" t="str">
        <f t="shared" si="5"/>
        <v>OK케시백</v>
      </c>
      <c r="Q11" s="53">
        <f>SUM(F10+K10+F23+K23+F41+K41)</f>
        <v>26100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-11405.169999999998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10757560.310000001</v>
      </c>
      <c r="E13" s="29" t="str">
        <f>+'[1](1)'!E13</f>
        <v>합계</v>
      </c>
      <c r="F13" s="61">
        <f>SUM(F4:F12)</f>
        <v>10758048</v>
      </c>
      <c r="G13" s="62"/>
      <c r="H13" s="29" t="str">
        <f t="shared" si="3"/>
        <v>합계</v>
      </c>
      <c r="I13" s="60">
        <f>SUM((I4-I5-I6-I7-I8-I9)*$I$1+I11)</f>
        <v>9012297.5489999987</v>
      </c>
      <c r="J13" s="29" t="str">
        <f t="shared" ref="J13" si="6">+E13</f>
        <v>합계</v>
      </c>
      <c r="K13" s="61">
        <f>IF(K8=0,0,SUM(K4:K12)-F8)</f>
        <v>9012948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487.68999999947846</v>
      </c>
      <c r="G14" s="27"/>
      <c r="H14" s="27"/>
      <c r="I14" s="27"/>
      <c r="J14" s="27"/>
      <c r="K14" s="67">
        <f>SUM(K13-I13)</f>
        <v>650.4510000012815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85277.444999999992</v>
      </c>
      <c r="P14" s="39" t="str">
        <f t="shared" si="5"/>
        <v>합계</v>
      </c>
      <c r="Q14" s="69">
        <f>SUM(Q5:Q13)</f>
        <v>19770996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1138.14100000076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113</v>
      </c>
      <c r="Q20" s="53">
        <f>SUM(P20*1000)</f>
        <v>113000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35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193</v>
      </c>
      <c r="Q28" s="69">
        <f>SUM(Q19:Q27)</f>
        <v>127000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23554</v>
      </c>
      <c r="P31" s="103">
        <v>23628</v>
      </c>
      <c r="Q31" s="104">
        <f>P31-O31</f>
        <v>74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12.682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10.414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239.52199999999999</v>
      </c>
      <c r="M3" s="18" t="s">
        <v>10</v>
      </c>
      <c r="N3" s="3"/>
      <c r="O3" s="3"/>
      <c r="P3" s="150" t="str">
        <f>+'(1)'!C1&amp;"년"&amp;'(1)'!E1&amp;"월"&amp;C1&amp;"일"</f>
        <v>2023년6월23일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11237.294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10478.370999999999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24092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21715.665000000001</v>
      </c>
      <c r="P5" s="47" t="str">
        <f>+E4</f>
        <v>고액권</v>
      </c>
      <c r="Q5" s="48">
        <f>SUM(F4+K4+F17+K17+F35+K35)</f>
        <v>260000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281.62400000000002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14.413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296.03700000000003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11020118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21598790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21598790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369.61500000000001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-12936.525</v>
      </c>
      <c r="E11" s="42" t="str">
        <f>+'[1](1)'!E11</f>
        <v>모바일</v>
      </c>
      <c r="F11" s="44">
        <v>34000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369.61500000000001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-12936.525</v>
      </c>
      <c r="P12" s="51" t="str">
        <f t="shared" si="5"/>
        <v>모바일</v>
      </c>
      <c r="Q12" s="53">
        <f>SUM(F11+K11+F24+K24+F42+K42)</f>
        <v>34000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11194713.885</v>
      </c>
      <c r="E13" s="29" t="str">
        <f>+'[1](1)'!E13</f>
        <v>합계</v>
      </c>
      <c r="F13" s="61">
        <f>SUM(F4:F12)</f>
        <v>11193118</v>
      </c>
      <c r="G13" s="62"/>
      <c r="H13" s="29" t="str">
        <f t="shared" si="3"/>
        <v>합계</v>
      </c>
      <c r="I13" s="60">
        <f>SUM((I4-I5-I6-I7-I8-I9)*$I$1+I11)</f>
        <v>10704629.033999998</v>
      </c>
      <c r="J13" s="29" t="str">
        <f t="shared" ref="J13" si="6">+E13</f>
        <v>합계</v>
      </c>
      <c r="K13" s="61">
        <f>IF(K8=0,0,SUM(K4:K12)-F8)</f>
        <v>10704672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-1595.8849999997765</v>
      </c>
      <c r="G14" s="27"/>
      <c r="H14" s="27"/>
      <c r="I14" s="27"/>
      <c r="J14" s="27"/>
      <c r="K14" s="67">
        <f>SUM(K13-I13)</f>
        <v>42.966000001877546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94161.615000000005</v>
      </c>
      <c r="P14" s="39" t="str">
        <f t="shared" si="5"/>
        <v>합계</v>
      </c>
      <c r="Q14" s="69">
        <f>SUM(Q5:Q13)</f>
        <v>21897790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-1552.9189999978989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100</v>
      </c>
      <c r="Q20" s="53">
        <f>SUM(P20*1000)</f>
        <v>100000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144</v>
      </c>
      <c r="Q28" s="69">
        <f>SUM(Q19:Q27)</f>
        <v>112000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23628</v>
      </c>
      <c r="P31" s="103">
        <v>23692</v>
      </c>
      <c r="Q31" s="104">
        <f>P31-O31</f>
        <v>64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1" sqref="F11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10.381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10.413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249.91200000000001</v>
      </c>
      <c r="M3" s="18" t="s">
        <v>10</v>
      </c>
      <c r="N3" s="3"/>
      <c r="O3" s="3"/>
      <c r="P3" s="150" t="str">
        <f>+'(1)'!C1&amp;"년"&amp;'(1)'!E1&amp;"월"&amp;C1&amp;"일"</f>
        <v>2023년6월24일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9132.4369999999999</v>
      </c>
      <c r="E4" s="34" t="str">
        <f>+'[1](1)'!E4</f>
        <v>고액권</v>
      </c>
      <c r="F4" s="36">
        <v>235000</v>
      </c>
      <c r="G4" s="27"/>
      <c r="H4" s="34" t="str">
        <f>+C4</f>
        <v>판매량</v>
      </c>
      <c r="I4" s="35">
        <v>8643.3770000000004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41625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17775.813999999998</v>
      </c>
      <c r="P5" s="47" t="str">
        <f>+E4</f>
        <v>고액권</v>
      </c>
      <c r="Q5" s="48">
        <f>SUM(F4+K4+F17+K17+F35+K35)</f>
        <v>520000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>
        <v>50478</v>
      </c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50478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8978558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8556258+F8</f>
        <v>17534816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17534816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136.755</v>
      </c>
      <c r="E10" s="42" t="str">
        <f>+'[1](1)'!E10</f>
        <v>OK케시백</v>
      </c>
      <c r="F10" s="44">
        <v>19696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-4786.4250000000002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136.755</v>
      </c>
      <c r="P11" s="51" t="str">
        <f t="shared" si="5"/>
        <v>OK케시백</v>
      </c>
      <c r="Q11" s="53">
        <f>SUM(F10+K10+F23+K23+F41+K41)</f>
        <v>19696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51674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-4786.4250000000002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9337696.6259999983</v>
      </c>
      <c r="E13" s="29" t="str">
        <f>+'[1](1)'!E13</f>
        <v>합계</v>
      </c>
      <c r="F13" s="61">
        <f>SUM(F4:F12)</f>
        <v>9338406</v>
      </c>
      <c r="G13" s="62"/>
      <c r="H13" s="29" t="str">
        <f t="shared" si="3"/>
        <v>합계</v>
      </c>
      <c r="I13" s="60">
        <f>SUM((I4-I5-I6-I7-I8-I9)*$I$1+I11)</f>
        <v>8842174.6710000001</v>
      </c>
      <c r="J13" s="29" t="str">
        <f t="shared" ref="J13" si="6">+E13</f>
        <v>합계</v>
      </c>
      <c r="K13" s="61">
        <f>IF(K8=0,0,SUM(K4:K12)-F8)</f>
        <v>8842258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51674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709.37400000169873</v>
      </c>
      <c r="G14" s="27"/>
      <c r="H14" s="27"/>
      <c r="I14" s="27"/>
      <c r="J14" s="27"/>
      <c r="K14" s="67">
        <f>SUM(K13-I13)</f>
        <v>83.328999999910593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84092.64499999999</v>
      </c>
      <c r="P14" s="39" t="str">
        <f t="shared" si="5"/>
        <v>합계</v>
      </c>
      <c r="Q14" s="69">
        <f>SUM(Q5:Q13)</f>
        <v>18180664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792.70300000160933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80</v>
      </c>
      <c r="Q20" s="53">
        <f>SUM(P20*1000)</f>
        <v>80000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141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23692</v>
      </c>
      <c r="P31" s="103">
        <v>23749</v>
      </c>
      <c r="Q31" s="104">
        <f>P31-O31</f>
        <v>57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27" sqref="P2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8.0429999999999993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10.318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257.95</v>
      </c>
      <c r="M3" s="18" t="s">
        <v>10</v>
      </c>
      <c r="N3" s="3"/>
      <c r="O3" s="3"/>
      <c r="P3" s="150" t="str">
        <f>+'(1)'!C1&amp;"년"&amp;'(1)'!E1&amp;"월"&amp;C1&amp;"일"</f>
        <v>2023년6월25일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7491.23</v>
      </c>
      <c r="E4" s="34" t="str">
        <f>+'[1](1)'!E4</f>
        <v>고액권</v>
      </c>
      <c r="F4" s="36">
        <v>280000</v>
      </c>
      <c r="G4" s="27"/>
      <c r="H4" s="34" t="str">
        <f>+C4</f>
        <v>판매량</v>
      </c>
      <c r="I4" s="35">
        <v>6280.8940000000002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27262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13772.124</v>
      </c>
      <c r="P5" s="47" t="str">
        <f>+E4</f>
        <v>고액권</v>
      </c>
      <c r="Q5" s="48">
        <f>SUM(F4+K4+F17+K17+F35+K35)</f>
        <v>380000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30.469000000000001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27.231000000000002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57.7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7348802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13641346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13641346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51.014000000000003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84.65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-1785.49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-2962.75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135.66400000000002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-4748.2400000000007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7630573.0129999993</v>
      </c>
      <c r="E13" s="29" t="str">
        <f>+'[1](1)'!E13</f>
        <v>합계</v>
      </c>
      <c r="F13" s="61">
        <f>SUM(F4:F12)</f>
        <v>7629802</v>
      </c>
      <c r="G13" s="62"/>
      <c r="H13" s="29" t="str">
        <f t="shared" si="3"/>
        <v>합계</v>
      </c>
      <c r="I13" s="60">
        <f>SUM((I4-I5-I6-I7-I8-I9)*$I$1+I11)</f>
        <v>6394534.4990000008</v>
      </c>
      <c r="J13" s="29" t="str">
        <f t="shared" ref="J13" si="6">+E13</f>
        <v>합계</v>
      </c>
      <c r="K13" s="61">
        <f>IF(K8=0,0,SUM(K4:K12)-F8)</f>
        <v>6394544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-771.0129999993369</v>
      </c>
      <c r="G14" s="27"/>
      <c r="H14" s="27"/>
      <c r="I14" s="27"/>
      <c r="J14" s="27"/>
      <c r="K14" s="67">
        <f>SUM(K13-I13)</f>
        <v>9.5009999992325902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63823.88</v>
      </c>
      <c r="P14" s="39" t="str">
        <f t="shared" si="5"/>
        <v>합계</v>
      </c>
      <c r="Q14" s="69">
        <f>SUM(Q5:Q13)</f>
        <v>14024346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-761.51200000010431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54</v>
      </c>
      <c r="Q20" s="53">
        <f>SUM(P20*1000)</f>
        <v>54000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104</v>
      </c>
      <c r="Q28" s="69">
        <f>SUM(Q19:Q27)</f>
        <v>65000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23749</v>
      </c>
      <c r="P31" s="103">
        <v>23790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28" sqref="P2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10.422000000000001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10.321999999999999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268.37199999999996</v>
      </c>
      <c r="M3" s="18" t="s">
        <v>10</v>
      </c>
      <c r="N3" s="3"/>
      <c r="O3" s="3"/>
      <c r="P3" s="150" t="str">
        <f>+'(1)'!C1&amp;"년"&amp;'(1)'!E1&amp;"월"&amp;C1&amp;"일"</f>
        <v>2023년6월26일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9906.2450000000008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7939.1559999999999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45149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17845.401000000002</v>
      </c>
      <c r="P5" s="47" t="str">
        <f>+E4</f>
        <v>고액권</v>
      </c>
      <c r="Q5" s="48">
        <f>SUM(F4+K4+F17+K17+F35+K35)</f>
        <v>330000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208.834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25.984999999999999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234.81900000000002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9714363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17650029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17650029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383.25900000000001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60.277000000000001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-13414.065000000001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-2109.6950000000002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443.536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-15523.76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9907037.3880000003</v>
      </c>
      <c r="E13" s="29" t="str">
        <f>+'[1](1)'!E13</f>
        <v>합계</v>
      </c>
      <c r="F13" s="61">
        <f>SUM(F4:F12)</f>
        <v>9907363</v>
      </c>
      <c r="G13" s="62"/>
      <c r="H13" s="29" t="str">
        <f t="shared" si="3"/>
        <v>합계</v>
      </c>
      <c r="I13" s="60">
        <f>SUM((I4-I5-I6-I7-I8-I9)*$I$1+I11)</f>
        <v>8093064.2379999999</v>
      </c>
      <c r="J13" s="29" t="str">
        <f t="shared" ref="J13" si="6">+E13</f>
        <v>합계</v>
      </c>
      <c r="K13" s="61">
        <f>IF(K8=0,0,SUM(K4:K12)-F8)</f>
        <v>8092666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325.61199999973178</v>
      </c>
      <c r="G14" s="27"/>
      <c r="H14" s="27"/>
      <c r="I14" s="27"/>
      <c r="J14" s="27"/>
      <c r="K14" s="67">
        <f>SUM(K13-I13)</f>
        <v>-398.23799999989569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72529.150000000009</v>
      </c>
      <c r="P14" s="39" t="str">
        <f t="shared" si="5"/>
        <v>합계</v>
      </c>
      <c r="Q14" s="69">
        <f>SUM(Q5:Q13)</f>
        <v>18000029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-72.626000000163913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33</v>
      </c>
      <c r="Q28" s="69">
        <f>SUM(Q19:Q27)</f>
        <v>14000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23790</v>
      </c>
      <c r="P31" s="103">
        <v>23798</v>
      </c>
      <c r="Q31" s="104">
        <f>P31-O31</f>
        <v>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11.031000000000001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10.348000000000001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279.39600000000002</v>
      </c>
      <c r="M3" s="18" t="s">
        <v>10</v>
      </c>
      <c r="N3" s="3"/>
      <c r="O3" s="3"/>
      <c r="P3" s="150" t="str">
        <f>+'(1)'!C1&amp;"년"&amp;'(1)'!E1&amp;"월"&amp;C1&amp;"일"</f>
        <v>2023년6월27일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9947.3060000000005</v>
      </c>
      <c r="E4" s="34" t="str">
        <f>+'[1](1)'!E4</f>
        <v>고액권</v>
      </c>
      <c r="F4" s="36">
        <v>260000</v>
      </c>
      <c r="G4" s="27"/>
      <c r="H4" s="34" t="str">
        <f>+C4</f>
        <v>판매량</v>
      </c>
      <c r="I4" s="35">
        <v>8941.1280000000006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25055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18888.434000000001</v>
      </c>
      <c r="P5" s="47" t="str">
        <f>+E4</f>
        <v>고액권</v>
      </c>
      <c r="Q5" s="48">
        <f>SUM(F4+K4+F17+K17+F35+K35)</f>
        <v>435000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292.08499999999998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26.045000000000002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318.13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9607669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18548278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18548278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207.19399999999999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-7251.79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207.19399999999999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-7251.79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9870039.2930000015</v>
      </c>
      <c r="E13" s="29" t="str">
        <f>+'[1](1)'!E13</f>
        <v>합계</v>
      </c>
      <c r="F13" s="61">
        <f>SUM(F4:F12)</f>
        <v>9870669</v>
      </c>
      <c r="G13" s="62"/>
      <c r="H13" s="29" t="str">
        <f t="shared" si="3"/>
        <v>합계</v>
      </c>
      <c r="I13" s="60">
        <f>SUM((I4-I5-I6-I7-I8-I9)*$I$1+I11)</f>
        <v>9120129.909</v>
      </c>
      <c r="J13" s="29" t="str">
        <f t="shared" ref="J13" si="6">+E13</f>
        <v>합계</v>
      </c>
      <c r="K13" s="61">
        <f>IF(K8=0,0,SUM(K4:K12)-F8)</f>
        <v>9119609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629.70699999853969</v>
      </c>
      <c r="G14" s="27"/>
      <c r="H14" s="27"/>
      <c r="I14" s="27"/>
      <c r="J14" s="27"/>
      <c r="K14" s="67">
        <f>SUM(K13-I13)</f>
        <v>-520.9089999999851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85599.73000000001</v>
      </c>
      <c r="P14" s="39" t="str">
        <f t="shared" si="5"/>
        <v>합계</v>
      </c>
      <c r="Q14" s="69">
        <f>SUM(Q5:Q13)</f>
        <v>18990278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108.79799999855459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51</v>
      </c>
      <c r="Q20" s="53">
        <f>SUM(P20*1000)</f>
        <v>51000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128</v>
      </c>
      <c r="Q28" s="69">
        <f>SUM(Q19:Q27)</f>
        <v>69000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23798</v>
      </c>
      <c r="P31" s="103">
        <v>23829</v>
      </c>
      <c r="Q31" s="104">
        <f>P31-O31</f>
        <v>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11.695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10.396000000000001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291.08800000000002</v>
      </c>
      <c r="M3" s="18" t="s">
        <v>10</v>
      </c>
      <c r="N3" s="3"/>
      <c r="O3" s="3"/>
      <c r="P3" s="150" t="str">
        <f>+'(1)'!C1&amp;"년"&amp;'(1)'!E1&amp;"월"&amp;C1&amp;"일"</f>
        <v>2023년6월28일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10899.054</v>
      </c>
      <c r="E4" s="34" t="str">
        <f>+'[1](1)'!E4</f>
        <v>고액권</v>
      </c>
      <c r="F4" s="36">
        <v>330000</v>
      </c>
      <c r="G4" s="27"/>
      <c r="H4" s="34" t="str">
        <f>+C4</f>
        <v>판매량</v>
      </c>
      <c r="I4" s="35">
        <v>9125.9940000000006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17087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20025.048000000003</v>
      </c>
      <c r="P5" s="47" t="str">
        <f>+E4</f>
        <v>고액권</v>
      </c>
      <c r="Q5" s="48">
        <f>SUM(F4+K4+F17+K17+F35+K35)</f>
        <v>505000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299.7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593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299.7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10499445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19646433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593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19646433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273.01299999999998</v>
      </c>
      <c r="E10" s="42" t="str">
        <f>+'[1](1)'!E10</f>
        <v>OK케시백</v>
      </c>
      <c r="F10" s="44">
        <v>3400</v>
      </c>
      <c r="G10" s="27"/>
      <c r="H10" s="42" t="str">
        <f t="shared" si="3"/>
        <v>고객우대</v>
      </c>
      <c r="I10" s="50">
        <v>221.82599999999999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-9555.4549999999999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-7763.91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494.83899999999994</v>
      </c>
      <c r="P11" s="51" t="str">
        <f t="shared" si="5"/>
        <v>OK케시백</v>
      </c>
      <c r="Q11" s="53">
        <f>SUM(F10+K10+F23+K23+F41+K41)</f>
        <v>3400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-17319.364999999998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10833583.686999999</v>
      </c>
      <c r="E13" s="29" t="str">
        <f>+'[1](1)'!E13</f>
        <v>합계</v>
      </c>
      <c r="F13" s="61">
        <f>SUM(F4:F12)</f>
        <v>10833438</v>
      </c>
      <c r="G13" s="62"/>
      <c r="H13" s="29" t="str">
        <f t="shared" si="3"/>
        <v>합계</v>
      </c>
      <c r="I13" s="60">
        <f>SUM((I4-I5-I6-I7-I8-I9)*$I$1+I11)</f>
        <v>9328127.9519999996</v>
      </c>
      <c r="J13" s="29" t="str">
        <f t="shared" ref="J13" si="6">+E13</f>
        <v>합계</v>
      </c>
      <c r="K13" s="61">
        <f>IF(K8=0,0,SUM(K4:K12)-F8)</f>
        <v>9327988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-145.68699999898672</v>
      </c>
      <c r="G14" s="27"/>
      <c r="H14" s="27"/>
      <c r="I14" s="27"/>
      <c r="J14" s="27"/>
      <c r="K14" s="67">
        <f>SUM(K13-I13)</f>
        <v>-139.95199999958277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81307.375</v>
      </c>
      <c r="P14" s="39" t="str">
        <f t="shared" si="5"/>
        <v>합계</v>
      </c>
      <c r="Q14" s="69">
        <f>SUM(Q5:Q13)</f>
        <v>20161426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-285.63899999856949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55</v>
      </c>
      <c r="Q20" s="53">
        <f>SUM(P20*1000)</f>
        <v>55000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118</v>
      </c>
      <c r="Q28" s="69">
        <f>SUM(Q19:Q27)</f>
        <v>65000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23798</v>
      </c>
      <c r="P31" s="103">
        <v>23865</v>
      </c>
      <c r="Q31" s="104">
        <f>P31-O31</f>
        <v>67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11.554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10.436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302.64400000000001</v>
      </c>
      <c r="M3" s="18" t="s">
        <v>10</v>
      </c>
      <c r="N3" s="3"/>
      <c r="O3" s="3"/>
      <c r="P3" s="150" t="str">
        <f>+'(1)'!C1&amp;"년"&amp;'(1)'!E1&amp;"월"&amp;C1&amp;"일"</f>
        <v>2023년6월29일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10629.536</v>
      </c>
      <c r="E4" s="34" t="str">
        <f>+'[1](1)'!E4</f>
        <v>고액권</v>
      </c>
      <c r="F4" s="36">
        <v>75000</v>
      </c>
      <c r="G4" s="27"/>
      <c r="H4" s="34" t="str">
        <f>+C4</f>
        <v>판매량</v>
      </c>
      <c r="I4" s="35">
        <v>9155.3189999999995</v>
      </c>
      <c r="J4" s="42" t="str">
        <f>+'[1](1)'!J4</f>
        <v>고액권</v>
      </c>
      <c r="K4" s="36">
        <v>255000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28692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19784.855</v>
      </c>
      <c r="P5" s="47" t="str">
        <f>+E4</f>
        <v>고액권</v>
      </c>
      <c r="Q5" s="48">
        <f>SUM(F4+K4+F17+K17+F35+K35)</f>
        <v>330000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245.67500000000001</v>
      </c>
      <c r="E6" s="105" t="str">
        <f>+'[1](1)'!E6</f>
        <v>블루/레드포인트</v>
      </c>
      <c r="F6" s="44">
        <v>30000</v>
      </c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578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245.67500000000001</v>
      </c>
      <c r="P7" s="106" t="str">
        <f t="shared" ref="P7:P14" si="5">+E6</f>
        <v>블루/레드포인트</v>
      </c>
      <c r="Q7" s="53">
        <f>SUM(F6+K6+F19+K19+F37+K37)</f>
        <v>30000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10475887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19575274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578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19575274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195.857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-6854.9949999999999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195.857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39077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-6854.9949999999999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10615834.808000002</v>
      </c>
      <c r="E13" s="29" t="str">
        <f>+'[1](1)'!E13</f>
        <v>합계</v>
      </c>
      <c r="F13" s="61">
        <f>SUM(F4:F12)</f>
        <v>10622542</v>
      </c>
      <c r="G13" s="62"/>
      <c r="H13" s="29" t="str">
        <f t="shared" si="3"/>
        <v>합계</v>
      </c>
      <c r="I13" s="60">
        <f>SUM((I4-I5-I6-I7-I8-I9)*$I$1+I11)</f>
        <v>9365891.3369999994</v>
      </c>
      <c r="J13" s="29" t="str">
        <f t="shared" ref="J13" si="6">+E13</f>
        <v>합계</v>
      </c>
      <c r="K13" s="61">
        <f>IF(K8=0,0,SUM(K4:K12)-F8)</f>
        <v>9365387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39077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6707.1919999979436</v>
      </c>
      <c r="G14" s="27"/>
      <c r="H14" s="27"/>
      <c r="I14" s="27"/>
      <c r="J14" s="27"/>
      <c r="K14" s="67">
        <f>SUM(K13-I13)</f>
        <v>-504.33699999935925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90840.904999999999</v>
      </c>
      <c r="P14" s="39" t="str">
        <f t="shared" si="5"/>
        <v>합계</v>
      </c>
      <c r="Q14" s="69">
        <f>SUM(Q5:Q13)</f>
        <v>19987929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6202.8549999985844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8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23865</v>
      </c>
      <c r="P31" s="103">
        <v>23865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2"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25">
        <v>1023</v>
      </c>
      <c r="J1" s="1"/>
      <c r="K1" s="1"/>
      <c r="L1" s="21">
        <f>+ROUND(+O5*0.584/1000,3)</f>
        <v>10.180999999999999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12.156000000000001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36.468000000000004</v>
      </c>
      <c r="M3" s="18" t="s">
        <v>10</v>
      </c>
      <c r="N3" s="3"/>
      <c r="O3" s="3"/>
      <c r="P3" s="150" t="str">
        <f>+'(1)'!C1&amp;"년"&amp;'(1)'!E1&amp;"월"&amp;C1&amp;"일"</f>
        <v>2023년6월3일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8561.4159999999993</v>
      </c>
      <c r="E4" s="34" t="str">
        <f>+'[1](1)'!E4</f>
        <v>고액권</v>
      </c>
      <c r="F4" s="36">
        <v>330000</v>
      </c>
      <c r="G4" s="27"/>
      <c r="H4" s="34" t="str">
        <f>+C4</f>
        <v>판매량</v>
      </c>
      <c r="I4" s="35">
        <v>8872.27</v>
      </c>
      <c r="J4" s="42" t="str">
        <f>+'[1](1)'!J4</f>
        <v>고액권</v>
      </c>
      <c r="K4" s="36">
        <v>295000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23669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17433.686000000002</v>
      </c>
      <c r="P5" s="47" t="str">
        <f>+E4</f>
        <v>고액권</v>
      </c>
      <c r="Q5" s="48">
        <f>SUM(F4+K4+F17+K17+F35+K35)</f>
        <v>625000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54.076000000000001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54.076000000000001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8326913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17103596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17103596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112.974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-3954.09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112.974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-3954.09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8699054.7300000004</v>
      </c>
      <c r="E13" s="29" t="str">
        <f>+'[1](1)'!E13</f>
        <v>합계</v>
      </c>
      <c r="F13" s="61">
        <f>SUM(F4:F12)</f>
        <v>8698913</v>
      </c>
      <c r="G13" s="62"/>
      <c r="H13" s="29" t="str">
        <f t="shared" si="2"/>
        <v>합계</v>
      </c>
      <c r="I13" s="60">
        <f>SUM((I4-I5-I6-I7-I8-I9)*$I$1+I11)</f>
        <v>9076332.2100000009</v>
      </c>
      <c r="J13" s="29" t="str">
        <f t="shared" ref="J13" si="5">+E13</f>
        <v>합계</v>
      </c>
      <c r="K13" s="61">
        <f>IF(K8=0,0,SUM(K4:K12)-F8)</f>
        <v>9075683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-141.73000000044703</v>
      </c>
      <c r="G14" s="27"/>
      <c r="H14" s="27"/>
      <c r="I14" s="27"/>
      <c r="J14" s="27"/>
      <c r="K14" s="67">
        <f>SUM(K13-I13)</f>
        <v>-649.21000000089407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82943.960000000006</v>
      </c>
      <c r="P14" s="39" t="str">
        <f t="shared" si="4"/>
        <v>합계</v>
      </c>
      <c r="Q14" s="69">
        <f>SUM(Q5:Q13)</f>
        <v>17774596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-790.9400000013411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104</v>
      </c>
      <c r="Q20" s="53">
        <f>SUM(P20*1000)</f>
        <v>104000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25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158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22662</v>
      </c>
      <c r="P31" s="103">
        <v>22722</v>
      </c>
      <c r="Q31" s="104">
        <f>P31-O31</f>
        <v>60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5" sqref="F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6.8520000000000003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10.317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309.51</v>
      </c>
      <c r="M3" s="18" t="s">
        <v>10</v>
      </c>
      <c r="N3" s="3"/>
      <c r="O3" s="3"/>
      <c r="P3" s="150" t="str">
        <f>+'(1)'!C1&amp;"년"&amp;'(1)'!E1&amp;"월"&amp;C1&amp;"일"</f>
        <v>2023년6월30일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10251.745000000001</v>
      </c>
      <c r="E4" s="34" t="str">
        <f>+'[1](1)'!E4</f>
        <v>고액권</v>
      </c>
      <c r="F4" s="36">
        <v>132000</v>
      </c>
      <c r="G4" s="27"/>
      <c r="H4" s="34" t="str">
        <f>+C4</f>
        <v>판매량</v>
      </c>
      <c r="I4" s="35">
        <v>1481.847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16361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11733.592000000001</v>
      </c>
      <c r="P5" s="47" t="str">
        <f>+E4</f>
        <v>고액권</v>
      </c>
      <c r="Q5" s="48">
        <f>SUM(F4+K4+F17+K17+F35+K35)</f>
        <v>132000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353.63499999999999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20.241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373.87599999999998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9988108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11483311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11483311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174.93600000000001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-6122.76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174.93600000000001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-6122.76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10119643.770000001</v>
      </c>
      <c r="E13" s="29" t="str">
        <f>+'[1](1)'!E13</f>
        <v>합계</v>
      </c>
      <c r="F13" s="61">
        <f>SUM(F4:F12)</f>
        <v>10120108</v>
      </c>
      <c r="G13" s="62"/>
      <c r="H13" s="29" t="str">
        <f t="shared" si="3"/>
        <v>합계</v>
      </c>
      <c r="I13" s="60">
        <f>SUM((I4-I5-I6-I7-I8-I9)*$I$1+I11)</f>
        <v>1495222.9380000001</v>
      </c>
      <c r="J13" s="29" t="str">
        <f t="shared" ref="J13" si="6">+E13</f>
        <v>합계</v>
      </c>
      <c r="K13" s="61">
        <f>IF(K8=0,0,SUM(K4:K12)-F8)</f>
        <v>1495203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464.22999999858439</v>
      </c>
      <c r="G14" s="27"/>
      <c r="H14" s="27"/>
      <c r="I14" s="27"/>
      <c r="J14" s="27"/>
      <c r="K14" s="67">
        <f>SUM(K13-I13)</f>
        <v>-19.938000000081956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50675.82</v>
      </c>
      <c r="P14" s="39" t="str">
        <f t="shared" si="5"/>
        <v>합계</v>
      </c>
      <c r="Q14" s="69">
        <f>SUM(Q5:Q13)</f>
        <v>11615311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444.29199999850243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139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23865</v>
      </c>
      <c r="P31" s="103">
        <v>23904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3" sqref="K3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9.984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309.50400000000002</v>
      </c>
      <c r="M3" s="18" t="s">
        <v>10</v>
      </c>
      <c r="N3" s="3"/>
      <c r="O3" s="3"/>
      <c r="P3" s="150" t="str">
        <f>+'(1)'!C1&amp;"년"&amp;'(1)'!E1&amp;"월"&amp;C1&amp;"일"</f>
        <v>2023년6월31일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25">
        <v>1023</v>
      </c>
      <c r="J1" s="1"/>
      <c r="K1" s="1"/>
      <c r="L1" s="21">
        <f>+ROUND(+O5*0.584/1000,3)</f>
        <v>6.8049999999999997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10.818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43.271999999999998</v>
      </c>
      <c r="M3" s="18" t="s">
        <v>10</v>
      </c>
      <c r="N3" s="3"/>
      <c r="O3" s="3"/>
      <c r="P3" s="150" t="str">
        <f>+'(1)'!C1&amp;"년"&amp;'(1)'!E1&amp;"월"&amp;C1&amp;"일"</f>
        <v>2023년6월4일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6562.7780000000002</v>
      </c>
      <c r="E4" s="34" t="str">
        <f>+'[1](1)'!E4</f>
        <v>고액권</v>
      </c>
      <c r="F4" s="36">
        <v>45000</v>
      </c>
      <c r="G4" s="27"/>
      <c r="H4" s="34" t="str">
        <f>+C4</f>
        <v>판매량</v>
      </c>
      <c r="I4" s="35">
        <v>5090.4690000000001</v>
      </c>
      <c r="J4" s="42" t="str">
        <f>+'[1](1)'!J4</f>
        <v>고액권</v>
      </c>
      <c r="K4" s="36">
        <v>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48094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11653.246999999999</v>
      </c>
      <c r="P5" s="47" t="str">
        <f>+E4</f>
        <v>고액권</v>
      </c>
      <c r="Q5" s="48">
        <f>SUM(F4+K4+F17+K17+F35+K35)</f>
        <v>120000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26.695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26.695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6669628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11771734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11771734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54.866999999999997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-1920.3449999999998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54.866999999999997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-1920.3449999999998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6713721.8940000003</v>
      </c>
      <c r="E13" s="29" t="str">
        <f>+'[1](1)'!E13</f>
        <v>합계</v>
      </c>
      <c r="F13" s="61">
        <f>SUM(F4:F12)</f>
        <v>6714628</v>
      </c>
      <c r="G13" s="62"/>
      <c r="H13" s="29" t="str">
        <f t="shared" si="2"/>
        <v>합계</v>
      </c>
      <c r="I13" s="60">
        <f>SUM((I4-I5-I6-I7-I8-I9)*$I$1+I11)</f>
        <v>5178320.4570000004</v>
      </c>
      <c r="J13" s="29" t="str">
        <f t="shared" ref="J13" si="5">+E13</f>
        <v>합계</v>
      </c>
      <c r="K13" s="61">
        <f>IF(K8=0,0,SUM(K4:K12)-F8)</f>
        <v>5178106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906.10599999967963</v>
      </c>
      <c r="G14" s="27"/>
      <c r="H14" s="27"/>
      <c r="I14" s="27"/>
      <c r="J14" s="27"/>
      <c r="K14" s="67">
        <f>SUM(K13-I13)</f>
        <v>-214.45700000040233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56212.414999999994</v>
      </c>
      <c r="P14" s="39" t="str">
        <f t="shared" si="4"/>
        <v>합계</v>
      </c>
      <c r="Q14" s="69">
        <f>SUM(Q5:Q13)</f>
        <v>11892734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691.64899999927729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87</v>
      </c>
      <c r="Q20" s="53">
        <f>SUM(P20*1000)</f>
        <v>87000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129</v>
      </c>
      <c r="Q28" s="69">
        <f>SUM(Q19:Q27)</f>
        <v>93000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22722</v>
      </c>
      <c r="P31" s="103">
        <v>22783</v>
      </c>
      <c r="Q31" s="104">
        <f>P31-O31</f>
        <v>61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25">
        <v>1023</v>
      </c>
      <c r="J1" s="1"/>
      <c r="K1" s="1"/>
      <c r="L1" s="21">
        <f>+ROUND(+O5*0.584/1000,3)</f>
        <v>10.901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10.835000000000001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54.175000000000004</v>
      </c>
      <c r="M3" s="18" t="s">
        <v>10</v>
      </c>
      <c r="N3" s="3"/>
      <c r="O3" s="3"/>
      <c r="P3" s="150" t="str">
        <f>+'(1)'!C1&amp;"년"&amp;'(1)'!E1&amp;"월"&amp;C1&amp;"일"</f>
        <v>2023년6월5일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10339.949000000001</v>
      </c>
      <c r="E4" s="34" t="str">
        <f>+'[1](1)'!E4</f>
        <v>고액권</v>
      </c>
      <c r="F4" s="36">
        <v>75000</v>
      </c>
      <c r="G4" s="27"/>
      <c r="H4" s="34" t="str">
        <f>+C4</f>
        <v>판매량</v>
      </c>
      <c r="I4" s="35">
        <v>8326.7090000000007</v>
      </c>
      <c r="J4" s="42" t="str">
        <f>+'[1](1)'!J4</f>
        <v>고액권</v>
      </c>
      <c r="K4" s="36">
        <v>345000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28509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18666.658000000003</v>
      </c>
      <c r="P5" s="47" t="str">
        <f>+E4</f>
        <v>고액권</v>
      </c>
      <c r="Q5" s="48">
        <f>SUM(F4+K4+F17+K17+F35+K35)</f>
        <v>420000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371.69799999999998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371.69799999999998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10108641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18278179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18278179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379.21600000000001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56.737000000000002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-13272.56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-1985.7950000000001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435.95300000000003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-15258.355000000001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10184248.213</v>
      </c>
      <c r="E13" s="29" t="str">
        <f>+'[1](1)'!E13</f>
        <v>합계</v>
      </c>
      <c r="F13" s="61">
        <f>SUM(F4:F12)</f>
        <v>10183641</v>
      </c>
      <c r="G13" s="62"/>
      <c r="H13" s="29" t="str">
        <f t="shared" si="2"/>
        <v>합계</v>
      </c>
      <c r="I13" s="60">
        <f>SUM((I4-I5-I6-I7-I8-I9)*$I$1+I11)</f>
        <v>8516237.5120000001</v>
      </c>
      <c r="J13" s="29" t="str">
        <f t="shared" ref="J13" si="5">+E13</f>
        <v>합계</v>
      </c>
      <c r="K13" s="61">
        <f>IF(K8=0,0,SUM(K4:K12)-F8)</f>
        <v>8516538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-607.21299999952316</v>
      </c>
      <c r="G14" s="27"/>
      <c r="H14" s="27"/>
      <c r="I14" s="27"/>
      <c r="J14" s="27"/>
      <c r="K14" s="67">
        <f>SUM(K13-I13)</f>
        <v>300.48799999989569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76216.445000000022</v>
      </c>
      <c r="P14" s="39" t="str">
        <f t="shared" si="4"/>
        <v>합계</v>
      </c>
      <c r="Q14" s="69">
        <f>SUM(Q5:Q13)</f>
        <v>18700179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-306.72499999962747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80</v>
      </c>
      <c r="Q20" s="53">
        <f>SUM(P20*1000)</f>
        <v>80000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143</v>
      </c>
      <c r="Q28" s="69">
        <f>SUM(Q19:Q27)</f>
        <v>98000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22783</v>
      </c>
      <c r="P31" s="103">
        <v>22839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25">
        <v>1023</v>
      </c>
      <c r="J1" s="1"/>
      <c r="K1" s="1"/>
      <c r="L1" s="21">
        <f>+ROUND(+O5*0.584/1000,3)</f>
        <v>6.2850000000000001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10.077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60.462000000000003</v>
      </c>
      <c r="M3" s="18" t="s">
        <v>10</v>
      </c>
      <c r="N3" s="3"/>
      <c r="O3" s="3"/>
      <c r="P3" s="150" t="str">
        <f>+'(1)'!C1&amp;"년"&amp;'(1)'!E1&amp;"월"&amp;C1&amp;"일"</f>
        <v>2023년6월6일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6480.8419999999996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4280.5870000000004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53537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10761.429</v>
      </c>
      <c r="P5" s="47" t="str">
        <f>+E4</f>
        <v>고액권</v>
      </c>
      <c r="Q5" s="48">
        <f>SUM(F4+K4+F17+K17+F35+K35)</f>
        <v>235000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6402281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10741572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10741572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47.527000000000001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-1663.4449999999999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47.527000000000001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25000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-1663.4449999999999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6628237.9209999992</v>
      </c>
      <c r="E13" s="29" t="str">
        <f>+'[1](1)'!E13</f>
        <v>합계</v>
      </c>
      <c r="F13" s="61">
        <f>SUM(F4:F12)</f>
        <v>6627281</v>
      </c>
      <c r="G13" s="62"/>
      <c r="H13" s="29" t="str">
        <f t="shared" si="2"/>
        <v>합계</v>
      </c>
      <c r="I13" s="60">
        <f>SUM((I4-I5-I6-I7-I8-I9)*$I$1+I11)</f>
        <v>4379040.5010000002</v>
      </c>
      <c r="J13" s="29" t="str">
        <f t="shared" ref="J13" si="5">+E13</f>
        <v>합계</v>
      </c>
      <c r="K13" s="61">
        <f>IF(K8=0,0,SUM(K4:K12)-F8)</f>
        <v>4379291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25000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-956.92099999915808</v>
      </c>
      <c r="G14" s="27"/>
      <c r="H14" s="27"/>
      <c r="I14" s="27"/>
      <c r="J14" s="27"/>
      <c r="K14" s="67">
        <f>SUM(K13-I13)</f>
        <v>250.49899999983609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52143.700000000004</v>
      </c>
      <c r="P14" s="39" t="str">
        <f t="shared" si="4"/>
        <v>합계</v>
      </c>
      <c r="Q14" s="69">
        <f>SUM(Q5:Q13)</f>
        <v>11006572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-706.421999999322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89</v>
      </c>
      <c r="Q20" s="53">
        <f>SUM(P20*1000)</f>
        <v>89000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132</v>
      </c>
      <c r="Q28" s="69">
        <f>SUM(Q19:Q27)</f>
        <v>104000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22839</v>
      </c>
      <c r="P31" s="103">
        <v>22905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25">
        <v>1023</v>
      </c>
      <c r="J1" s="1"/>
      <c r="K1" s="1"/>
      <c r="L1" s="21">
        <f>+ROUND(+O5*0.584/1000,3)</f>
        <v>10.768000000000001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10.176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71.231999999999999</v>
      </c>
      <c r="M3" s="18" t="s">
        <v>10</v>
      </c>
      <c r="N3" s="3"/>
      <c r="O3" s="3"/>
      <c r="P3" s="150" t="str">
        <f>+'(1)'!C1&amp;"년"&amp;'(1)'!E1&amp;"월"&amp;C1&amp;"일"</f>
        <v>2023년6월7일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10428.085999999999</v>
      </c>
      <c r="E4" s="34" t="str">
        <f>+'[1](1)'!E4</f>
        <v>고액권</v>
      </c>
      <c r="F4" s="36">
        <v>200000</v>
      </c>
      <c r="G4" s="27"/>
      <c r="H4" s="34" t="str">
        <f>+C4</f>
        <v>판매량</v>
      </c>
      <c r="I4" s="35">
        <v>8009.9629999999997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34230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18438.048999999999</v>
      </c>
      <c r="P5" s="47" t="str">
        <f>+E4</f>
        <v>고액권</v>
      </c>
      <c r="Q5" s="48">
        <f>SUM(F4+K4+F17+K17+F35+K35)</f>
        <v>330000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265.99099999999999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28.038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294.029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10118017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18144066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18144066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264.892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44.234999999999999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-9271.2199999999993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-1548.2249999999999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309.12700000000001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-10819.445</v>
      </c>
      <c r="P12" s="51" t="str">
        <f t="shared" si="4"/>
        <v>모바일</v>
      </c>
      <c r="Q12" s="53">
        <f>SUM(F11+K11+F24+K24+F42+K42)</f>
        <v>19000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10386551.964999998</v>
      </c>
      <c r="E13" s="29" t="str">
        <f>+'[1](1)'!E13</f>
        <v>합계</v>
      </c>
      <c r="F13" s="61">
        <f>SUM(F4:F12)</f>
        <v>10386017</v>
      </c>
      <c r="G13" s="62"/>
      <c r="H13" s="29" t="str">
        <f t="shared" si="2"/>
        <v>합계</v>
      </c>
      <c r="I13" s="60">
        <f>SUM((I4-I5-I6-I7-I8-I9)*$I$1+I11)</f>
        <v>8163961.0500000007</v>
      </c>
      <c r="J13" s="29" t="str">
        <f t="shared" ref="J13" si="5">+E13</f>
        <v>합계</v>
      </c>
      <c r="K13" s="61">
        <f>IF(K8=0,0,SUM(K4:K12)-F8)</f>
        <v>8164049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-534.96499999798834</v>
      </c>
      <c r="G14" s="27"/>
      <c r="H14" s="27"/>
      <c r="I14" s="27"/>
      <c r="J14" s="27"/>
      <c r="K14" s="67">
        <f>SUM(K13-I13)</f>
        <v>87.949999999254942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79900.654999999999</v>
      </c>
      <c r="P14" s="39" t="str">
        <f t="shared" si="4"/>
        <v>합계</v>
      </c>
      <c r="Q14" s="69">
        <f>SUM(Q5:Q13)</f>
        <v>18550066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-447.0149999987334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77</v>
      </c>
      <c r="Q20" s="48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21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168</v>
      </c>
      <c r="Q28" s="69">
        <f>SUM(Q19:Q27)</f>
        <v>101000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22905</v>
      </c>
      <c r="P31" s="103">
        <v>22953</v>
      </c>
      <c r="Q31" s="104">
        <f>P31-O31</f>
        <v>48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10.465999999999999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10.212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81.695999999999998</v>
      </c>
      <c r="M3" s="18" t="s">
        <v>10</v>
      </c>
      <c r="N3" s="3"/>
      <c r="O3" s="3"/>
      <c r="P3" s="150" t="str">
        <f>+'(1)'!C1&amp;"년"&amp;'(1)'!E1&amp;"월"&amp;C1&amp;"일"</f>
        <v>2023년6월8일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10232.824000000001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7687.7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51943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17920.524000000001</v>
      </c>
      <c r="P5" s="47" t="str">
        <f>+E4</f>
        <v>고액권</v>
      </c>
      <c r="Q5" s="48">
        <f>SUM(F4+K4+F17+K17+F35+K35)</f>
        <v>350000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341.23700000000002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341.23700000000002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9842953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17536106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17536106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109.995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53.012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-3849.8250000000003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-1855.42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163.00700000000001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46274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-5705.2449999999999</v>
      </c>
      <c r="P12" s="51" t="str">
        <f t="shared" si="4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10115243.676000003</v>
      </c>
      <c r="E13" s="29" t="str">
        <f>+'[1](1)'!E13</f>
        <v>합계</v>
      </c>
      <c r="F13" s="61">
        <f>SUM(F4:F12)</f>
        <v>10115227</v>
      </c>
      <c r="G13" s="62"/>
      <c r="H13" s="29" t="str">
        <f t="shared" si="2"/>
        <v>합계</v>
      </c>
      <c r="I13" s="60">
        <f>SUM((I4-I5-I6-I7-I8-I9)*$I$1+I11)</f>
        <v>7862661.6799999997</v>
      </c>
      <c r="J13" s="29" t="str">
        <f t="shared" ref="J13" si="5">+E13</f>
        <v>합계</v>
      </c>
      <c r="K13" s="61">
        <f>IF(K8=0,0,SUM(K4:K12)-F8)</f>
        <v>7862153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46274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-16.676000002771616</v>
      </c>
      <c r="G14" s="27"/>
      <c r="H14" s="27"/>
      <c r="I14" s="27"/>
      <c r="J14" s="27"/>
      <c r="K14" s="67">
        <f>SUM(K13-I13)</f>
        <v>-508.67999999970198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82191.19</v>
      </c>
      <c r="P14" s="39" t="str">
        <f t="shared" si="4"/>
        <v>합계</v>
      </c>
      <c r="Q14" s="69">
        <f>SUM(Q5:Q13)</f>
        <v>17977380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-525.35600000247359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53</v>
      </c>
      <c r="Q20" s="53">
        <f>SUM(P20*1000)</f>
        <v>53000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32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121</v>
      </c>
      <c r="Q28" s="69">
        <f>SUM(Q19:Q27)</f>
        <v>70000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22953</v>
      </c>
      <c r="P31" s="103">
        <v>22989</v>
      </c>
      <c r="Q31" s="104">
        <f>P31-O31</f>
        <v>36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3" sqref="K3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1023</v>
      </c>
      <c r="J1" s="1"/>
      <c r="K1" s="1"/>
      <c r="L1" s="22">
        <f>+ROUND(+O5*0.584/1000,3)</f>
        <v>11.295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10.332000000000001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92.988</v>
      </c>
      <c r="M3" s="18" t="s">
        <v>10</v>
      </c>
      <c r="N3" s="3"/>
      <c r="O3" s="3"/>
      <c r="P3" s="150" t="str">
        <f>+'(1)'!C1&amp;"년"&amp;'(1)'!E1&amp;"월"&amp;C1&amp;"일"</f>
        <v>2023년6월9일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10870.855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8470.4040000000005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31267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19341.258999999998</v>
      </c>
      <c r="P5" s="47" t="str">
        <f>+E4</f>
        <v>고액권</v>
      </c>
      <c r="Q5" s="48">
        <f>SUM(F4+K4+F17+K17+F35+K35)</f>
        <v>165000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279.476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279.476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10686514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19275254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19275254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438.00900000000001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51.74</v>
      </c>
      <c r="J10" s="42" t="str">
        <f>+'[1](1)'!J10</f>
        <v>OK케시백</v>
      </c>
      <c r="K10" s="44">
        <v>7000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-15330.315000000001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-1810.9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489.74900000000002</v>
      </c>
      <c r="P11" s="51" t="str">
        <f t="shared" si="4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-17141.215</v>
      </c>
      <c r="P12" s="51" t="str">
        <f t="shared" si="4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10819650.401999999</v>
      </c>
      <c r="E13" s="29" t="str">
        <f>+'[1](1)'!E13</f>
        <v>합계</v>
      </c>
      <c r="F13" s="61">
        <f>SUM(F4:F12)</f>
        <v>10819514</v>
      </c>
      <c r="G13" s="62"/>
      <c r="H13" s="29" t="str">
        <f t="shared" si="2"/>
        <v>합계</v>
      </c>
      <c r="I13" s="60">
        <f>SUM((I4-I5-I6-I7-I8-I9)*$I$1+I11)</f>
        <v>8663412.3920000009</v>
      </c>
      <c r="J13" s="29" t="str">
        <f t="shared" ref="J13" si="5">+E13</f>
        <v>합계</v>
      </c>
      <c r="K13" s="61">
        <f>IF(K8=0,0,SUM(K4:K12)-F8)</f>
        <v>8663740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-136.40199999883771</v>
      </c>
      <c r="G14" s="27"/>
      <c r="H14" s="27"/>
      <c r="I14" s="27"/>
      <c r="J14" s="27"/>
      <c r="K14" s="67">
        <f>SUM(K13-I13)</f>
        <v>327.60799999907613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78167.7</v>
      </c>
      <c r="P14" s="39" t="str">
        <f t="shared" si="4"/>
        <v>합계</v>
      </c>
      <c r="Q14" s="69">
        <f>SUM(Q5:Q13)</f>
        <v>19483254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191.20600000023842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119</v>
      </c>
      <c r="Q20" s="53">
        <f>SUM(P20*1000)</f>
        <v>119000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36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195</v>
      </c>
      <c r="Q28" s="69">
        <f>SUM(Q19:Q27)</f>
        <v>134000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22989</v>
      </c>
      <c r="P31" s="103">
        <v>23054</v>
      </c>
      <c r="Q31" s="104">
        <f>P31-O31</f>
        <v>65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2023-06-21T12:21:25Z</cp:lastPrinted>
  <dcterms:created xsi:type="dcterms:W3CDTF">2017-04-25T00:27:17Z</dcterms:created>
  <dcterms:modified xsi:type="dcterms:W3CDTF">2023-10-23T08:07:58Z</dcterms:modified>
</cp:coreProperties>
</file>