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4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K8" i="158" l="1"/>
  <c r="K8" i="156" l="1"/>
  <c r="K8" i="155" l="1"/>
  <c r="K8" i="144" l="1"/>
  <c r="K8" i="143" l="1"/>
  <c r="K3" i="139" l="1"/>
  <c r="K3" i="140"/>
  <c r="K3" i="141"/>
  <c r="K3" i="142"/>
  <c r="K3" i="143"/>
  <c r="K3" i="144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38"/>
  <c r="K8" i="137" l="1"/>
  <c r="K8" i="136" l="1"/>
  <c r="P3" i="135" l="1"/>
  <c r="F3" i="133" l="1"/>
  <c r="K8" i="13" l="1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44" l="1"/>
  <c r="Q28" i="150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I13" i="159" s="1"/>
  <c r="D11" i="159"/>
  <c r="D13" i="159" s="1"/>
  <c r="I24" i="158"/>
  <c r="D24" i="158"/>
  <c r="I11" i="158"/>
  <c r="I13" i="158" s="1"/>
  <c r="D11" i="158"/>
  <c r="D13" i="158" s="1"/>
  <c r="I24" i="157"/>
  <c r="D24" i="157"/>
  <c r="I11" i="157"/>
  <c r="I13" i="157" s="1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I13" i="155" s="1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1" i="148"/>
  <c r="D13" i="148" s="1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I24" i="135"/>
  <c r="D24" i="135"/>
  <c r="I11" i="135"/>
  <c r="I13" i="135" s="1"/>
  <c r="D11" i="135"/>
  <c r="D13" i="135" s="1"/>
  <c r="I24" i="134"/>
  <c r="D24" i="134"/>
  <c r="I11" i="134"/>
  <c r="I13" i="134" s="1"/>
  <c r="D11" i="134"/>
  <c r="D13" i="134" s="1"/>
  <c r="I24" i="133"/>
  <c r="D24" i="133"/>
  <c r="I11" i="133"/>
  <c r="I13" i="133" s="1"/>
  <c r="D11" i="133"/>
  <c r="D13" i="133" s="1"/>
  <c r="I24" i="132"/>
  <c r="D24" i="132"/>
  <c r="I11" i="132"/>
  <c r="I13" i="132" s="1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D13" i="1" s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<sst xmlns="http://schemas.openxmlformats.org/spreadsheetml/2006/main" count="868" uniqueCount="71">
  <si>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</si>
  <si>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</si>
  <si>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</si>
  <si>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</si>
  <si>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</si>
  <si>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</si>
  <si>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</si>
  <si>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</si>
  <si>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</si>
  <si>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</si>
  <si>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</si>
  <si>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</si>
  <si>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</si>
  <si>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</si>
  <si>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</si>
  <si>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</si>
  <si>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</si>
  <si>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</si>
  <si>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</si>
  <si>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</si>
  <si>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</si>
  <si>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</si>
  <si>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</si>
  <si>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</si>
  <si>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</si>
  <si>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</si>
  <si>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</si>
  <si>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</si>
  <si>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</si>
  <si>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</si>
  <si>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</si>
  <si>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</si>
  <si>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</si>
  <si>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</si>
  <si>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</si>
  <si>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</si>
  <si>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</si>
  <si>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</si>
  <si>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</si>
  <si>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</si>
  <si>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</si>
  <si>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</si>
  <si>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</si>
  <si>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</si>
  <si>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</si>
  <si>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</si>
  <si>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</si>
  <si>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</si>
  <si>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</si>
  <si>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</si>
  <si>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</si>
  <si>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</si>
  <si>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</si>
  <si>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</si>
  <si>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</si>
  <si>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</si>
  <si>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</si>
  <si>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</si>
  <si>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</si>
  <si>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</si>
  <si>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</si>
  <si>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</si>
  <si>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</si>
  <si>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</si>
  <si>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</si>
  <si>
    <t>충전금고</t>
    <phoneticPr fontId="1" type="noConversion"/>
  </si>
  <si>
    <t>&lt;- 세차비</t>
    <phoneticPr fontId="1" type="noConversion"/>
  </si>
  <si>
    <t>\ 398,000</t>
    <phoneticPr fontId="1" type="noConversion"/>
  </si>
  <si>
    <t>수리비</t>
    <phoneticPr fontId="1" type="noConversion"/>
  </si>
  <si>
    <t>??</t>
    <phoneticPr fontId="1" type="noConversion"/>
  </si>
  <si>
    <t>09:00~00:00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</si>
</sst>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18" fillId="0" borderId="0" xfId="0" quotePrefix="1" applyNumberFormat="1" applyFont="1" applyAlignment="1" applyProtection="1">
      <alignment horizontal="center" vertical="center"/>
      <protection locked="0"/>
    </xf>
    <xf numFmtId="176" fontId="11" fillId="2" borderId="5" xfId="0" applyNumberFormat="1" applyFont="1" applyFill="1" applyBorder="1" applyAlignment="1" applyProtection="1">
      <alignment horizontal="right" vertical="center"/>
      <protection locked="0"/>
    </xf>
    <xf numFmtId="176" fontId="4" fillId="2" borderId="0" xfId="0" applyNumberFormat="1" applyFont="1" applyFill="1" applyAlignment="1" applyProtection="1">
      <alignment horizontal="right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E2" sqref="E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9</v>
      </c>
      <c r="F1" s="24" t="str">
        <f>IF(E1&lt;1,"◀  월 입력","월")</f>
        <v>월</v>
      </c>
      <c r="G1" s="25">
        <v>1</v>
      </c>
      <c r="H1" s="26" t="s">
        <v>11</v>
      </c>
      <c r="I1" s="25">
        <v>953</v>
      </c>
      <c r="J1" s="24" t="str">
        <f>IF(I1&lt;100,"◀  단가입력","원")</f>
        <v>원</v>
      </c>
      <c r="L1" s="28">
        <f>+ROUND(+O5*0.584/1000,3)</f>
        <v>15.513999999999999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15.513999999999999</v>
      </c>
      <c r="M2" s="27" t="s">
        <v>7</v>
      </c>
      <c r="N2" s="137" t="s">
        <v>12</v>
      </c>
      <c r="O2" s="137"/>
      <c r="P2" s="137"/>
      <c r="Q2" s="137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+F3</f>
        <v>수량 및 금액</v>
      </c>
      <c r="L3" s="31">
        <f>+L2*G1</f>
        <v>15.513999999999999</v>
      </c>
      <c r="M3" s="27" t="s">
        <v>10</v>
      </c>
      <c r="N3" s="32"/>
      <c r="O3" s="32"/>
      <c r="P3" s="136" t="str">
        <f>+'(1)'!$C$1&amp;"년"&amp;'(1)'!$E$1&amp;"월"&amp;$G$1&amp;"일"</f>
        <v>2023년9월1일</v>
      </c>
      <c r="Q3" s="136"/>
      <c r="R3" s="33"/>
    </row>
    <row r="4" spans="3:25" ht="16.5" customHeight="1" thickBot="1">
      <c r="C4" s="34" t="s">
        <v>15</v>
      </c>
      <c r="D4" s="35">
        <v>7346.7569999999996</v>
      </c>
      <c r="E4" s="34" t="str">
        <f>+'[1](1)'!E4</f>
        <v>고액권</v>
      </c>
      <c r="F4" s="36">
        <v>50000</v>
      </c>
      <c r="H4" s="93" t="str">
        <f>+C4</f>
        <v>판매량</v>
      </c>
      <c r="I4" s="35">
        <v>10517.39</v>
      </c>
      <c r="J4" s="42" t="str">
        <f>+'[1](1)'!J4</f>
        <v>고액권</v>
      </c>
      <c r="K4" s="36">
        <v>135000</v>
      </c>
      <c r="M4" s="38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40">
        <v>22623</v>
      </c>
      <c r="S4" s="41" t="s">
        <v>17</v>
      </c>
      <c r="T4" s="27">
        <v>43642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1000</v>
      </c>
      <c r="H5" s="94" t="str">
        <f>+C5</f>
        <v>법인전표</v>
      </c>
      <c r="I5" s="43"/>
      <c r="J5" s="42" t="str">
        <f>+'[1](1)'!J5</f>
        <v>천원권</v>
      </c>
      <c r="K5" s="44">
        <v>2000</v>
      </c>
      <c r="M5" s="38"/>
      <c r="N5" s="45" t="str">
        <f>+C4</f>
        <v>판매량</v>
      </c>
      <c r="O5" s="46">
        <f>SUM(D4+I4+D17+I17+D35+I35)</f>
        <v>26564.679999999997</v>
      </c>
      <c r="P5" s="47" t="str">
        <f>+E4</f>
        <v>고액권</v>
      </c>
      <c r="Q5" s="48">
        <f>SUM(F4+K4+F17+K17+F35+K35)</f>
        <v>415000</v>
      </c>
      <c r="R5" s="49">
        <v>32</v>
      </c>
      <c r="S5" s="41" t="s">
        <v>20</v>
      </c>
      <c r="T5" s="27">
        <v>32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0">+C6</f>
        <v>외상전표</v>
      </c>
      <c r="I6" s="50">
        <v>285.60199999999998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49">
        <v>2.9</v>
      </c>
      <c r="S6" s="41" t="s">
        <v>23</v>
      </c>
      <c r="T6" s="130">
        <v>2.7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0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1">+C6</f>
        <v>외상전표</v>
      </c>
      <c r="O7" s="54">
        <f>SUM(D6+I6+D19+I19+D37+I37)</f>
        <v>285.60199999999998</v>
      </c>
      <c r="P7" s="106" t="str">
        <f t="shared" ref="P7:P14" si="2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6884611</v>
      </c>
      <c r="H8" s="94" t="str">
        <f t="shared" si="0"/>
        <v>자가소비</v>
      </c>
      <c r="I8" s="50"/>
      <c r="J8" s="42" t="str">
        <f>+'[1](1)'!J8</f>
        <v>신용카드</v>
      </c>
      <c r="K8" s="44">
        <v>16493569</v>
      </c>
      <c r="M8" s="38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0"/>
        <v>-</v>
      </c>
      <c r="I9" s="50"/>
      <c r="J9" s="42" t="str">
        <f>+'[1](1)'!J9</f>
        <v>상품권</v>
      </c>
      <c r="K9" s="44"/>
      <c r="M9" s="38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24544208</v>
      </c>
      <c r="R9" s="40"/>
    </row>
    <row r="10" spans="3:25" ht="16.5" customHeight="1">
      <c r="C10" s="42" t="s">
        <v>49</v>
      </c>
      <c r="D10" s="50">
        <v>55.744999999999997</v>
      </c>
      <c r="E10" s="42" t="str">
        <f>+'[1](1)'!E10</f>
        <v>OK케시백</v>
      </c>
      <c r="F10" s="44">
        <v>61036</v>
      </c>
      <c r="H10" s="94" t="str">
        <f t="shared" si="0"/>
        <v>고객우대</v>
      </c>
      <c r="I10" s="50">
        <v>109.9</v>
      </c>
      <c r="J10" s="42" t="str">
        <f>+'[1](1)'!J10</f>
        <v>OK케시백</v>
      </c>
      <c r="K10" s="44"/>
      <c r="M10" s="38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-1951.0749999999998</v>
      </c>
      <c r="E11" s="42" t="str">
        <f>+'[1](1)'!E11</f>
        <v>모바일</v>
      </c>
      <c r="F11" s="44"/>
      <c r="H11" s="94" t="str">
        <f t="shared" si="0"/>
        <v>-</v>
      </c>
      <c r="I11" s="55">
        <f>SUM(I10*-35)</f>
        <v>-3846.5</v>
      </c>
      <c r="J11" s="56" t="str">
        <f>+'[1](1)'!J11</f>
        <v>모바일</v>
      </c>
      <c r="K11" s="44"/>
      <c r="M11" s="38"/>
      <c r="N11" s="51" t="str">
        <f t="shared" si="1"/>
        <v>고객우대</v>
      </c>
      <c r="O11" s="54">
        <f>SUM(D10+I10+D23+I23+D41+I41)</f>
        <v>376.22699999999998</v>
      </c>
      <c r="P11" s="51" t="str">
        <f t="shared" si="2"/>
        <v>OK케시백</v>
      </c>
      <c r="Q11" s="53">
        <f>SUM(F10+K10+F23+K23+F41+K41)</f>
        <v>61036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0"/>
        <v>-</v>
      </c>
      <c r="I12" s="57"/>
      <c r="J12" s="29" t="str">
        <f>+'[1](1)'!J12</f>
        <v>제로페이</v>
      </c>
      <c r="K12" s="58"/>
      <c r="M12" s="38"/>
      <c r="N12" s="51" t="str">
        <f t="shared" si="1"/>
        <v>-</v>
      </c>
      <c r="O12" s="52">
        <f>SUM(O11*-35)</f>
        <v>-13167.945</v>
      </c>
      <c r="P12" s="51" t="str">
        <f t="shared" si="2"/>
        <v>모바일</v>
      </c>
      <c r="Q12" s="53">
        <f>SUM(F11+K11+F24+K24+F42+K42)</f>
        <v>0</v>
      </c>
      <c r="R12" s="40"/>
    </row>
    <row r="13" spans="3:25" ht="16.5" customHeight="1" thickBot="1">
      <c r="C13" s="59" t="s">
        <v>33</v>
      </c>
      <c r="D13" s="60">
        <f>SUM((D4-D5-D6-D7-D8-D9)*$I$1+D11)</f>
        <v>6999508.3459999999</v>
      </c>
      <c r="E13" s="29" t="str">
        <f>+'[1](1)'!E13</f>
        <v>합계</v>
      </c>
      <c r="F13" s="61">
        <f>SUM(F4:F12)</f>
        <v>6996647</v>
      </c>
      <c r="G13" s="62"/>
      <c r="H13" s="92" t="str">
        <f t="shared" si="0"/>
        <v>합계</v>
      </c>
      <c r="I13" s="60">
        <f>SUM((I4-I5-I6-I7-I8-I9)*$I$1+I11)</f>
        <v>9747047.4639999978</v>
      </c>
      <c r="J13" s="29" t="str">
        <f>+E13</f>
        <v>합계</v>
      </c>
      <c r="K13" s="61">
        <f>IF(K8=0,0,SUM(K4:K12)-F8)</f>
        <v>9745958</v>
      </c>
      <c r="M13" s="38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-2861.3459999999031</v>
      </c>
      <c r="K14" s="67">
        <f>SUM(K13-I13)</f>
        <v>-1089.4639999978244</v>
      </c>
      <c r="N14" s="39" t="str">
        <f t="shared" si="1"/>
        <v>합계</v>
      </c>
      <c r="O14" s="68">
        <f>SUM((O5-O6-O7-O8-O9-O10)*+$I$1+O12)</f>
        <v>25030793.388999999</v>
      </c>
      <c r="P14" s="39" t="str">
        <f t="shared" si="2"/>
        <v>합계</v>
      </c>
      <c r="Q14" s="69">
        <f>SUM(Q5:Q13)</f>
        <v>25026244</v>
      </c>
    </row>
    <row r="15" spans="3:25" ht="16.5" customHeight="1" thickBot="1">
      <c r="C15" s="27">
        <v>3</v>
      </c>
      <c r="H15" s="27">
        <v>4</v>
      </c>
      <c r="Q15" s="70">
        <f>SUM(F14+K14+F27+K27)</f>
        <v>-4549.3889999967068</v>
      </c>
    </row>
    <row r="16" spans="3:25" ht="16.5" customHeight="1" thickBot="1">
      <c r="C16" s="96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8700.5329999999994</v>
      </c>
      <c r="E17" s="34" t="str">
        <f>+E4</f>
        <v>고액권</v>
      </c>
      <c r="F17" s="36">
        <v>230000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3000</v>
      </c>
      <c r="H18" s="94" t="str">
        <f>+C5</f>
        <v>법인전표</v>
      </c>
      <c r="I18" s="43"/>
      <c r="J18" s="42" t="str">
        <f>+E5</f>
        <v>천원권</v>
      </c>
      <c r="K18" s="44"/>
      <c r="N18" s="134" t="s">
        <v>34</v>
      </c>
      <c r="O18" s="147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3">+C6</f>
        <v>외상전표</v>
      </c>
      <c r="D19" s="50">
        <v>0</v>
      </c>
      <c r="E19" s="105" t="str">
        <f t="shared" ref="E19:E26" si="4">+E6</f>
        <v>블루/레드포인트</v>
      </c>
      <c r="F19" s="44"/>
      <c r="H19" s="94" t="str">
        <f t="shared" ref="H19:H26" si="5">+C6</f>
        <v>외상전표</v>
      </c>
      <c r="I19" s="50"/>
      <c r="J19" s="105" t="str">
        <f t="shared" ref="J19:J26" si="6">+E6</f>
        <v>블루/레드포인트</v>
      </c>
      <c r="K19" s="44"/>
      <c r="N19" s="138" t="s">
        <v>37</v>
      </c>
      <c r="O19" s="139"/>
      <c r="P19" s="117">
        <v>14</v>
      </c>
      <c r="Q19" s="48">
        <f>SUM(P19*1000)</f>
        <v>14000</v>
      </c>
      <c r="R19" s="32"/>
      <c r="S19" s="32"/>
    </row>
    <row r="20" spans="3:19" ht="16.5" customHeight="1">
      <c r="C20" s="94" t="str">
        <f t="shared" si="3"/>
        <v>효신(업)</v>
      </c>
      <c r="D20" s="50"/>
      <c r="E20" s="42" t="str">
        <f t="shared" si="4"/>
        <v>롯대칠성</v>
      </c>
      <c r="F20" s="107"/>
      <c r="G20" s="108"/>
      <c r="H20" s="109" t="str">
        <f t="shared" si="5"/>
        <v>효신(업)</v>
      </c>
      <c r="I20" s="110"/>
      <c r="J20" s="42" t="str">
        <f t="shared" si="6"/>
        <v>롯대칠성</v>
      </c>
      <c r="K20" s="44"/>
      <c r="N20" s="144" t="s">
        <v>38</v>
      </c>
      <c r="O20" s="145"/>
      <c r="P20" s="118">
        <v>97</v>
      </c>
      <c r="Q20" s="53">
        <f>SUM(P20*1000)</f>
        <v>97000</v>
      </c>
      <c r="R20" s="32"/>
      <c r="S20" s="32"/>
    </row>
    <row r="21" spans="3:19" ht="16.5" customHeight="1">
      <c r="C21" s="94" t="str">
        <f t="shared" si="3"/>
        <v>자가소비</v>
      </c>
      <c r="D21" s="50"/>
      <c r="E21" s="42" t="str">
        <f t="shared" si="4"/>
        <v>신용카드</v>
      </c>
      <c r="F21" s="44">
        <v>24544208</v>
      </c>
      <c r="H21" s="94" t="str">
        <f t="shared" si="5"/>
        <v>자가소비</v>
      </c>
      <c r="I21" s="50"/>
      <c r="J21" s="42" t="str">
        <f t="shared" si="6"/>
        <v>신용카드</v>
      </c>
      <c r="K21" s="44"/>
      <c r="N21" s="144" t="s">
        <v>56</v>
      </c>
      <c r="O21" s="145"/>
      <c r="P21" s="118">
        <v>6</v>
      </c>
      <c r="Q21" s="53"/>
      <c r="R21" s="32"/>
      <c r="S21" s="32"/>
    </row>
    <row r="22" spans="3:19" ht="16.5" customHeight="1">
      <c r="C22" s="94" t="str">
        <f t="shared" si="3"/>
        <v>-</v>
      </c>
      <c r="D22" s="50"/>
      <c r="E22" s="42" t="str">
        <f t="shared" si="4"/>
        <v>상품권</v>
      </c>
      <c r="F22" s="44"/>
      <c r="H22" s="94" t="str">
        <f t="shared" si="5"/>
        <v>-</v>
      </c>
      <c r="I22" s="50"/>
      <c r="J22" s="42" t="str">
        <f t="shared" si="6"/>
        <v>상품권</v>
      </c>
      <c r="K22" s="44"/>
      <c r="N22" s="146" t="s">
        <v>58</v>
      </c>
      <c r="O22" s="141"/>
      <c r="P22" s="118">
        <v>22</v>
      </c>
      <c r="Q22" s="53"/>
      <c r="R22" s="32"/>
      <c r="S22" s="32"/>
    </row>
    <row r="23" spans="3:19" ht="16.5" customHeight="1">
      <c r="C23" s="94" t="str">
        <f t="shared" si="3"/>
        <v>고객우대</v>
      </c>
      <c r="D23" s="50">
        <v>210.58199999999999</v>
      </c>
      <c r="E23" s="42" t="str">
        <f t="shared" si="4"/>
        <v>OK케시백</v>
      </c>
      <c r="F23" s="44"/>
      <c r="H23" s="94" t="str">
        <f t="shared" si="5"/>
        <v>고객우대</v>
      </c>
      <c r="I23" s="50"/>
      <c r="J23" s="42" t="str">
        <f t="shared" si="6"/>
        <v>OK케시백</v>
      </c>
      <c r="K23" s="44"/>
      <c r="N23" s="140" t="s">
        <v>60</v>
      </c>
      <c r="O23" s="141"/>
      <c r="P23" s="118">
        <v>10</v>
      </c>
      <c r="Q23" s="53"/>
      <c r="R23" s="32"/>
      <c r="S23" s="32"/>
    </row>
    <row r="24" spans="3:19" ht="16.5" customHeight="1">
      <c r="C24" s="94" t="str">
        <f t="shared" si="3"/>
        <v>-</v>
      </c>
      <c r="D24" s="55">
        <f>SUM(D23*-35)</f>
        <v>-7370.37</v>
      </c>
      <c r="E24" s="42" t="str">
        <f t="shared" si="4"/>
        <v>모바일</v>
      </c>
      <c r="F24" s="44"/>
      <c r="H24" s="94" t="str">
        <f t="shared" si="5"/>
        <v>-</v>
      </c>
      <c r="I24" s="55">
        <f>SUM(I23*-35)</f>
        <v>0</v>
      </c>
      <c r="J24" s="42" t="str">
        <f t="shared" si="6"/>
        <v>모바일</v>
      </c>
      <c r="K24" s="44"/>
      <c r="N24" s="140" t="s">
        <v>63</v>
      </c>
      <c r="O24" s="141"/>
      <c r="P24" s="118">
        <v>12</v>
      </c>
      <c r="Q24" s="53"/>
      <c r="R24" s="32"/>
      <c r="S24" s="32"/>
    </row>
    <row r="25" spans="3:19" ht="16.5" customHeight="1" thickBot="1">
      <c r="C25" s="95" t="str">
        <f t="shared" si="3"/>
        <v>-</v>
      </c>
      <c r="D25" s="57"/>
      <c r="E25" s="56" t="str">
        <f t="shared" si="4"/>
        <v>제로페이</v>
      </c>
      <c r="F25" s="58"/>
      <c r="H25" s="95" t="str">
        <f t="shared" si="5"/>
        <v>-</v>
      </c>
      <c r="I25" s="57"/>
      <c r="J25" s="56" t="str">
        <f t="shared" si="6"/>
        <v>제로페이</v>
      </c>
      <c r="K25" s="58"/>
      <c r="N25" s="140"/>
      <c r="O25" s="141"/>
      <c r="P25" s="118"/>
      <c r="Q25" s="125"/>
      <c r="R25" s="32"/>
      <c r="S25" s="32"/>
    </row>
    <row r="26" spans="3:19" ht="16.5" customHeight="1" thickBot="1">
      <c r="C26" s="92" t="str">
        <f t="shared" si="3"/>
        <v>합계</v>
      </c>
      <c r="D26" s="60">
        <f>SUM((D17-D18-D19-D20-D21-D22)*$I$1+D24)</f>
        <v>8284237.578999999</v>
      </c>
      <c r="E26" s="29" t="str">
        <f t="shared" si="4"/>
        <v>합계</v>
      </c>
      <c r="F26" s="61">
        <f>IF(F21=0,0,SUM(F17:F25)-K8)</f>
        <v>8283639</v>
      </c>
      <c r="G26" s="62"/>
      <c r="H26" s="92" t="str">
        <f t="shared" si="5"/>
        <v>합계</v>
      </c>
      <c r="I26" s="60">
        <f>SUM((I17-I18-I19-I20-I21-I22)*$I$1+I24)</f>
        <v>0</v>
      </c>
      <c r="J26" s="29" t="str">
        <f t="shared" si="6"/>
        <v>합계</v>
      </c>
      <c r="K26" s="61">
        <f>IF(K21=0,0,SUM(K17:K25)-F26)</f>
        <v>0</v>
      </c>
      <c r="N26" s="140"/>
      <c r="O26" s="141"/>
      <c r="P26" s="72"/>
      <c r="Q26" s="113"/>
      <c r="R26" s="32"/>
      <c r="S26" s="32"/>
    </row>
    <row r="27" spans="3:19" ht="15.75" customHeight="1" thickBot="1">
      <c r="F27" s="67">
        <f>SUM(F26-D26)</f>
        <v>-598.57899999897927</v>
      </c>
      <c r="K27" s="67">
        <f>SUM(K26-I26)</f>
        <v>0</v>
      </c>
      <c r="N27" s="142" t="s">
        <v>39</v>
      </c>
      <c r="O27" s="143"/>
      <c r="P27" s="119">
        <f>+P28-SUM(P19:P26)</f>
        <v>-18</v>
      </c>
      <c r="Q27" s="73"/>
    </row>
    <row r="28" spans="3:19" ht="23.25" customHeight="1" thickBot="1">
      <c r="F28" s="67"/>
      <c r="K28" s="67"/>
      <c r="N28" s="134" t="s">
        <v>40</v>
      </c>
      <c r="O28" s="135"/>
      <c r="P28" s="120">
        <v>143</v>
      </c>
      <c r="Q28" s="69">
        <f>SUM(Q19:Q27)</f>
        <v>111000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25872</v>
      </c>
      <c r="P31" s="103">
        <v>25930</v>
      </c>
      <c r="Q31" s="104">
        <f>P31-O31</f>
        <v>58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2">
        <f>+ROUND(+O5*0.584/1000,3)</f>
        <v>7.5490000000000004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10.583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105.83</v>
      </c>
      <c r="M3" s="18" t="s">
        <v>10</v>
      </c>
      <c r="N3" s="3"/>
      <c r="O3" s="3"/>
      <c r="P3" s="149" t="str">
        <f>+'(1)'!C1&amp;"년"&amp;'(1)'!E1&amp;"월"&amp;C1&amp;"일"</f>
        <v>2023년9월10일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8140.1729999999998</v>
      </c>
      <c r="E4" s="34" t="str">
        <f>+'[1](1)'!E4</f>
        <v>고액권</v>
      </c>
      <c r="F4" s="36">
        <v>290000</v>
      </c>
      <c r="G4" s="27"/>
      <c r="H4" s="34" t="str">
        <f>+C4</f>
        <v>판매량</v>
      </c>
      <c r="I4" s="35">
        <v>4786.7820000000002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43041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12926.955</v>
      </c>
      <c r="P5" s="47" t="str">
        <f>+E4</f>
        <v>고액권</v>
      </c>
      <c r="Q5" s="48">
        <f>SUM(F4+K4+F17+K17+F35+K35)</f>
        <v>390000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0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7451182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11903438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11903438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54.978999999999999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110.26900000000001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-1924.2649999999999</v>
      </c>
      <c r="E11" s="42" t="str">
        <f>+'[1](1)'!E11</f>
        <v>모바일</v>
      </c>
      <c r="F11" s="44">
        <v>10000</v>
      </c>
      <c r="G11" s="27"/>
      <c r="H11" s="83" t="str">
        <f t="shared" si="0"/>
        <v>-</v>
      </c>
      <c r="I11" s="55">
        <f>SUM(I10*-35)</f>
        <v>-3859.415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1"/>
        <v>고객우대</v>
      </c>
      <c r="O11" s="54">
        <f>SUM(D10+I10+D23+I23+D41+I41)</f>
        <v>165.24799999999999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-5783.6799999999994</v>
      </c>
      <c r="P12" s="51" t="str">
        <f t="shared" si="2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7755660.6040000003</v>
      </c>
      <c r="E13" s="29" t="str">
        <f>+'[1](1)'!E13</f>
        <v>합계</v>
      </c>
      <c r="F13" s="61">
        <f>SUM(F4:F12)</f>
        <v>7755182</v>
      </c>
      <c r="G13" s="62"/>
      <c r="H13" s="29" t="str">
        <f t="shared" si="0"/>
        <v>합계</v>
      </c>
      <c r="I13" s="60">
        <f>SUM((I4-I5-I6-I7-I8-I9)*$I$1+I11)</f>
        <v>4557943.8310000002</v>
      </c>
      <c r="J13" s="29" t="str">
        <f>+E13</f>
        <v>합계</v>
      </c>
      <c r="K13" s="61">
        <f>IF(K8=0,0,SUM(K4:K12)-F8)</f>
        <v>4559256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-478.60400000028312</v>
      </c>
      <c r="G14" s="27"/>
      <c r="H14" s="27"/>
      <c r="I14" s="27"/>
      <c r="J14" s="27"/>
      <c r="K14" s="67">
        <f>SUM(K13-I13)</f>
        <v>1312.1689999997616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110558.91500000001</v>
      </c>
      <c r="P14" s="39" t="str">
        <f t="shared" si="2"/>
        <v>합계</v>
      </c>
      <c r="Q14" s="69">
        <f>SUM(Q5:Q13)</f>
        <v>12314438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833.56499999947846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74</v>
      </c>
      <c r="Q20" s="53">
        <f>SUM(P20*1000)</f>
        <v>74000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94</v>
      </c>
      <c r="Q28" s="69">
        <f>SUM(Q19:Q27)</f>
        <v>79000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26289</v>
      </c>
      <c r="P31" s="103">
        <v>26342</v>
      </c>
      <c r="Q31" s="104">
        <f>P31-O31</f>
        <v>53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10.79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10.602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116.622</v>
      </c>
      <c r="M3" s="18" t="s">
        <v>10</v>
      </c>
      <c r="N3" s="3"/>
      <c r="O3" s="3"/>
      <c r="P3" s="149" t="str">
        <f>+'(1)'!C1&amp;"년"&amp;'(1)'!E1&amp;"월"&amp;C1&amp;"일"</f>
        <v>2023년9월11일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10557.386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7917.8339999999998</v>
      </c>
      <c r="J4" s="42" t="str">
        <f>+'[1](1)'!J4</f>
        <v>고액권</v>
      </c>
      <c r="K4" s="36">
        <v>135000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23135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18475.22</v>
      </c>
      <c r="P5" s="47" t="str">
        <f>+E4</f>
        <v>고액권</v>
      </c>
      <c r="Q5" s="48">
        <f>SUM(F4+K4+F17+K17+F35+K35)</f>
        <v>220000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331.14699999999999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331.14699999999999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49.094999999999999</v>
      </c>
      <c r="E8" s="42" t="str">
        <f>+'[1](1)'!E8</f>
        <v>신용카드</v>
      </c>
      <c r="F8" s="44">
        <v>9542690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16950509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49.094999999999999</v>
      </c>
      <c r="P9" s="51" t="str">
        <f t="shared" si="2"/>
        <v>신용카드</v>
      </c>
      <c r="Q9" s="53">
        <f>IF(K8=0,F8,IF(F21=0,K8,IF(K21=0,F21,K21)))</f>
        <v>16950509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242.02199999999999</v>
      </c>
      <c r="E10" s="42" t="str">
        <f>+'[1](1)'!E10</f>
        <v>OK케시백</v>
      </c>
      <c r="F10" s="44">
        <v>4000</v>
      </c>
      <c r="G10" s="27"/>
      <c r="H10" s="42" t="str">
        <f t="shared" si="0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-8470.77</v>
      </c>
      <c r="E11" s="42" t="str">
        <f>+'[1](1)'!E11</f>
        <v>모바일</v>
      </c>
      <c r="F11" s="44">
        <v>55000</v>
      </c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242.02199999999999</v>
      </c>
      <c r="P11" s="51" t="str">
        <f t="shared" si="2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-8470.77</v>
      </c>
      <c r="P12" s="51" t="str">
        <f t="shared" si="2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9690347.4620000012</v>
      </c>
      <c r="E13" s="29" t="str">
        <f>+'[1](1)'!E13</f>
        <v>합계</v>
      </c>
      <c r="F13" s="61">
        <f>SUM(F4:F12)</f>
        <v>9690690</v>
      </c>
      <c r="G13" s="62"/>
      <c r="H13" s="29" t="str">
        <f t="shared" si="0"/>
        <v>합계</v>
      </c>
      <c r="I13" s="60">
        <f>SUM((I4-I5-I6-I7-I8-I9)*$I$1+I11)</f>
        <v>7545695.8020000001</v>
      </c>
      <c r="J13" s="29" t="str">
        <f>+E13</f>
        <v>합계</v>
      </c>
      <c r="K13" s="61">
        <f>IF(K8=0,0,SUM(K4:K12)-F8)</f>
        <v>7544819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342.5379999987781</v>
      </c>
      <c r="G14" s="27"/>
      <c r="H14" s="27"/>
      <c r="I14" s="27"/>
      <c r="J14" s="27"/>
      <c r="K14" s="67">
        <f>SUM(K13-I13)</f>
        <v>-876.80200000014156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154384.03200000001</v>
      </c>
      <c r="P14" s="39" t="str">
        <f t="shared" si="2"/>
        <v>합계</v>
      </c>
      <c r="Q14" s="69">
        <f>SUM(Q5:Q13)</f>
        <v>17235509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-534.26400000136346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70</v>
      </c>
      <c r="Q20" s="53">
        <f>SUM(P20*1000)</f>
        <v>70000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131</v>
      </c>
      <c r="Q28" s="69">
        <f>SUM(Q19:Q27)</f>
        <v>87000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26342</v>
      </c>
      <c r="P31" s="103">
        <v>26387</v>
      </c>
      <c r="Q31" s="104">
        <f>P31-O31</f>
        <v>45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10.646000000000001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10.606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127.27199999999999</v>
      </c>
      <c r="M3" s="18" t="s">
        <v>10</v>
      </c>
      <c r="N3" s="3"/>
      <c r="O3" s="3"/>
      <c r="P3" s="149" t="str">
        <f>+'(1)'!C1&amp;"년"&amp;'(1)'!E1&amp;"월"&amp;C1&amp;"일"</f>
        <v>2023년9월12일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10084.907999999999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8145.03</v>
      </c>
      <c r="J4" s="42" t="str">
        <f>+'[1](1)'!J4</f>
        <v>고액권</v>
      </c>
      <c r="K4" s="36">
        <v>80000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41007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18229.937999999998</v>
      </c>
      <c r="P5" s="47" t="str">
        <f>+E4</f>
        <v>고액권</v>
      </c>
      <c r="Q5" s="48">
        <f>SUM(F4+K4+F17+K17+F35+K35)</f>
        <v>230000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349.20800000000003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523</v>
      </c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349.20800000000003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9065003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16687198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523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16687198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277.22300000000001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54.728000000000002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-9702.8050000000003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-1915.48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1"/>
        <v>고객우대</v>
      </c>
      <c r="O11" s="54">
        <f>SUM(D10+I10+D23+I23+D41+I41)</f>
        <v>331.95100000000002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49574</v>
      </c>
      <c r="G12" s="27"/>
      <c r="H12" s="84" t="str">
        <f t="shared" si="0"/>
        <v>-</v>
      </c>
      <c r="I12" s="57"/>
      <c r="J12" s="29" t="str">
        <f>+'[1](1)'!J12</f>
        <v>제로페이</v>
      </c>
      <c r="K12" s="58">
        <v>52943</v>
      </c>
      <c r="L12" s="2"/>
      <c r="M12" s="20"/>
      <c r="N12" s="51" t="str">
        <f t="shared" si="1"/>
        <v>-</v>
      </c>
      <c r="O12" s="55">
        <f>SUM(O11*-35)</f>
        <v>-11618.285</v>
      </c>
      <c r="P12" s="51" t="str">
        <f t="shared" si="2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9268419.2949999999</v>
      </c>
      <c r="E13" s="29" t="str">
        <f>+'[1](1)'!E13</f>
        <v>합계</v>
      </c>
      <c r="F13" s="61">
        <f>SUM(F4:F12)</f>
        <v>9268100</v>
      </c>
      <c r="G13" s="62"/>
      <c r="H13" s="29" t="str">
        <f t="shared" si="0"/>
        <v>합계</v>
      </c>
      <c r="I13" s="60">
        <f>SUM((I4-I5-I6-I7-I8-I9)*$I$1+I11)</f>
        <v>7760298.1099999994</v>
      </c>
      <c r="J13" s="29" t="str">
        <f>+E13</f>
        <v>합계</v>
      </c>
      <c r="K13" s="61">
        <f>IF(K8=0,0,SUM(K4:K12)-F8)</f>
        <v>7760138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102517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-319.29499999992549</v>
      </c>
      <c r="G14" s="27"/>
      <c r="H14" s="27"/>
      <c r="I14" s="27"/>
      <c r="J14" s="27"/>
      <c r="K14" s="67">
        <f>SUM(K13-I13)</f>
        <v>-160.10999999940395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149308.285</v>
      </c>
      <c r="P14" s="39" t="str">
        <f t="shared" si="2"/>
        <v>합계</v>
      </c>
      <c r="Q14" s="69">
        <f>SUM(Q5:Q13)</f>
        <v>17028238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-479.40499999932945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60</v>
      </c>
      <c r="Q20" s="53">
        <f>SUM(P20*1000)</f>
        <v>60000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106</v>
      </c>
      <c r="Q28" s="69">
        <f>SUM(Q19:Q27)</f>
        <v>76000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26387</v>
      </c>
      <c r="P31" s="103">
        <v>26426</v>
      </c>
      <c r="Q31" s="104">
        <f>P31-O31</f>
        <v>39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2023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11.007999999999999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10.606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21455.937999999998</v>
      </c>
      <c r="M3" s="18" t="s">
        <v>10</v>
      </c>
      <c r="N3" s="3"/>
      <c r="O3" s="3"/>
      <c r="P3" s="149" t="str">
        <f>+'(1)'!C1&amp;"년"&amp;'(1)'!E1&amp;"월"&amp;C1&amp;"일"</f>
        <v>2023년9월2023일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10753.12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8095.6750000000002</v>
      </c>
      <c r="J4" s="42" t="str">
        <f>+'[1](1)'!J4</f>
        <v>고액권</v>
      </c>
      <c r="K4" s="36">
        <v>135000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20768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18848.795000000002</v>
      </c>
      <c r="P5" s="47" t="str">
        <f>+E4</f>
        <v>고액권</v>
      </c>
      <c r="Q5" s="48">
        <f>SUM(F4+K4+F17+K17+F35+K35)</f>
        <v>235000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269.15300000000002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36.247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305.40000000000003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9826692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17363576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17363576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365.19600000000003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153.846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-12781.86</v>
      </c>
      <c r="E11" s="42" t="str">
        <f>+'[1](1)'!E11</f>
        <v>모바일</v>
      </c>
      <c r="F11" s="44">
        <v>50000</v>
      </c>
      <c r="G11" s="27"/>
      <c r="H11" s="83" t="str">
        <f t="shared" si="0"/>
        <v>-</v>
      </c>
      <c r="I11" s="55">
        <f>SUM(I10*-35)</f>
        <v>-5384.6100000000006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519.04200000000003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-18166.47</v>
      </c>
      <c r="P12" s="51" t="str">
        <f t="shared" si="2"/>
        <v>모바일</v>
      </c>
      <c r="Q12" s="53">
        <f>SUM(F11+K11+F24+K24+F42+K42)</f>
        <v>50000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9978438.6910000015</v>
      </c>
      <c r="E13" s="29" t="str">
        <f>+'[1](1)'!E13</f>
        <v>합계</v>
      </c>
      <c r="F13" s="61">
        <f>SUM(F4:F12)</f>
        <v>9978692</v>
      </c>
      <c r="G13" s="62"/>
      <c r="H13" s="29" t="str">
        <f t="shared" si="0"/>
        <v>합계</v>
      </c>
      <c r="I13" s="60">
        <f>SUM((I4-I5-I6-I7-I8-I9)*$I$1+I11)</f>
        <v>7675250.2739999993</v>
      </c>
      <c r="J13" s="29" t="str">
        <f>+E13</f>
        <v>합계</v>
      </c>
      <c r="K13" s="61">
        <f>IF(K8=0,0,SUM(K4:K12)-F8)</f>
        <v>7673884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253.30899999849498</v>
      </c>
      <c r="G14" s="27"/>
      <c r="H14" s="27"/>
      <c r="I14" s="27"/>
      <c r="J14" s="27"/>
      <c r="K14" s="67">
        <f>SUM(K13-I13)</f>
        <v>-1366.2739999992773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148724.08499999999</v>
      </c>
      <c r="P14" s="39" t="str">
        <f t="shared" si="2"/>
        <v>합계</v>
      </c>
      <c r="Q14" s="69">
        <f>SUM(Q5:Q13)</f>
        <v>17652576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-1112.9650000007823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2</v>
      </c>
      <c r="Q20" s="53">
        <f>SUM(P20*1000)</f>
        <v>2000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/>
      <c r="Q28" s="69">
        <f>SUM(Q19:Q27)</f>
        <v>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26426</v>
      </c>
      <c r="P31" s="103">
        <v>26427</v>
      </c>
      <c r="Q31" s="104">
        <f>P31-O31</f>
        <v>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C2" sqref="C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10.949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10.631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148.834</v>
      </c>
      <c r="M3" s="18" t="s">
        <v>10</v>
      </c>
      <c r="N3" s="3"/>
      <c r="O3" s="3"/>
      <c r="P3" s="149" t="str">
        <f>+'(1)'!C1&amp;"년"&amp;'(1)'!E1&amp;"월"&amp;C1&amp;"일"</f>
        <v>2023년9월14일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9473.9879999999994</v>
      </c>
      <c r="E4" s="34" t="str">
        <f>+'[1](1)'!E4</f>
        <v>고액권</v>
      </c>
      <c r="F4" s="36">
        <v>30000</v>
      </c>
      <c r="G4" s="27"/>
      <c r="H4" s="34" t="str">
        <f>+C4</f>
        <v>판매량</v>
      </c>
      <c r="I4" s="35">
        <v>9273.51</v>
      </c>
      <c r="J4" s="42" t="str">
        <f>+'[1](1)'!J4</f>
        <v>고액권</v>
      </c>
      <c r="K4" s="36">
        <v>270000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37953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18747.498</v>
      </c>
      <c r="P5" s="47" t="str">
        <f>+E4</f>
        <v>고액권</v>
      </c>
      <c r="Q5" s="48">
        <f>SUM(F4+K4+F17+K17+F35+K35)</f>
        <v>300000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288.91000000000003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36.378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325.28800000000001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8714116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17232985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17232985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168.452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57.161000000000001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-5895.82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-2000.635</v>
      </c>
      <c r="J11" s="56" t="str">
        <f>+'[1](1)'!J11</f>
        <v>모바일</v>
      </c>
      <c r="K11" s="44">
        <v>9000</v>
      </c>
      <c r="L11" s="2"/>
      <c r="M11" s="20"/>
      <c r="N11" s="51" t="str">
        <f t="shared" si="1"/>
        <v>고객우대</v>
      </c>
      <c r="O11" s="54">
        <f>SUM(D10+I10+D23+I23+D41+I41)</f>
        <v>225.613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-7896.4549999999999</v>
      </c>
      <c r="P12" s="51" t="str">
        <f t="shared" si="2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8747483.5139999986</v>
      </c>
      <c r="E13" s="29" t="str">
        <f>+'[1](1)'!E13</f>
        <v>합계</v>
      </c>
      <c r="F13" s="61">
        <f>SUM(F4:F12)</f>
        <v>8748116</v>
      </c>
      <c r="G13" s="62"/>
      <c r="H13" s="29" t="str">
        <f t="shared" si="0"/>
        <v>합계</v>
      </c>
      <c r="I13" s="60">
        <f>SUM((I4-I5-I6-I7-I8-I9)*$I$1+I11)</f>
        <v>8800986.1610000003</v>
      </c>
      <c r="J13" s="29" t="str">
        <f>+E13</f>
        <v>합계</v>
      </c>
      <c r="K13" s="61">
        <f>IF(K8=0,0,SUM(K4:K12)-F8)</f>
        <v>8799869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632.48600000143051</v>
      </c>
      <c r="G14" s="27"/>
      <c r="H14" s="27"/>
      <c r="I14" s="27"/>
      <c r="J14" s="27"/>
      <c r="K14" s="67">
        <f>SUM(K13-I13)</f>
        <v>-1117.1610000003129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157903.435</v>
      </c>
      <c r="P14" s="39" t="str">
        <f t="shared" si="2"/>
        <v>합계</v>
      </c>
      <c r="Q14" s="69">
        <f>SUM(Q5:Q13)</f>
        <v>17547985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-484.67499999888241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48</v>
      </c>
      <c r="Q20" s="53">
        <f>SUM(P20*1000)</f>
        <v>48000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105</v>
      </c>
      <c r="Q28" s="69">
        <f>SUM(Q19:Q27)</f>
        <v>57000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26427</v>
      </c>
      <c r="P31" s="103">
        <v>26446</v>
      </c>
      <c r="Q31" s="104">
        <f>P31-O31</f>
        <v>19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11.180999999999999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10.667999999999999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160.01999999999998</v>
      </c>
      <c r="M3" s="18" t="s">
        <v>10</v>
      </c>
      <c r="N3" s="3"/>
      <c r="O3" s="3"/>
      <c r="P3" s="149" t="str">
        <f>+'(1)'!C1&amp;"년"&amp;'(1)'!E1&amp;"월"&amp;C1&amp;"일"</f>
        <v>2023년9월15일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9750.0570000000007</v>
      </c>
      <c r="E4" s="34" t="str">
        <f>+'[1](1)'!E4</f>
        <v>고액권</v>
      </c>
      <c r="F4" s="36">
        <v>30000</v>
      </c>
      <c r="G4" s="27"/>
      <c r="H4" s="34" t="str">
        <f>+C4</f>
        <v>판매량</v>
      </c>
      <c r="I4" s="35">
        <v>9396.0159999999996</v>
      </c>
      <c r="J4" s="42" t="str">
        <f>+'[1](1)'!J4</f>
        <v>고액권</v>
      </c>
      <c r="K4" s="36">
        <v>300000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17791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19146.073</v>
      </c>
      <c r="P5" s="47" t="str">
        <f>+E4</f>
        <v>고액권</v>
      </c>
      <c r="Q5" s="48">
        <f>SUM(F4+K4+F17+K17+F35+K35)</f>
        <v>330000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167.51400000000001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570</v>
      </c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167.51400000000001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9040171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f>F8+8650442</f>
        <v>17690613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570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17690613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282.21300000000002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-9877.4549999999999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282.21300000000002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-9877.4549999999999</v>
      </c>
      <c r="P12" s="51" t="str">
        <f t="shared" si="2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9122286.0240000021</v>
      </c>
      <c r="E13" s="29" t="str">
        <f>+'[1](1)'!E13</f>
        <v>합계</v>
      </c>
      <c r="F13" s="61">
        <f>SUM(F4:F12)</f>
        <v>9121741</v>
      </c>
      <c r="G13" s="62"/>
      <c r="H13" s="29" t="str">
        <f t="shared" si="0"/>
        <v>합계</v>
      </c>
      <c r="I13" s="60">
        <f>SUM((I4-I5-I6-I7-I8-I9)*$I$1+I11)</f>
        <v>8954403.2479999997</v>
      </c>
      <c r="J13" s="29" t="str">
        <f>+E13</f>
        <v>합계</v>
      </c>
      <c r="K13" s="61">
        <f>IF(K8=0,0,SUM(K4:K12)-F8)</f>
        <v>8954442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-545.02400000207126</v>
      </c>
      <c r="G14" s="27"/>
      <c r="H14" s="27"/>
      <c r="I14" s="27"/>
      <c r="J14" s="27"/>
      <c r="K14" s="67">
        <f>SUM(K13-I13)</f>
        <v>38.752000000327826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160929.57600000003</v>
      </c>
      <c r="P14" s="39" t="str">
        <f t="shared" si="2"/>
        <v>합계</v>
      </c>
      <c r="Q14" s="69">
        <f>SUM(Q5:Q13)</f>
        <v>18076183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-506.27200000174344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11</v>
      </c>
      <c r="Q20" s="53">
        <f>SUM(P20*1000)</f>
        <v>11000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39</v>
      </c>
      <c r="Q28" s="69">
        <f>SUM(Q19:Q27)</f>
        <v>17000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26446</v>
      </c>
      <c r="P31" s="103">
        <v>26453</v>
      </c>
      <c r="Q31" s="104">
        <f>P31-O31</f>
        <v>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Q14" sqref="Q1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9.8460000000000001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10.617000000000001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169.87200000000001</v>
      </c>
      <c r="M3" s="18" t="s">
        <v>10</v>
      </c>
      <c r="N3" s="3"/>
      <c r="O3" s="3"/>
      <c r="P3" s="149" t="str">
        <f>+'(1)'!C1&amp;"년"&amp;'(1)'!E1&amp;"월"&amp;C1&amp;"일"</f>
        <v>2023년9월16일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8843.9629999999997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8015.03</v>
      </c>
      <c r="J4" s="42" t="str">
        <f>+'[1](1)'!J4</f>
        <v>고액권</v>
      </c>
      <c r="K4" s="36">
        <v>245000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37007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16858.992999999999</v>
      </c>
      <c r="P5" s="47" t="str">
        <f>+E4</f>
        <v>고액권</v>
      </c>
      <c r="Q5" s="48">
        <f>SUM(F4+K4+F17+K17+F35+K35)</f>
        <v>245000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119.19799999999999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119.19799999999999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8286799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f>F8+7389626</f>
        <v>15676425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15676425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154.93100000000001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-5422.585</v>
      </c>
      <c r="E11" s="42" t="str">
        <f>+'[1](1)'!E11</f>
        <v>모바일</v>
      </c>
      <c r="F11" s="44">
        <v>3000</v>
      </c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154.93100000000001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23601</v>
      </c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-5422.585</v>
      </c>
      <c r="P12" s="51" t="str">
        <f t="shared" si="2"/>
        <v>모바일</v>
      </c>
      <c r="Q12" s="53">
        <f>SUM(F11+K11+F24+K24+F42+K42)</f>
        <v>3000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8309278.459999999</v>
      </c>
      <c r="E13" s="29" t="str">
        <f>+'[1](1)'!E13</f>
        <v>합계</v>
      </c>
      <c r="F13" s="61">
        <f>SUM(F4:F12)</f>
        <v>8313400</v>
      </c>
      <c r="G13" s="62"/>
      <c r="H13" s="29" t="str">
        <f t="shared" si="0"/>
        <v>합계</v>
      </c>
      <c r="I13" s="60">
        <f>SUM((I4-I5-I6-I7-I8-I9)*$I$1+I11)</f>
        <v>7638323.5899999999</v>
      </c>
      <c r="J13" s="29" t="str">
        <f>+E13</f>
        <v>합계</v>
      </c>
      <c r="K13" s="61">
        <f>IF(K8=0,0,SUM(K4:K12)-F8)</f>
        <v>7638626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23601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4121.5400000009686</v>
      </c>
      <c r="G14" s="27"/>
      <c r="H14" s="27"/>
      <c r="I14" s="27"/>
      <c r="J14" s="27"/>
      <c r="K14" s="67">
        <f>SUM(K13-I13)</f>
        <v>302.41000000014901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145235.56999999998</v>
      </c>
      <c r="P14" s="39" t="str">
        <f t="shared" si="2"/>
        <v>합계</v>
      </c>
      <c r="Q14" s="69">
        <f>SUM(Q5:Q13)</f>
        <v>15952026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4423.9500000011176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50</v>
      </c>
      <c r="Q20" s="53">
        <f>SUM(P20*1000)</f>
        <v>50000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77</v>
      </c>
      <c r="Q28" s="69">
        <f>SUM(Q19:Q27)</f>
        <v>56000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26453</v>
      </c>
      <c r="P31" s="103">
        <v>26479</v>
      </c>
      <c r="Q31" s="104">
        <f>P31-O31</f>
        <v>26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7.3490000000000002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10.425000000000001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177.22500000000002</v>
      </c>
      <c r="M3" s="18" t="s">
        <v>10</v>
      </c>
      <c r="N3" s="3"/>
      <c r="O3" s="3"/>
      <c r="P3" s="149" t="str">
        <f>+'(1)'!C1&amp;"년"&amp;'(1)'!E1&amp;"월"&amp;C1&amp;"일"</f>
        <v>2023년9월17일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6590.1390000000001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5993.0640000000003</v>
      </c>
      <c r="J4" s="42" t="str">
        <f>+'[1](1)'!J4</f>
        <v>고액권</v>
      </c>
      <c r="K4" s="36">
        <v>190000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23446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12583.203000000001</v>
      </c>
      <c r="P5" s="47" t="str">
        <f>+E4</f>
        <v>고액권</v>
      </c>
      <c r="Q5" s="48">
        <f>SUM(F4+K4+F17+K17+F35+K35)</f>
        <v>330000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25.36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25.36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6128844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11628278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11628278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0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0</v>
      </c>
      <c r="P12" s="51" t="str">
        <f t="shared" si="2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6280402.4670000002</v>
      </c>
      <c r="E13" s="29" t="str">
        <f>+'[1](1)'!E13</f>
        <v>합계</v>
      </c>
      <c r="F13" s="61">
        <f>SUM(F4:F12)</f>
        <v>6279844</v>
      </c>
      <c r="G13" s="62"/>
      <c r="H13" s="29" t="str">
        <f t="shared" si="0"/>
        <v>합계</v>
      </c>
      <c r="I13" s="60">
        <f>SUM((I4-I5-I6-I7-I8-I9)*$I$1+I11)</f>
        <v>5687221.9120000005</v>
      </c>
      <c r="J13" s="29" t="str">
        <f>+E13</f>
        <v>합계</v>
      </c>
      <c r="K13" s="61">
        <f>IF(K8=0,0,SUM(K4:K12)-F8)</f>
        <v>5689434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-558.46700000017881</v>
      </c>
      <c r="G14" s="27"/>
      <c r="H14" s="27"/>
      <c r="I14" s="27"/>
      <c r="J14" s="27"/>
      <c r="K14" s="67">
        <f>SUM(K13-I13)</f>
        <v>2212.0879999995232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113020.587</v>
      </c>
      <c r="P14" s="39" t="str">
        <f t="shared" si="2"/>
        <v>합계</v>
      </c>
      <c r="Q14" s="69">
        <f>SUM(Q5:Q13)</f>
        <v>11969278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1653.6209999993443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48</v>
      </c>
      <c r="Q20" s="53">
        <f>SUM(P20*1000)</f>
        <v>48000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86</v>
      </c>
      <c r="Q28" s="69">
        <f>SUM(Q19:Q27)</f>
        <v>58000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26479</v>
      </c>
      <c r="P31" s="103">
        <v>26507</v>
      </c>
      <c r="Q31" s="104">
        <f>P31-O31</f>
        <v>28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12.023999999999999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10.513999999999999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189.25199999999998</v>
      </c>
      <c r="M3" s="18" t="s">
        <v>10</v>
      </c>
      <c r="N3" s="3"/>
      <c r="O3" s="3"/>
      <c r="P3" s="149" t="str">
        <f>+'(1)'!C1&amp;"년"&amp;'(1)'!E1&amp;"월"&amp;C1&amp;"일"</f>
        <v>2023년9월18일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11576.002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9013.3289999999997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37841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20589.330999999998</v>
      </c>
      <c r="P5" s="47" t="str">
        <f>+E4</f>
        <v>고액권</v>
      </c>
      <c r="Q5" s="48">
        <f>SUM(F4+K4+F17+K17+F35+K35)</f>
        <v>205000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186.79599999999999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15.018000000000001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201.81399999999999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10723129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19182046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19182046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358.25900000000001</v>
      </c>
      <c r="E10" s="42" t="str">
        <f>+'[1](1)'!E10</f>
        <v>OK케시백</v>
      </c>
      <c r="F10" s="44">
        <v>13438</v>
      </c>
      <c r="G10" s="27"/>
      <c r="H10" s="42" t="str">
        <f t="shared" si="0"/>
        <v>고객우대</v>
      </c>
      <c r="I10" s="50">
        <v>162.28299999999999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-12539.065000000001</v>
      </c>
      <c r="E11" s="42" t="str">
        <f>+'[1](1)'!E11</f>
        <v>모바일</v>
      </c>
      <c r="F11" s="44">
        <v>5000</v>
      </c>
      <c r="G11" s="27"/>
      <c r="H11" s="83" t="str">
        <f t="shared" si="0"/>
        <v>-</v>
      </c>
      <c r="I11" s="55">
        <f>SUM(I10*-35)</f>
        <v>-5679.9049999999997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520.54200000000003</v>
      </c>
      <c r="P11" s="51" t="str">
        <f t="shared" si="2"/>
        <v>OK케시백</v>
      </c>
      <c r="Q11" s="53">
        <f>SUM(F10+K10+F23+K23+F41+K41)</f>
        <v>13438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-18218.97</v>
      </c>
      <c r="P12" s="51" t="str">
        <f t="shared" si="2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10841374.253</v>
      </c>
      <c r="E13" s="29" t="str">
        <f>+'[1](1)'!E13</f>
        <v>합계</v>
      </c>
      <c r="F13" s="61">
        <f>SUM(F4:F12)</f>
        <v>10838567</v>
      </c>
      <c r="G13" s="62"/>
      <c r="H13" s="29" t="str">
        <f t="shared" si="0"/>
        <v>합계</v>
      </c>
      <c r="I13" s="60">
        <f>SUM((I4-I5-I6-I7-I8-I9)*$I$1+I11)</f>
        <v>8569710.4780000001</v>
      </c>
      <c r="J13" s="29" t="str">
        <f>+E13</f>
        <v>합계</v>
      </c>
      <c r="K13" s="61">
        <f>IF(K8=0,0,SUM(K4:K12)-F8)</f>
        <v>8568917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-2807.2530000004917</v>
      </c>
      <c r="G14" s="27"/>
      <c r="H14" s="27"/>
      <c r="I14" s="27"/>
      <c r="J14" s="27"/>
      <c r="K14" s="67">
        <f>SUM(K13-I13)</f>
        <v>-793.47800000011921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165268.68299999999</v>
      </c>
      <c r="P14" s="39" t="str">
        <f t="shared" si="2"/>
        <v>합계</v>
      </c>
      <c r="Q14" s="69">
        <f>SUM(Q5:Q13)</f>
        <v>19407484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-3600.7310000006109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101</v>
      </c>
      <c r="Q20" s="53">
        <f>SUM(P20*1000)</f>
        <v>101000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148</v>
      </c>
      <c r="Q28" s="69">
        <f>SUM(Q19:Q27)</f>
        <v>117000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26507</v>
      </c>
      <c r="P31" s="103">
        <v>26567</v>
      </c>
      <c r="Q31" s="104">
        <f>P31-O31</f>
        <v>60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10.117000000000001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10.493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199.36700000000002</v>
      </c>
      <c r="M3" s="18" t="s">
        <v>10</v>
      </c>
      <c r="N3" s="3"/>
      <c r="O3" s="3"/>
      <c r="P3" s="149" t="str">
        <f>+'(1)'!C1&amp;"년"&amp;'(1)'!E1&amp;"월"&amp;C1&amp;"일"</f>
        <v>2023년9월19일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10137.851000000001</v>
      </c>
      <c r="E4" s="34" t="str">
        <f>+'[1](1)'!E4</f>
        <v>고액권</v>
      </c>
      <c r="F4" s="36">
        <v>260000</v>
      </c>
      <c r="G4" s="27"/>
      <c r="H4" s="34" t="str">
        <f>+C4</f>
        <v>판매량</v>
      </c>
      <c r="I4" s="35">
        <v>7185.24</v>
      </c>
      <c r="J4" s="42" t="str">
        <f>+'[1](1)'!J4</f>
        <v>고액권</v>
      </c>
      <c r="K4" s="36">
        <v>60000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19416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17323.091</v>
      </c>
      <c r="P5" s="47" t="str">
        <f>+E4</f>
        <v>고액권</v>
      </c>
      <c r="Q5" s="48">
        <f>SUM(F4+K4+F17+K17+F35+K35)</f>
        <v>320000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273.33999999999997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273.33999999999997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9119785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15900471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15900471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266.83499999999998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51.347999999999999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-9339.2249999999985</v>
      </c>
      <c r="E11" s="42" t="str">
        <f>+'[1](1)'!E11</f>
        <v>모바일</v>
      </c>
      <c r="F11" s="44">
        <v>10000</v>
      </c>
      <c r="G11" s="27"/>
      <c r="H11" s="83" t="str">
        <f t="shared" si="0"/>
        <v>-</v>
      </c>
      <c r="I11" s="55">
        <f>SUM(I10*-35)</f>
        <v>-1797.18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318.18299999999999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-11136.404999999999</v>
      </c>
      <c r="P12" s="51" t="str">
        <f t="shared" si="2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9391539.7580000013</v>
      </c>
      <c r="E13" s="29" t="str">
        <f>+'[1](1)'!E13</f>
        <v>합계</v>
      </c>
      <c r="F13" s="61">
        <f>SUM(F4:F12)</f>
        <v>9391785</v>
      </c>
      <c r="G13" s="62"/>
      <c r="H13" s="29" t="str">
        <f t="shared" si="0"/>
        <v>합계</v>
      </c>
      <c r="I13" s="60">
        <f>SUM((I4-I5-I6-I7-I8-I9)*$I$1+I11)</f>
        <v>6845736.54</v>
      </c>
      <c r="J13" s="29" t="str">
        <f>+E13</f>
        <v>합계</v>
      </c>
      <c r="K13" s="61">
        <f>IF(K8=0,0,SUM(K4:K12)-F8)</f>
        <v>6844686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245.2419999986887</v>
      </c>
      <c r="G14" s="27"/>
      <c r="H14" s="27"/>
      <c r="I14" s="27"/>
      <c r="J14" s="27"/>
      <c r="K14" s="67">
        <f>SUM(K13-I13)</f>
        <v>-1050.5400000000373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142311.35399999999</v>
      </c>
      <c r="P14" s="39" t="str">
        <f t="shared" si="2"/>
        <v>합계</v>
      </c>
      <c r="Q14" s="69">
        <f>SUM(Q5:Q13)</f>
        <v>16236471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-805.29800000134856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85</v>
      </c>
      <c r="Q28" s="69">
        <f>SUM(Q19:Q27)</f>
        <v>44000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26567</v>
      </c>
      <c r="P31" s="103">
        <v>26589</v>
      </c>
      <c r="Q31" s="104">
        <f>P31-O31</f>
        <v>22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C2" sqref="C2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9</v>
      </c>
      <c r="F1" s="27"/>
      <c r="G1" s="27"/>
      <c r="H1" s="27"/>
      <c r="I1" s="27">
        <v>953</v>
      </c>
      <c r="J1" s="27"/>
      <c r="K1" s="27"/>
      <c r="L1" s="31">
        <f>+ROUND(+O5*0.584/1000,3)</f>
        <v>9.82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12.667</v>
      </c>
      <c r="M2" s="27" t="s">
        <v>7</v>
      </c>
      <c r="N2" s="137" t="s">
        <v>42</v>
      </c>
      <c r="O2" s="137"/>
      <c r="P2" s="137"/>
      <c r="Q2" s="137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+F3</f>
        <v>수량 및 금액</v>
      </c>
      <c r="L3" s="31">
        <f>+L2*C1</f>
        <v>25.334</v>
      </c>
      <c r="M3" s="27" t="s">
        <v>10</v>
      </c>
      <c r="N3" s="32"/>
      <c r="O3" s="32"/>
      <c r="P3" s="136" t="str">
        <f>+'(1)'!C1&amp;"년"&amp;'(1)'!E1&amp;"월"&amp;C1&amp;"일"</f>
        <v>2023년9월2일</v>
      </c>
      <c r="Q3" s="136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8498.0580000000009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8317.0550000000003</v>
      </c>
      <c r="J4" s="42" t="str">
        <f>+'[1](1)'!J4</f>
        <v>고액권</v>
      </c>
      <c r="K4" s="36">
        <v>155000</v>
      </c>
      <c r="L4" s="37"/>
      <c r="M4" s="82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40">
        <v>42054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4000</v>
      </c>
      <c r="L5" s="37"/>
      <c r="M5" s="82"/>
      <c r="N5" s="45" t="str">
        <f>+C4</f>
        <v>판매량</v>
      </c>
      <c r="O5" s="46">
        <f>SUM(D4+I4+D17+I17+D35+I35)</f>
        <v>16815.113000000001</v>
      </c>
      <c r="P5" s="47" t="str">
        <f>+E4</f>
        <v>고액권</v>
      </c>
      <c r="Q5" s="48">
        <f>SUM(F4+K4+F17+K17+F35+K35)</f>
        <v>225000</v>
      </c>
      <c r="R5" s="49">
        <v>32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34.085000000000001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>
        <v>13000</v>
      </c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49">
        <v>2.8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1">+C6</f>
        <v>외상전표</v>
      </c>
      <c r="O7" s="54">
        <f>SUM(D6+I6+D19+I19+D37+I37)</f>
        <v>34.085000000000001</v>
      </c>
      <c r="P7" s="106" t="str">
        <f t="shared" ref="P7:P14" si="2">+E6</f>
        <v>블루/레드포인트</v>
      </c>
      <c r="Q7" s="53">
        <f>SUM(F6+K6+F19+K19+F37+K37)</f>
        <v>13000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7989831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f>F8+7753801</f>
        <v>15743632</v>
      </c>
      <c r="L8" s="37"/>
      <c r="M8" s="82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15743632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201.03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/>
      <c r="J10" s="42" t="str">
        <f>+'[1](1)'!J10</f>
        <v>OK케시백</v>
      </c>
      <c r="K10" s="44"/>
      <c r="L10" s="37"/>
      <c r="M10" s="82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-7036.05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37"/>
      <c r="M11" s="82"/>
      <c r="N11" s="51" t="str">
        <f t="shared" si="1"/>
        <v>고객우대</v>
      </c>
      <c r="O11" s="54">
        <f>SUM(D10+I10+D23+I23+D41+I41)</f>
        <v>201.03</v>
      </c>
      <c r="P11" s="51" t="str">
        <f t="shared" si="2"/>
        <v>OK케시백</v>
      </c>
      <c r="Q11" s="53">
        <f>SUM(F10+K10+F23+K23+F41+K41)</f>
        <v>0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1"/>
        <v>-</v>
      </c>
      <c r="O12" s="52">
        <f>SUM(O11*-35)</f>
        <v>-7036.05</v>
      </c>
      <c r="P12" s="51" t="str">
        <f t="shared" si="2"/>
        <v>모바일</v>
      </c>
      <c r="Q12" s="53">
        <f>SUM(F11+K11+F24+K24+F42+K42)</f>
        <v>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8059130.2190000014</v>
      </c>
      <c r="E13" s="29" t="str">
        <f>+'[1](1)'!E13</f>
        <v>합계</v>
      </c>
      <c r="F13" s="61">
        <f>SUM(F4:F12)</f>
        <v>8059831</v>
      </c>
      <c r="G13" s="62"/>
      <c r="H13" s="29" t="str">
        <f t="shared" si="0"/>
        <v>합계</v>
      </c>
      <c r="I13" s="60">
        <f>SUM((I4-I5-I6-I7-I8-I9)*$I$1+I11)</f>
        <v>7926153.415</v>
      </c>
      <c r="J13" s="29" t="str">
        <f>+E13</f>
        <v>합계</v>
      </c>
      <c r="K13" s="61">
        <f>IF(K8=0,0,SUM(K4:K12)-F8)</f>
        <v>7925801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700.78099999856204</v>
      </c>
      <c r="G14" s="27"/>
      <c r="H14" s="27"/>
      <c r="I14" s="27"/>
      <c r="J14" s="27"/>
      <c r="K14" s="67">
        <f>SUM(K13-I13)</f>
        <v>-352.41500000003725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143993.20200000002</v>
      </c>
      <c r="P14" s="39" t="str">
        <f t="shared" si="2"/>
        <v>합계</v>
      </c>
      <c r="Q14" s="69">
        <f>SUM(Q5:Q13)</f>
        <v>15985632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348.36599999852479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10</v>
      </c>
      <c r="Q19" s="48">
        <f>SUM(P19*1000)</f>
        <v>10000</v>
      </c>
      <c r="R19" s="27"/>
      <c r="S19" s="32"/>
      <c r="T19" s="27"/>
      <c r="U19" s="27"/>
      <c r="V19" s="27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83</v>
      </c>
      <c r="Q20" s="53">
        <f>SUM(P20*1000)</f>
        <v>83000</v>
      </c>
      <c r="R20" s="27"/>
      <c r="S20" s="27"/>
      <c r="T20" s="27"/>
      <c r="U20" s="27"/>
      <c r="V20" s="27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7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17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11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 t="shared" si="4"/>
        <v>모바일</v>
      </c>
      <c r="F24" s="44"/>
      <c r="G24" s="27"/>
      <c r="H24" s="42" t="str">
        <f t="shared" si="5"/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4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-11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4" t="s">
        <v>40</v>
      </c>
      <c r="O28" s="135"/>
      <c r="P28" s="120">
        <v>121</v>
      </c>
      <c r="Q28" s="69">
        <f>SUM(Q19:Q27)</f>
        <v>93000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25930</v>
      </c>
      <c r="P31" s="103">
        <v>25984</v>
      </c>
      <c r="Q31" s="104">
        <f>P31-O31</f>
        <v>54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4:O24"/>
    <mergeCell ref="N27:O27"/>
    <mergeCell ref="N22:O22"/>
    <mergeCell ref="N23:O23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10.518000000000001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210.36</v>
      </c>
      <c r="M3" s="18" t="s">
        <v>10</v>
      </c>
      <c r="N3" s="3"/>
      <c r="O3" s="3"/>
      <c r="P3" s="149" t="str">
        <f>+'(1)'!C1&amp;"년"&amp;'(1)'!E1&amp;"월"&amp;C1&amp;"일"</f>
        <v>2023년9월20일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10347.216</v>
      </c>
      <c r="E4" s="34" t="str">
        <f>+'[1](1)'!E4</f>
        <v>고액권</v>
      </c>
      <c r="F4" s="36">
        <v>205000</v>
      </c>
      <c r="G4" s="27"/>
      <c r="H4" s="34" t="str">
        <f>+C4</f>
        <v>판매량</v>
      </c>
      <c r="I4" s="35">
        <v>8488.7039999999997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36377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18835.919999999998</v>
      </c>
      <c r="P5" s="47" t="str">
        <f>+E4</f>
        <v>고액권</v>
      </c>
      <c r="Q5" s="48">
        <f>SUM(F4+K4+F17+K17+F35+K35)</f>
        <v>385000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273.86700000000002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273.86700000000002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9329560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17234302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17234302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213.9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-7486.5</v>
      </c>
      <c r="E11" s="42" t="str">
        <f>+'[1](1)'!E11</f>
        <v>모바일</v>
      </c>
      <c r="F11" s="44">
        <v>5000</v>
      </c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213.9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-7486.5</v>
      </c>
      <c r="P12" s="51" t="str">
        <f t="shared" si="2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9592415.097000001</v>
      </c>
      <c r="E13" s="29" t="str">
        <f>+'[1](1)'!E13</f>
        <v>합계</v>
      </c>
      <c r="F13" s="61">
        <f>SUM(F4:F12)</f>
        <v>9593560</v>
      </c>
      <c r="G13" s="62"/>
      <c r="H13" s="29" t="str">
        <f t="shared" si="0"/>
        <v>합계</v>
      </c>
      <c r="I13" s="60">
        <f>SUM((I4-I5-I6-I7-I8-I9)*$I$1+I11)</f>
        <v>8089734.9119999995</v>
      </c>
      <c r="J13" s="29" t="str">
        <f>+E13</f>
        <v>합계</v>
      </c>
      <c r="K13" s="61">
        <f>IF(K8=0,0,SUM(K4:K12)-F8)</f>
        <v>8088742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1144.9029999990016</v>
      </c>
      <c r="G14" s="27"/>
      <c r="H14" s="27"/>
      <c r="I14" s="27"/>
      <c r="J14" s="27"/>
      <c r="K14" s="67">
        <f>SUM(K13-I13)</f>
        <v>-992.91199999954551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159571.97700000001</v>
      </c>
      <c r="P14" s="39" t="str">
        <f t="shared" si="2"/>
        <v>합계</v>
      </c>
      <c r="Q14" s="69">
        <f>SUM(Q5:Q13)</f>
        <v>17682302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151.99099999945611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26589</v>
      </c>
      <c r="P31" s="103">
        <v>26589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11.561999999999999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10.568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221.928</v>
      </c>
      <c r="M3" s="18" t="s">
        <v>10</v>
      </c>
      <c r="N3" s="3"/>
      <c r="O3" s="3"/>
      <c r="P3" s="149" t="str">
        <f>+'(1)'!C1&amp;"년"&amp;'(1)'!E1&amp;"월"&amp;C1&amp;"일"</f>
        <v>2023년9월21일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10966.277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8831.8680000000004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15346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19798.145</v>
      </c>
      <c r="P5" s="47" t="str">
        <f>+E4</f>
        <v>고액권</v>
      </c>
      <c r="Q5" s="48">
        <f>SUM(F4+K4+F17+K17+F35+K35)</f>
        <v>160000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211.18199999999999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211.18199999999999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10139235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18483189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18483189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351.37900000000002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116.783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-12298.265000000001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-4087.4050000000002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1"/>
        <v>고객우대</v>
      </c>
      <c r="O11" s="54">
        <f>SUM(D10+I10+D23+I23+D41+I41)</f>
        <v>468.16200000000003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-16385.670000000002</v>
      </c>
      <c r="P12" s="51" t="str">
        <f t="shared" si="2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10237307.27</v>
      </c>
      <c r="E13" s="29" t="str">
        <f>+'[1](1)'!E13</f>
        <v>합계</v>
      </c>
      <c r="F13" s="61">
        <f>SUM(F4:F12)</f>
        <v>10236235</v>
      </c>
      <c r="G13" s="62"/>
      <c r="H13" s="29" t="str">
        <f t="shared" si="0"/>
        <v>합계</v>
      </c>
      <c r="I13" s="60">
        <f>SUM((I4-I5-I6-I7-I8-I9)*$I$1+I11)</f>
        <v>8412682.7990000006</v>
      </c>
      <c r="J13" s="29" t="str">
        <f>+E13</f>
        <v>합계</v>
      </c>
      <c r="K13" s="61">
        <f>IF(K8=0,0,SUM(K4:K12)-F8)</f>
        <v>8412954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-1072.269999999553</v>
      </c>
      <c r="G14" s="27"/>
      <c r="H14" s="27"/>
      <c r="I14" s="27"/>
      <c r="J14" s="27"/>
      <c r="K14" s="67">
        <f>SUM(K13-I13)</f>
        <v>271.20099999941885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159896.99699999997</v>
      </c>
      <c r="P14" s="39" t="str">
        <f t="shared" si="2"/>
        <v>합계</v>
      </c>
      <c r="Q14" s="69">
        <f>SUM(Q5:Q13)</f>
        <v>18649189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-801.06900000013411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69</v>
      </c>
      <c r="Q20" s="53">
        <f>SUM(P20*1000)</f>
        <v>69000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132</v>
      </c>
      <c r="Q28" s="69">
        <f>SUM(Q19:Q27)</f>
        <v>88000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26589</v>
      </c>
      <c r="P31" s="103">
        <v>26624</v>
      </c>
      <c r="Q31" s="104">
        <f>P31-O31</f>
        <v>35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M9" sqref="M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12.135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10.638999999999999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234.05799999999999</v>
      </c>
      <c r="M3" s="18" t="s">
        <v>10</v>
      </c>
      <c r="N3" s="3"/>
      <c r="O3" s="3"/>
      <c r="P3" s="149" t="str">
        <f>+'(1)'!C1&amp;"년"&amp;'(1)'!E1&amp;"월"&amp;C1&amp;"일"</f>
        <v>2023년9월22일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11538.52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9240.7009999999991</v>
      </c>
      <c r="J4" s="42" t="str">
        <f>+'[1](1)'!J4</f>
        <v>고액권</v>
      </c>
      <c r="K4" s="36">
        <v>235000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30177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20779.220999999998</v>
      </c>
      <c r="P5" s="47" t="str">
        <f>+E4</f>
        <v>고액권</v>
      </c>
      <c r="Q5" s="48">
        <f>SUM(F4+K4+F17+K17+F35+K35)</f>
        <v>415000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339.67899999999997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339.67899999999997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10417428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18985385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18985385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283.21899999999999</v>
      </c>
      <c r="E10" s="42" t="str">
        <f>+'[1](1)'!E10</f>
        <v>OK케시백</v>
      </c>
      <c r="F10" s="44">
        <v>33575</v>
      </c>
      <c r="G10" s="27"/>
      <c r="H10" s="42" t="str">
        <f t="shared" si="0"/>
        <v>고객우대</v>
      </c>
      <c r="I10" s="50">
        <v>51.307000000000002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-9912.6649999999991</v>
      </c>
      <c r="E11" s="42" t="str">
        <f>+'[1](1)'!E11</f>
        <v>모바일</v>
      </c>
      <c r="F11" s="44">
        <v>30000</v>
      </c>
      <c r="G11" s="27"/>
      <c r="H11" s="83" t="str">
        <f t="shared" si="0"/>
        <v>-</v>
      </c>
      <c r="I11" s="55">
        <f>SUM(I10*-35)</f>
        <v>-1795.7450000000001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334.52600000000001</v>
      </c>
      <c r="P11" s="51" t="str">
        <f t="shared" si="2"/>
        <v>OK케시백</v>
      </c>
      <c r="Q11" s="53">
        <f>SUM(F10+K10+F23+K23+F41+K41)</f>
        <v>35575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-11708.41</v>
      </c>
      <c r="P12" s="51" t="str">
        <f t="shared" si="2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10662582.808000002</v>
      </c>
      <c r="E13" s="29" t="str">
        <f>+'[1](1)'!E13</f>
        <v>합계</v>
      </c>
      <c r="F13" s="61">
        <f>SUM(F4:F12)</f>
        <v>10662003</v>
      </c>
      <c r="G13" s="62"/>
      <c r="H13" s="29" t="str">
        <f t="shared" si="0"/>
        <v>합계</v>
      </c>
      <c r="I13" s="60">
        <f>SUM((I4-I5-I6-I7-I8-I9)*$I$1+I11)</f>
        <v>8804592.3080000002</v>
      </c>
      <c r="J13" s="29" t="str">
        <f>+E13</f>
        <v>합계</v>
      </c>
      <c r="K13" s="61">
        <f>IF(K8=0,0,SUM(K4:K12)-F8)</f>
        <v>8804957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-579.80800000205636</v>
      </c>
      <c r="G14" s="27"/>
      <c r="H14" s="27"/>
      <c r="I14" s="27"/>
      <c r="J14" s="27"/>
      <c r="K14" s="67">
        <f>SUM(K13-I13)</f>
        <v>364.69199999980628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172247.46799999996</v>
      </c>
      <c r="P14" s="39" t="str">
        <f t="shared" si="2"/>
        <v>합계</v>
      </c>
      <c r="Q14" s="69">
        <f>SUM(Q5:Q13)</f>
        <v>19466960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-215.11600000225008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90</v>
      </c>
      <c r="Q20" s="53">
        <f>SUM(P20*1000)</f>
        <v>90000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138</v>
      </c>
      <c r="Q28" s="69">
        <f>SUM(Q19:Q27)</f>
        <v>103000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26624</v>
      </c>
      <c r="P31" s="103">
        <v>26683</v>
      </c>
      <c r="Q31" s="104">
        <f>P31-O31</f>
        <v>59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9.9960000000000004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10.611000000000001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244.05300000000003</v>
      </c>
      <c r="M3" s="18" t="s">
        <v>10</v>
      </c>
      <c r="N3" s="3"/>
      <c r="O3" s="3"/>
      <c r="P3" s="149" t="str">
        <f>+'(1)'!C1&amp;"년"&amp;'(1)'!E1&amp;"월"&amp;C1&amp;"일"</f>
        <v>2023년9월23일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8907.4490000000005</v>
      </c>
      <c r="E4" s="34" t="str">
        <f>+'[1](1)'!E4</f>
        <v>고액권</v>
      </c>
      <c r="F4" s="36">
        <v>90000</v>
      </c>
      <c r="G4" s="27"/>
      <c r="H4" s="34" t="str">
        <f>+C4</f>
        <v>판매량</v>
      </c>
      <c r="I4" s="35">
        <v>8208.2710000000006</v>
      </c>
      <c r="J4" s="42" t="str">
        <f>+'[1](1)'!J4</f>
        <v>고액권</v>
      </c>
      <c r="K4" s="36">
        <v>380000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48426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17115.72</v>
      </c>
      <c r="P5" s="47" t="str">
        <f>+E4</f>
        <v>고액권</v>
      </c>
      <c r="Q5" s="48">
        <f>SUM(F4+K4+F17+K17+F35+K35)</f>
        <v>470000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113.095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113.095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8275693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15688257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15688257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97.611999999999995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-3416.4199999999996</v>
      </c>
      <c r="E11" s="42" t="str">
        <f>+'[1](1)'!E11</f>
        <v>모바일</v>
      </c>
      <c r="F11" s="44">
        <v>9000</v>
      </c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1"/>
        <v>고객우대</v>
      </c>
      <c r="O11" s="54">
        <f>SUM(D10+I10+D23+I23+D41+I41)</f>
        <v>97.611999999999995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>
        <v>24972</v>
      </c>
      <c r="L12" s="2"/>
      <c r="M12" s="20"/>
      <c r="N12" s="51" t="str">
        <f t="shared" si="1"/>
        <v>-</v>
      </c>
      <c r="O12" s="55">
        <f>SUM(O11*-35)</f>
        <v>-3416.4199999999996</v>
      </c>
      <c r="P12" s="51" t="str">
        <f t="shared" si="2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8377602.9420000007</v>
      </c>
      <c r="E13" s="29" t="str">
        <f>+'[1](1)'!E13</f>
        <v>합계</v>
      </c>
      <c r="F13" s="61">
        <f>SUM(F4:F12)</f>
        <v>8377693</v>
      </c>
      <c r="G13" s="62"/>
      <c r="H13" s="29" t="str">
        <f t="shared" si="0"/>
        <v>합계</v>
      </c>
      <c r="I13" s="60">
        <f>SUM((I4-I5-I6-I7-I8-I9)*$I$1+I11)</f>
        <v>7822482.2630000003</v>
      </c>
      <c r="J13" s="29" t="str">
        <f>+E13</f>
        <v>합계</v>
      </c>
      <c r="K13" s="61">
        <f>IF(K8=0,0,SUM(K4:K12)-F8)</f>
        <v>7822536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24972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90.057999999262393</v>
      </c>
      <c r="G14" s="27"/>
      <c r="H14" s="27"/>
      <c r="I14" s="27"/>
      <c r="J14" s="27"/>
      <c r="K14" s="67">
        <f>SUM(K13-I13)</f>
        <v>53.736999999731779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149607.20499999999</v>
      </c>
      <c r="P14" s="39" t="str">
        <f t="shared" si="2"/>
        <v>합계</v>
      </c>
      <c r="Q14" s="69">
        <f>SUM(Q5:Q13)</f>
        <v>16200229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143.79499999899417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78</v>
      </c>
      <c r="Q20" s="53">
        <f>SUM(P20*1000)</f>
        <v>78000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118</v>
      </c>
      <c r="Q28" s="69">
        <f>SUM(Q19:Q27)</f>
        <v>91000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26683</v>
      </c>
      <c r="P31" s="103">
        <v>26731</v>
      </c>
      <c r="Q31" s="104">
        <f>P31-O31</f>
        <v>48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7.5949999999999998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10.484999999999999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251.64</v>
      </c>
      <c r="M3" s="18" t="s">
        <v>10</v>
      </c>
      <c r="N3" s="3"/>
      <c r="O3" s="3"/>
      <c r="P3" s="149" t="str">
        <f>+'(1)'!C1&amp;"년"&amp;'(1)'!E1&amp;"월"&amp;C1&amp;"일"</f>
        <v>2023년9월24일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7468.1819999999998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5536.9660000000003</v>
      </c>
      <c r="J4" s="42" t="str">
        <f>+'[1](1)'!J4</f>
        <v>고액권</v>
      </c>
      <c r="K4" s="36">
        <v>135000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34596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13005.148000000001</v>
      </c>
      <c r="P5" s="47" t="str">
        <f>+E4</f>
        <v>고액권</v>
      </c>
      <c r="Q5" s="48">
        <f>SUM(F4+K4+F17+K17+F35+K35)</f>
        <v>330000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0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6916818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12053952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12053952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0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0</v>
      </c>
      <c r="P12" s="51" t="str">
        <f t="shared" si="2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7117177.4459999995</v>
      </c>
      <c r="E13" s="29" t="str">
        <f>+'[1](1)'!E13</f>
        <v>합계</v>
      </c>
      <c r="F13" s="61">
        <f>SUM(F4:F12)</f>
        <v>7115818</v>
      </c>
      <c r="G13" s="62"/>
      <c r="H13" s="29" t="str">
        <f t="shared" si="0"/>
        <v>합계</v>
      </c>
      <c r="I13" s="60">
        <f>SUM((I4-I5-I6-I7-I8-I9)*$I$1+I11)</f>
        <v>5276728.5980000002</v>
      </c>
      <c r="J13" s="29" t="str">
        <f>+E13</f>
        <v>합계</v>
      </c>
      <c r="K13" s="61">
        <f>IF(K8=0,0,SUM(K4:K12)-F8)</f>
        <v>5276134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-1359.4459999995306</v>
      </c>
      <c r="G14" s="27"/>
      <c r="H14" s="27"/>
      <c r="I14" s="27"/>
      <c r="J14" s="27"/>
      <c r="K14" s="67">
        <f>SUM(K13-I13)</f>
        <v>-594.59800000023097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117046.33200000001</v>
      </c>
      <c r="P14" s="39" t="str">
        <f t="shared" si="2"/>
        <v>합계</v>
      </c>
      <c r="Q14" s="69">
        <f>SUM(Q5:Q13)</f>
        <v>12391952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-1954.0439999997616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89</v>
      </c>
      <c r="Q28" s="69">
        <f>SUM(Q19:Q27)</f>
        <v>62000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26731</v>
      </c>
      <c r="P31" s="103">
        <v>26762</v>
      </c>
      <c r="Q31" s="104">
        <f>P31-O31</f>
        <v>31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I4" sqref="I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10.929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10.503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262.57499999999999</v>
      </c>
      <c r="M3" s="18" t="s">
        <v>10</v>
      </c>
      <c r="N3" s="3"/>
      <c r="O3" s="3"/>
      <c r="P3" s="149" t="str">
        <f>+'(1)'!C1&amp;"년"&amp;'(1)'!E1&amp;"월"&amp;C1&amp;"일"</f>
        <v>2023년9월25일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10700.799000000001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8013.8469999999998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14831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18714.646000000001</v>
      </c>
      <c r="P5" s="47" t="str">
        <f>+E4</f>
        <v>고액권</v>
      </c>
      <c r="Q5" s="48">
        <f>SUM(F4+K4+F17+K17+F35+K35)</f>
        <v>345000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244.28200000000001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>
        <v>473</v>
      </c>
      <c r="L7" s="2"/>
      <c r="M7" s="20"/>
      <c r="N7" s="51" t="str">
        <f t="shared" ref="N7:N14" si="1">+C6</f>
        <v>외상전표</v>
      </c>
      <c r="O7" s="54">
        <f>SUM(D6+I6+D19+I19+D37+I37)</f>
        <v>244.28200000000001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51.847999999999999</v>
      </c>
      <c r="E8" s="42" t="str">
        <f>+'[1](1)'!E8</f>
        <v>신용카드</v>
      </c>
      <c r="F8" s="44">
        <v>9700896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17189465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473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51.847999999999999</v>
      </c>
      <c r="P9" s="51" t="str">
        <f t="shared" si="2"/>
        <v>신용카드</v>
      </c>
      <c r="Q9" s="53">
        <f>IF(K8=0,F8,IF(F21=0,K8,IF(K21=0,F21,K21)))</f>
        <v>17189465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331.05500000000001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45.582000000000001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-11586.925000000001</v>
      </c>
      <c r="E11" s="42" t="str">
        <f>+'[1](1)'!E11</f>
        <v>모바일</v>
      </c>
      <c r="F11" s="44">
        <v>5000</v>
      </c>
      <c r="G11" s="27"/>
      <c r="H11" s="83" t="str">
        <f t="shared" si="0"/>
        <v>-</v>
      </c>
      <c r="I11" s="55">
        <f>SUM(I10*-35)</f>
        <v>-1595.3700000000001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376.637</v>
      </c>
      <c r="P11" s="51" t="str">
        <f t="shared" si="2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-13182.295</v>
      </c>
      <c r="P12" s="51" t="str">
        <f t="shared" si="2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9904062.6320000011</v>
      </c>
      <c r="E13" s="29" t="str">
        <f>+'[1](1)'!E13</f>
        <v>합계</v>
      </c>
      <c r="F13" s="61">
        <f>SUM(F4:F12)</f>
        <v>9904896</v>
      </c>
      <c r="G13" s="62"/>
      <c r="H13" s="29" t="str">
        <f t="shared" si="0"/>
        <v>합계</v>
      </c>
      <c r="I13" s="60">
        <f>SUM((I4-I5-I6-I7-I8-I9)*$I$1+I11)</f>
        <v>7635600.8209999995</v>
      </c>
      <c r="J13" s="29" t="str">
        <f>+E13</f>
        <v>합계</v>
      </c>
      <c r="K13" s="61">
        <f>IF(K8=0,0,SUM(K4:K12)-F8)</f>
        <v>7645042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833.36799999885261</v>
      </c>
      <c r="G14" s="27"/>
      <c r="H14" s="27"/>
      <c r="I14" s="27"/>
      <c r="J14" s="27"/>
      <c r="K14" s="67">
        <f>SUM(K13-I13)</f>
        <v>9441.1790000004694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152584.34899999999</v>
      </c>
      <c r="P14" s="39" t="str">
        <f t="shared" si="2"/>
        <v>합계</v>
      </c>
      <c r="Q14" s="69">
        <f>SUM(Q5:Q13)</f>
        <v>17549938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10274.546999999322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46</v>
      </c>
      <c r="Q20" s="53">
        <f>SUM(P20*1000)</f>
        <v>46000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102</v>
      </c>
      <c r="Q28" s="69">
        <f>SUM(Q19:Q27)</f>
        <v>66000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26762</v>
      </c>
      <c r="P31" s="103">
        <v>26786</v>
      </c>
      <c r="Q31" s="104">
        <f>P31-O31</f>
        <v>24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11.531000000000001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10.542999999999999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274.11799999999999</v>
      </c>
      <c r="M3" s="18" t="s">
        <v>10</v>
      </c>
      <c r="N3" s="3"/>
      <c r="O3" s="3"/>
      <c r="P3" s="149" t="str">
        <f>+'(1)'!C1&amp;"년"&amp;'(1)'!E1&amp;"월"&amp;C1&amp;"일"</f>
        <v>2023년9월26일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10846.637000000001</v>
      </c>
      <c r="E4" s="34" t="str">
        <f>+'[1](1)'!E4</f>
        <v>고액권</v>
      </c>
      <c r="F4" s="36">
        <v>5000</v>
      </c>
      <c r="G4" s="27"/>
      <c r="H4" s="34" t="str">
        <f>+C4</f>
        <v>판매량</v>
      </c>
      <c r="I4" s="35">
        <v>8898.7559999999994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30836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19745.393</v>
      </c>
      <c r="P5" s="47" t="str">
        <f>+E4</f>
        <v>고액권</v>
      </c>
      <c r="Q5" s="48">
        <f>SUM(F4+K4+F17+K17+F35+K35)</f>
        <v>105000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296.71100000000001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296.71100000000001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9987772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18346681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18346681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346.25299999999999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110.46599999999999</v>
      </c>
      <c r="J10" s="42" t="str">
        <f>+'[1](1)'!J10</f>
        <v>OK케시백</v>
      </c>
      <c r="K10" s="44">
        <v>9000</v>
      </c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-12118.855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-3866.31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1"/>
        <v>고객우대</v>
      </c>
      <c r="O11" s="54">
        <f>SUM(D10+I10+D23+I23+D41+I41)</f>
        <v>456.71899999999999</v>
      </c>
      <c r="P11" s="51" t="str">
        <f t="shared" si="2"/>
        <v>OK케시백</v>
      </c>
      <c r="Q11" s="53">
        <f>SUM(F10+K10+F23+K23+F41+K41)</f>
        <v>9000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46779</v>
      </c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-15985.164999999999</v>
      </c>
      <c r="P12" s="51" t="str">
        <f t="shared" si="2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10041960.623000002</v>
      </c>
      <c r="E13" s="29" t="str">
        <f>+'[1](1)'!E13</f>
        <v>합계</v>
      </c>
      <c r="F13" s="61">
        <f>SUM(F4:F12)</f>
        <v>10042551</v>
      </c>
      <c r="G13" s="62"/>
      <c r="H13" s="29" t="str">
        <f t="shared" si="0"/>
        <v>합계</v>
      </c>
      <c r="I13" s="60">
        <f>SUM((I4-I5-I6-I7-I8-I9)*$I$1+I11)</f>
        <v>8476648.1579999998</v>
      </c>
      <c r="J13" s="29" t="str">
        <f>+E13</f>
        <v>합계</v>
      </c>
      <c r="K13" s="61">
        <f>IF(K8=0,0,SUM(K4:K12)-F8)</f>
        <v>8473909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46779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590.37699999846518</v>
      </c>
      <c r="G14" s="27"/>
      <c r="H14" s="27"/>
      <c r="I14" s="27"/>
      <c r="J14" s="27"/>
      <c r="K14" s="67">
        <f>SUM(K13-I13)</f>
        <v>-2739.1579999998212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159052.973</v>
      </c>
      <c r="P14" s="39" t="str">
        <f t="shared" si="2"/>
        <v>합계</v>
      </c>
      <c r="Q14" s="69">
        <f>SUM(Q5:Q13)</f>
        <v>18516460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-2148.781000001356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26786</v>
      </c>
      <c r="P31" s="103">
        <v>26786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Q9" sqref="Q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12.522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10.616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286.63200000000001</v>
      </c>
      <c r="M3" s="18" t="s">
        <v>10</v>
      </c>
      <c r="N3" s="3"/>
      <c r="O3" s="3"/>
      <c r="P3" s="149" t="str">
        <f>+'(1)'!C1&amp;"년"&amp;'(1)'!E1&amp;"월"&amp;C1&amp;"일"</f>
        <v>2023년9월27일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12369.232</v>
      </c>
      <c r="E4" s="34" t="str">
        <f>+'[1](1)'!E4</f>
        <v>고액권</v>
      </c>
      <c r="F4" s="36">
        <v>275000</v>
      </c>
      <c r="G4" s="27"/>
      <c r="H4" s="34" t="str">
        <f>+C4</f>
        <v>판매량</v>
      </c>
      <c r="I4" s="35">
        <v>9071.9709999999995</v>
      </c>
      <c r="J4" s="42" t="str">
        <f>+'[1](1)'!J4</f>
        <v>고액권</v>
      </c>
      <c r="K4" s="36">
        <v>50000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43771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21441.203000000001</v>
      </c>
      <c r="P5" s="47" t="str">
        <f>+E4</f>
        <v>고액권</v>
      </c>
      <c r="Q5" s="48">
        <f>SUM(F4+K4+F17+K17+F35+K35)</f>
        <v>325000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262.36700000000002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262.36700000000002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11207292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f>F8+8586312</f>
        <v>19793604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19793604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321.33100000000002</v>
      </c>
      <c r="E10" s="42" t="str">
        <f>+'[1](1)'!E10</f>
        <v>OK케시백</v>
      </c>
      <c r="F10" s="44">
        <v>3000</v>
      </c>
      <c r="G10" s="27"/>
      <c r="H10" s="42" t="str">
        <f t="shared" si="0"/>
        <v>고객우대</v>
      </c>
      <c r="I10" s="50">
        <v>47.170999999999999</v>
      </c>
      <c r="J10" s="42" t="str">
        <f>+'[1](1)'!J10</f>
        <v>OK케시백</v>
      </c>
      <c r="K10" s="44">
        <v>5000</v>
      </c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-11246.585000000001</v>
      </c>
      <c r="E11" s="42" t="str">
        <f>+'[1](1)'!E11</f>
        <v>모바일</v>
      </c>
      <c r="F11" s="44">
        <v>40000</v>
      </c>
      <c r="G11" s="27"/>
      <c r="H11" s="83" t="str">
        <f t="shared" si="0"/>
        <v>-</v>
      </c>
      <c r="I11" s="55">
        <f>SUM(I10*-35)</f>
        <v>-1650.9849999999999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368.50200000000001</v>
      </c>
      <c r="P11" s="51" t="str">
        <f t="shared" si="2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-12897.57</v>
      </c>
      <c r="P12" s="51" t="str">
        <f t="shared" si="2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11526595.76</v>
      </c>
      <c r="E13" s="29" t="str">
        <f>+'[1](1)'!E13</f>
        <v>합계</v>
      </c>
      <c r="F13" s="61">
        <f>SUM(F4:F12)</f>
        <v>11526292</v>
      </c>
      <c r="G13" s="62"/>
      <c r="H13" s="29" t="str">
        <f t="shared" si="0"/>
        <v>합계</v>
      </c>
      <c r="I13" s="60">
        <f>SUM((I4-I5-I6-I7-I8-I9)*$I$1+I11)</f>
        <v>8643937.3780000005</v>
      </c>
      <c r="J13" s="29" t="str">
        <f>+E13</f>
        <v>합계</v>
      </c>
      <c r="K13" s="61">
        <f>IF(K8=0,0,SUM(K4:K12)-F8)</f>
        <v>8644312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-303.75999999977648</v>
      </c>
      <c r="G14" s="27"/>
      <c r="H14" s="27"/>
      <c r="I14" s="27"/>
      <c r="J14" s="27"/>
      <c r="K14" s="67">
        <f>SUM(K13-I13)</f>
        <v>374.62199999950826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177711.95400000003</v>
      </c>
      <c r="P14" s="39" t="str">
        <f t="shared" si="2"/>
        <v>합계</v>
      </c>
      <c r="Q14" s="69">
        <f>SUM(Q5:Q13)</f>
        <v>20170604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70.861999999731779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68</v>
      </c>
      <c r="Q20" s="53">
        <f>SUM(P20*1000)</f>
        <v>68000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128</v>
      </c>
      <c r="Q28" s="69">
        <f>SUM(Q19:Q27)</f>
        <v>82000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26786</v>
      </c>
      <c r="P31" s="103">
        <v>26830</v>
      </c>
      <c r="Q31" s="104">
        <f>P31-O31</f>
        <v>44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6" sqref="R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6.867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10.481999999999999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293.49599999999998</v>
      </c>
      <c r="M3" s="18" t="s">
        <v>10</v>
      </c>
      <c r="N3" s="3"/>
      <c r="O3" s="3"/>
      <c r="P3" s="149" t="str">
        <f>+'(1)'!C1&amp;"년"&amp;'(1)'!E1&amp;"월"&amp;C1&amp;"일"</f>
        <v>2023년9월28일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7147.4830000000002</v>
      </c>
      <c r="E4" s="34" t="str">
        <f>+'[1](1)'!E4</f>
        <v>고액권</v>
      </c>
      <c r="F4" s="36">
        <v>45000</v>
      </c>
      <c r="G4" s="27"/>
      <c r="H4" s="34" t="str">
        <f>+C4</f>
        <v>판매량</v>
      </c>
      <c r="I4" s="35">
        <v>4611.7830000000004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31631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11759.266</v>
      </c>
      <c r="P5" s="47" t="str">
        <f>+E4</f>
        <v>고액권</v>
      </c>
      <c r="Q5" s="48">
        <f>SUM(F4+K4+F17+K17+F35+K35)</f>
        <v>225000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39.088999999999999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39.088999999999999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6660174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f>F8+4199076</f>
        <v>10859250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10859250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105.709</v>
      </c>
      <c r="E10" s="42" t="str">
        <f>+'[1](1)'!E10</f>
        <v>OK케시백</v>
      </c>
      <c r="F10" s="44">
        <v>2000</v>
      </c>
      <c r="G10" s="27"/>
      <c r="H10" s="42" t="str">
        <f t="shared" si="0"/>
        <v>고객우대</v>
      </c>
      <c r="I10" s="50"/>
      <c r="J10" s="42" t="str">
        <f>+'[1](1)'!J10</f>
        <v>OK케시백</v>
      </c>
      <c r="K10" s="44">
        <v>15000</v>
      </c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-3699.8150000000001</v>
      </c>
      <c r="E11" s="42" t="str">
        <f>+'[1](1)'!E11</f>
        <v>모바일</v>
      </c>
      <c r="F11" s="44">
        <v>9000</v>
      </c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105.709</v>
      </c>
      <c r="P11" s="51" t="str">
        <f t="shared" si="2"/>
        <v>OK케시백</v>
      </c>
      <c r="Q11" s="53">
        <f>SUM(F10+K10+F23+K23+F41+K41)</f>
        <v>17000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53708</v>
      </c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-3699.8150000000001</v>
      </c>
      <c r="P12" s="51" t="str">
        <f t="shared" si="2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6770599.6669999994</v>
      </c>
      <c r="E13" s="29" t="str">
        <f>+'[1](1)'!E13</f>
        <v>합계</v>
      </c>
      <c r="F13" s="61">
        <f>SUM(F4:F12)</f>
        <v>6769882</v>
      </c>
      <c r="G13" s="62"/>
      <c r="H13" s="29" t="str">
        <f t="shared" si="0"/>
        <v>합계</v>
      </c>
      <c r="I13" s="60">
        <f>SUM((I4-I5-I6-I7-I8-I9)*$I$1+I11)</f>
        <v>4395029.199</v>
      </c>
      <c r="J13" s="29" t="str">
        <f>+E13</f>
        <v>합계</v>
      </c>
      <c r="K13" s="61">
        <f>IF(K8=0,0,SUM(K4:K12)-F8)</f>
        <v>4395076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53708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-717.66699999943376</v>
      </c>
      <c r="G14" s="27"/>
      <c r="H14" s="27"/>
      <c r="I14" s="27"/>
      <c r="J14" s="27"/>
      <c r="K14" s="67">
        <f>SUM(K13-I13)</f>
        <v>46.800999999977648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101781.77799999999</v>
      </c>
      <c r="P14" s="39" t="str">
        <f t="shared" si="2"/>
        <v>합계</v>
      </c>
      <c r="Q14" s="69">
        <f>SUM(Q5:Q13)</f>
        <v>11164958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-670.86599999945611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111</v>
      </c>
      <c r="Q20" s="53">
        <f>SUM(P20*1000)</f>
        <v>111000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-22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131</v>
      </c>
      <c r="Q28" s="69">
        <f>SUM(Q19:Q27)</f>
        <v>122000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26830</v>
      </c>
      <c r="P31" s="103">
        <v>26893</v>
      </c>
      <c r="Q31" s="104">
        <f>P31-O31</f>
        <v>63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5.5609999999999999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10.311999999999999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299.048</v>
      </c>
      <c r="M3" s="18" t="s">
        <v>10</v>
      </c>
      <c r="N3" s="3"/>
      <c r="O3" s="3"/>
      <c r="P3" s="149" t="str">
        <f>+'(1)'!C1&amp;"년"&amp;'(1)'!E1&amp;"월"&amp;C1&amp;"일"</f>
        <v>2023년9월29일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4660.1000000000004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4862.5349999999999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21799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9522.6350000000002</v>
      </c>
      <c r="P5" s="47" t="str">
        <f>+E4</f>
        <v>고액권</v>
      </c>
      <c r="Q5" s="48">
        <f>SUM(F4+K4+F17+K17+F35+K35)</f>
        <v>280000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0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4278990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8770364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8770364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15000</v>
      </c>
      <c r="G10" s="27"/>
      <c r="H10" s="42" t="str">
        <f t="shared" si="0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0</v>
      </c>
      <c r="P11" s="51" t="str">
        <f t="shared" si="2"/>
        <v>OK케시백</v>
      </c>
      <c r="Q11" s="53">
        <f>SUM(F10+K10+F23+K23+F41+K41)</f>
        <v>15000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0</v>
      </c>
      <c r="P12" s="51" t="str">
        <f t="shared" si="2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4441075.3000000007</v>
      </c>
      <c r="E13" s="29" t="str">
        <f>+'[1](1)'!E13</f>
        <v>합계</v>
      </c>
      <c r="F13" s="61">
        <f>SUM(F4:F12)</f>
        <v>4439990</v>
      </c>
      <c r="G13" s="62"/>
      <c r="H13" s="29" t="str">
        <f t="shared" si="0"/>
        <v>합계</v>
      </c>
      <c r="I13" s="60">
        <f>SUM((I4-I5-I6-I7-I8-I9)*$I$1+I11)</f>
        <v>4633995.8549999995</v>
      </c>
      <c r="J13" s="29" t="str">
        <f>+E13</f>
        <v>합계</v>
      </c>
      <c r="K13" s="61">
        <f>IF(K8=0,0,SUM(K4:K12)-F8)</f>
        <v>4634374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-1085.3000000007451</v>
      </c>
      <c r="G14" s="27"/>
      <c r="H14" s="27"/>
      <c r="I14" s="27"/>
      <c r="J14" s="27"/>
      <c r="K14" s="67">
        <f>SUM(K13-I13)</f>
        <v>378.14500000048429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85703.714999999997</v>
      </c>
      <c r="P14" s="39" t="str">
        <f t="shared" si="2"/>
        <v>합계</v>
      </c>
      <c r="Q14" s="69">
        <f>SUM(Q5:Q13)</f>
        <v>9074364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-707.15500000026077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26893</v>
      </c>
      <c r="P31" s="103">
        <v>26893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C2" sqref="C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1">
        <f>+ROUND(+O5*0.584/1000,3)</f>
        <v>6.5170000000000003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10.617000000000001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+F3</f>
        <v>수량 및 금액</v>
      </c>
      <c r="L3" s="21">
        <f>+L2*C1</f>
        <v>31.851000000000003</v>
      </c>
      <c r="M3" s="18" t="s">
        <v>10</v>
      </c>
      <c r="N3" s="3"/>
      <c r="O3" s="3"/>
      <c r="P3" s="149" t="str">
        <f>+'(1)'!C1&amp;"년"&amp;'(1)'!E1&amp;"월"&amp;C1&amp;"일"</f>
        <v>2023년9월3일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6224.9449999999997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4934.8860000000004</v>
      </c>
      <c r="J4" s="42" t="str">
        <f>+'[1](1)'!J4</f>
        <v>고액권</v>
      </c>
      <c r="K4" s="36">
        <v>270000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30495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11159.831</v>
      </c>
      <c r="P5" s="47" t="str">
        <f>+E4</f>
        <v>고액권</v>
      </c>
      <c r="Q5" s="48">
        <f>SUM(F4+K4+F17+K17+F35+K35)</f>
        <v>370000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0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5812995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10220755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10220755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48.468000000000004</v>
      </c>
      <c r="E10" s="42" t="str">
        <f>+'[1](1)'!E10</f>
        <v>OK케시백</v>
      </c>
      <c r="F10" s="44">
        <v>8500</v>
      </c>
      <c r="G10" s="27"/>
      <c r="H10" s="42" t="str">
        <f t="shared" si="0"/>
        <v>고객우대</v>
      </c>
      <c r="I10" s="50">
        <v>0</v>
      </c>
      <c r="J10" s="42" t="str">
        <f>+'[1](1)'!J10</f>
        <v>OK케시백</v>
      </c>
      <c r="K10" s="44">
        <v>22700</v>
      </c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-1696.38</v>
      </c>
      <c r="E11" s="42" t="str">
        <f>+'[1](1)'!E11</f>
        <v>모바일</v>
      </c>
      <c r="F11" s="44">
        <v>5000</v>
      </c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48.468000000000004</v>
      </c>
      <c r="P11" s="51" t="str">
        <f t="shared" si="2"/>
        <v>OK케시백</v>
      </c>
      <c r="Q11" s="53">
        <f>SUM(F10+K10+F23+K23+F41+K41)</f>
        <v>31200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-1696.38</v>
      </c>
      <c r="P12" s="51" t="str">
        <f t="shared" si="2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5930676.2050000001</v>
      </c>
      <c r="E13" s="29" t="str">
        <f>+'[1](1)'!E13</f>
        <v>합계</v>
      </c>
      <c r="F13" s="61">
        <f>SUM(F4:F12)</f>
        <v>5929495</v>
      </c>
      <c r="G13" s="62"/>
      <c r="H13" s="29" t="str">
        <f t="shared" si="0"/>
        <v>합계</v>
      </c>
      <c r="I13" s="60">
        <f>SUM((I4-I5-I6-I7-I8-I9)*$I$1+I11)</f>
        <v>4702946.358</v>
      </c>
      <c r="J13" s="29" t="str">
        <f>+E13</f>
        <v>합계</v>
      </c>
      <c r="K13" s="61">
        <f>IF(K8=0,0,SUM(K4:K12)-F8)</f>
        <v>4703460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-1181.2050000000745</v>
      </c>
      <c r="G14" s="27"/>
      <c r="H14" s="27"/>
      <c r="I14" s="27"/>
      <c r="J14" s="27"/>
      <c r="K14" s="67">
        <f>SUM(K13-I13)</f>
        <v>513.64199999999255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98742.099000000002</v>
      </c>
      <c r="P14" s="39" t="str">
        <f t="shared" si="2"/>
        <v>합계</v>
      </c>
      <c r="Q14" s="69">
        <f>SUM(Q5:Q13)</f>
        <v>10632955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-667.56300000008196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55</v>
      </c>
      <c r="Q20" s="53">
        <f>SUM(P20*1000)</f>
        <v>55000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14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82</v>
      </c>
      <c r="Q28" s="69">
        <f>SUM(Q19:Q27)</f>
        <v>60000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25984</v>
      </c>
      <c r="P31" s="103">
        <v>26014</v>
      </c>
      <c r="Q31" s="104">
        <f>P31-O31</f>
        <v>30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2" sqref="R12:R13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3.673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10.090999999999999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302.72999999999996</v>
      </c>
      <c r="M3" s="18" t="s">
        <v>10</v>
      </c>
      <c r="N3" s="3"/>
      <c r="O3" s="3"/>
      <c r="P3" s="149" t="str">
        <f>+'(1)'!C1&amp;"년"&amp;'(1)'!E1&amp;"월"&amp;C1&amp;"일"</f>
        <v>2023년9월30일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5386.3909999999996</v>
      </c>
      <c r="E4" s="34" t="str">
        <f>+'[1](1)'!E4</f>
        <v>고액권</v>
      </c>
      <c r="F4" s="36">
        <v>35000</v>
      </c>
      <c r="G4" s="27"/>
      <c r="H4" s="34" t="str">
        <f>+C4</f>
        <v>판매량</v>
      </c>
      <c r="I4" s="35">
        <v>903.31600000000003</v>
      </c>
      <c r="J4" s="42" t="str">
        <f>+'[1](1)'!J4</f>
        <v>고액권</v>
      </c>
      <c r="K4" s="36">
        <v>65000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51815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6289.7069999999994</v>
      </c>
      <c r="P5" s="47" t="str">
        <f>+E4</f>
        <v>고액권</v>
      </c>
      <c r="Q5" s="48">
        <f>SUM(F4+K4+F17+K17+F35+K35)</f>
        <v>100000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0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70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5049553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f>F8+792370</f>
        <v>5841923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5841923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45.814</v>
      </c>
      <c r="E10" s="42" t="str">
        <f>+'[1](1)'!E10</f>
        <v>OK케시백</v>
      </c>
      <c r="F10" s="44">
        <v>15000</v>
      </c>
      <c r="G10" s="27"/>
      <c r="H10" s="42" t="str">
        <f t="shared" si="0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-1603.49</v>
      </c>
      <c r="E11" s="42" t="str">
        <f>+'[1](1)'!E11</f>
        <v>모바일</v>
      </c>
      <c r="F11" s="44">
        <v>30000</v>
      </c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45.814</v>
      </c>
      <c r="P11" s="51" t="str">
        <f t="shared" si="2"/>
        <v>OK케시백</v>
      </c>
      <c r="Q11" s="53">
        <f>SUM(F10+K10+F23+K23+F41+K41)</f>
        <v>15000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-1603.49</v>
      </c>
      <c r="P12" s="51" t="str">
        <f t="shared" si="2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5131627.1329999994</v>
      </c>
      <c r="E13" s="29" t="str">
        <f>+'[1](1)'!E13</f>
        <v>합계</v>
      </c>
      <c r="F13" s="61">
        <f>SUM(F4:F12)</f>
        <v>5131553</v>
      </c>
      <c r="G13" s="62"/>
      <c r="H13" s="29" t="str">
        <f t="shared" si="0"/>
        <v>합계</v>
      </c>
      <c r="I13" s="60">
        <f>SUM((I4-I5-I6-I7-I8-I9)*$I$1+I11)</f>
        <v>860860.14800000004</v>
      </c>
      <c r="J13" s="29" t="str">
        <f>+E13</f>
        <v>합계</v>
      </c>
      <c r="K13" s="61">
        <f>IF(K8=0,0,SUM(K4:K12)-F8)</f>
        <v>860370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-74.132999999448657</v>
      </c>
      <c r="G14" s="27"/>
      <c r="H14" s="27"/>
      <c r="I14" s="27"/>
      <c r="J14" s="27"/>
      <c r="K14" s="67">
        <f>SUM(K13-I13)</f>
        <v>-490.1480000000447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55003.873</v>
      </c>
      <c r="P14" s="39" t="str">
        <f t="shared" si="2"/>
        <v>합계</v>
      </c>
      <c r="Q14" s="69">
        <f>SUM(Q5:Q13)</f>
        <v>5991923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-564.28099999949336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54</v>
      </c>
      <c r="Q20" s="53">
        <f>SUM(P20*1000)</f>
        <v>54000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73</v>
      </c>
      <c r="Q28" s="69">
        <f>SUM(Q19:Q27)</f>
        <v>60000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26893</v>
      </c>
      <c r="P31" s="103">
        <v>26919</v>
      </c>
      <c r="Q31" s="104">
        <f>P31-O31</f>
        <v>26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C2" sqref="C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9</v>
      </c>
      <c r="F1" s="1"/>
      <c r="G1" s="1"/>
      <c r="H1" s="1"/>
      <c r="I1" s="1">
        <v>953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9.7650000000000006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302.71500000000003</v>
      </c>
      <c r="M3" s="18" t="s">
        <v>10</v>
      </c>
      <c r="N3" s="3"/>
      <c r="O3" s="3"/>
      <c r="P3" s="149" t="str">
        <f>+'(1)'!C1&amp;"년"&amp;'(1)'!E1&amp;"월"&amp;C1&amp;"일"</f>
        <v>2023년9월31일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0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0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0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0</v>
      </c>
      <c r="P12" s="51" t="str">
        <f t="shared" si="2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0"/>
        <v>합계</v>
      </c>
      <c r="I13" s="60">
        <f>SUM((I4-I5-I6-I7-I8-I9)*$I$1+I11)</f>
        <v>0</v>
      </c>
      <c r="J13" s="29" t="str">
        <f>+E13</f>
        <v>합계</v>
      </c>
      <c r="K13" s="61">
        <f>IF(K8=0,0,SUM(K4:K12)-F8)</f>
        <v>0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0</v>
      </c>
      <c r="P14" s="39" t="str">
        <f t="shared" si="2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C2" sqref="C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1">
        <f>+ROUND(+O5*0.584/1000,3)</f>
        <v>10.302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10.538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+F3</f>
        <v>수량 및 금액</v>
      </c>
      <c r="L3" s="21">
        <f>+L2*C1</f>
        <v>42.152000000000001</v>
      </c>
      <c r="M3" s="18" t="s">
        <v>10</v>
      </c>
      <c r="N3" s="3"/>
      <c r="O3" s="3"/>
      <c r="P3" s="149" t="str">
        <f>+'(1)'!C1&amp;"년"&amp;'(1)'!E1&amp;"월"&amp;C1&amp;"일"</f>
        <v>2023년9월4일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9154.8119999999999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8485.4210000000003</v>
      </c>
      <c r="J4" s="42" t="str">
        <f>+'[1](1)'!J4</f>
        <v>고액권</v>
      </c>
      <c r="K4" s="36">
        <v>235000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48680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17640.233</v>
      </c>
      <c r="P5" s="47" t="str">
        <f>+E4</f>
        <v>고액권</v>
      </c>
      <c r="Q5" s="48">
        <f>SUM(F4+K4+F17+K17+F35+K35)</f>
        <v>400000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254.733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560</v>
      </c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254.733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8275996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16101179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560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16101179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169.822</v>
      </c>
      <c r="E10" s="42" t="str">
        <f>+'[1](1)'!E10</f>
        <v>OK케시백</v>
      </c>
      <c r="F10" s="44">
        <v>6000</v>
      </c>
      <c r="G10" s="27"/>
      <c r="H10" s="42" t="str">
        <f t="shared" si="0"/>
        <v>고객우대</v>
      </c>
      <c r="I10" s="50">
        <v>159.179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-5943.77</v>
      </c>
      <c r="E11" s="42" t="str">
        <f>+'[1](1)'!E11</f>
        <v>모바일</v>
      </c>
      <c r="F11" s="44">
        <v>35000</v>
      </c>
      <c r="G11" s="27"/>
      <c r="H11" s="83" t="str">
        <f t="shared" si="0"/>
        <v>-</v>
      </c>
      <c r="I11" s="55">
        <f>SUM(I10*-35)</f>
        <v>-5571.2650000000003</v>
      </c>
      <c r="J11" s="56" t="str">
        <f>+'[1](1)'!J11</f>
        <v>모바일</v>
      </c>
      <c r="K11" s="44">
        <v>20000</v>
      </c>
      <c r="L11" s="2"/>
      <c r="M11" s="20"/>
      <c r="N11" s="51" t="str">
        <f t="shared" si="1"/>
        <v>고객우대</v>
      </c>
      <c r="O11" s="54">
        <f>SUM(D10+I10+D23+I23+D41+I41)</f>
        <v>329.00099999999998</v>
      </c>
      <c r="P11" s="51" t="str">
        <f t="shared" si="2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-11515.035</v>
      </c>
      <c r="P12" s="51" t="str">
        <f t="shared" si="2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8475831.5170000009</v>
      </c>
      <c r="E13" s="29" t="str">
        <f>+'[1](1)'!E13</f>
        <v>합계</v>
      </c>
      <c r="F13" s="61">
        <f>SUM(F4:F12)</f>
        <v>8485556</v>
      </c>
      <c r="G13" s="62"/>
      <c r="H13" s="29" t="str">
        <f t="shared" si="0"/>
        <v>합계</v>
      </c>
      <c r="I13" s="60">
        <f>SUM((I4-I5-I6-I7-I8-I9)*$I$1+I11)</f>
        <v>8081034.9480000008</v>
      </c>
      <c r="J13" s="29" t="str">
        <f>+E13</f>
        <v>합계</v>
      </c>
      <c r="K13" s="61">
        <f>IF(K8=0,0,SUM(K4:K12)-F8)</f>
        <v>8080183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9724.4829999990761</v>
      </c>
      <c r="G14" s="27"/>
      <c r="H14" s="27"/>
      <c r="I14" s="27"/>
      <c r="J14" s="27"/>
      <c r="K14" s="67">
        <f>SUM(K13-I13)</f>
        <v>-851.94800000078976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144954.465</v>
      </c>
      <c r="P14" s="39" t="str">
        <f t="shared" si="2"/>
        <v>합계</v>
      </c>
      <c r="Q14" s="69">
        <f>SUM(Q5:Q13)</f>
        <v>16565739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8872.5349999982864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71</v>
      </c>
      <c r="Q20" s="53">
        <f>SUM(P20*1000)</f>
        <v>71000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15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-25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94</v>
      </c>
      <c r="Q28" s="69">
        <f>SUM(Q19:Q27)</f>
        <v>81000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26014</v>
      </c>
      <c r="P31" s="103">
        <v>26050</v>
      </c>
      <c r="Q31" s="104">
        <f>P31-O31</f>
        <v>36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C2" sqref="C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10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9</v>
      </c>
      <c r="F1" s="1"/>
      <c r="G1" s="1"/>
      <c r="H1" s="1"/>
      <c r="I1" s="128">
        <v>953</v>
      </c>
      <c r="J1" s="1"/>
      <c r="K1" s="1"/>
      <c r="L1" s="21">
        <f>+ROUND(+O5*0.584/1000,3)</f>
        <v>11.242000000000001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10.679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+F3</f>
        <v>수량 및 금액</v>
      </c>
      <c r="L3" s="21">
        <f>+L2*C1</f>
        <v>53.395000000000003</v>
      </c>
      <c r="M3" s="18" t="s">
        <v>10</v>
      </c>
      <c r="N3" s="3"/>
      <c r="O3" s="3"/>
      <c r="P3" s="149" t="str">
        <f>+'(1)'!C1&amp;"년"&amp;'(1)'!E1&amp;"월"&amp;C1&amp;"일"</f>
        <v>2023년9월5일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10253.450999999999</v>
      </c>
      <c r="E4" s="34" t="str">
        <f>+'[1](1)'!E4</f>
        <v>고액권</v>
      </c>
      <c r="F4" s="36"/>
      <c r="G4" s="27"/>
      <c r="H4" s="34" t="str">
        <f>+C4</f>
        <v>판매량</v>
      </c>
      <c r="I4" s="35">
        <v>8995.9390000000003</v>
      </c>
      <c r="J4" s="42" t="str">
        <f>+'[1](1)'!J4</f>
        <v>고액권</v>
      </c>
      <c r="K4" s="36">
        <v>200000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28212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-2000</v>
      </c>
      <c r="G5" s="99" t="s">
        <v>66</v>
      </c>
      <c r="H5" s="42" t="str">
        <f t="shared" ref="H5:H13" si="0">+C5</f>
        <v>법인전표</v>
      </c>
      <c r="I5" s="43"/>
      <c r="J5" s="42" t="str">
        <f>+'[1](1)'!J5</f>
        <v>천원권</v>
      </c>
      <c r="K5" s="44">
        <v>9000</v>
      </c>
      <c r="L5" s="2"/>
      <c r="M5" s="20"/>
      <c r="N5" s="45" t="str">
        <f>+C4</f>
        <v>판매량</v>
      </c>
      <c r="O5" s="46">
        <f>SUM(D4+I4+D17+I17+D35+I35)</f>
        <v>19249.39</v>
      </c>
      <c r="P5" s="47" t="str">
        <f>+E4</f>
        <v>고액권</v>
      </c>
      <c r="Q5" s="48">
        <f>SUM(F4+K4+F17+K17+F35+K35)</f>
        <v>200000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185.32400000000001</v>
      </c>
      <c r="E6" s="105" t="str">
        <f>+'[1](1)'!E6</f>
        <v>블루/레드포인트</v>
      </c>
      <c r="F6" s="44"/>
      <c r="G6" s="131" t="s">
        <v>65</v>
      </c>
      <c r="H6" s="42" t="str">
        <f t="shared" si="0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3.6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131" t="s">
        <v>67</v>
      </c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185.32400000000001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9512442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17819894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>
        <v>50000</v>
      </c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17819894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172.40199999999999</v>
      </c>
      <c r="E10" s="42" t="str">
        <f>+'[1](1)'!E10</f>
        <v>OK케시백</v>
      </c>
      <c r="F10" s="44">
        <v>20713</v>
      </c>
      <c r="G10" s="27"/>
      <c r="H10" s="42" t="str">
        <f t="shared" si="0"/>
        <v>고객우대</v>
      </c>
      <c r="I10" s="50">
        <v>165.39099999999999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-6034.07</v>
      </c>
      <c r="E11" s="42" t="str">
        <f>+'[1](1)'!E11</f>
        <v>모바일</v>
      </c>
      <c r="F11" s="44">
        <v>60000</v>
      </c>
      <c r="G11" s="27"/>
      <c r="H11" s="83" t="str">
        <f t="shared" si="0"/>
        <v>-</v>
      </c>
      <c r="I11" s="55">
        <f>SUM(I10*-35)</f>
        <v>-5788.6849999999995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337.79300000000001</v>
      </c>
      <c r="P11" s="51" t="str">
        <f t="shared" si="2"/>
        <v>OK케시백</v>
      </c>
      <c r="Q11" s="53">
        <f>SUM(F10+K10+F23+K23+F41+K41)</f>
        <v>20713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-11822.755000000001</v>
      </c>
      <c r="P12" s="51" t="str">
        <f t="shared" si="2"/>
        <v>모바일</v>
      </c>
      <c r="Q12" s="53">
        <f>SUM(F11+K11+F24+K24+F42+K42)</f>
        <v>60000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9588890.9609999992</v>
      </c>
      <c r="E13" s="29" t="str">
        <f>+'[1](1)'!E13</f>
        <v>합계</v>
      </c>
      <c r="F13" s="61">
        <f>SUM(F4:F12)</f>
        <v>9591155</v>
      </c>
      <c r="G13" s="62"/>
      <c r="H13" s="29" t="str">
        <f t="shared" si="0"/>
        <v>합계</v>
      </c>
      <c r="I13" s="60">
        <f>SUM((I4-I5-I6-I7-I8-I9)*$I$1+I11)</f>
        <v>8567341.182</v>
      </c>
      <c r="J13" s="29" t="str">
        <f>+E13</f>
        <v>합계</v>
      </c>
      <c r="K13" s="61">
        <f>IF(K8=0,0,SUM(K4:K12)-F8)</f>
        <v>8566452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2264.0390000008047</v>
      </c>
      <c r="G14" s="27"/>
      <c r="H14" s="27"/>
      <c r="I14" s="27"/>
      <c r="J14" s="27"/>
      <c r="K14" s="67">
        <f>SUM(K13-I13)</f>
        <v>-889.1820000000298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159753.83899999998</v>
      </c>
      <c r="P14" s="39" t="str">
        <f t="shared" si="2"/>
        <v>합계</v>
      </c>
      <c r="Q14" s="69">
        <f>SUM(Q5:Q13)</f>
        <v>18157607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1374.8570000007749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62</v>
      </c>
      <c r="Q20" s="53">
        <f>SUM(P20*1000)</f>
        <v>62000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112</v>
      </c>
      <c r="Q28" s="69">
        <f>SUM(Q19:Q27)</f>
        <v>76000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26050</v>
      </c>
      <c r="P31" s="103">
        <v>26081</v>
      </c>
      <c r="Q31" s="104">
        <f>P31-O31</f>
        <v>31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C2" sqref="C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1">
        <f>+ROUND(+O5*0.584/1000,3)</f>
        <v>11.698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10.849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+F3</f>
        <v>수량 및 금액</v>
      </c>
      <c r="L3" s="21">
        <f>+L2*C1</f>
        <v>65.093999999999994</v>
      </c>
      <c r="M3" s="18" t="s">
        <v>10</v>
      </c>
      <c r="N3" s="3"/>
      <c r="O3" s="3"/>
      <c r="P3" s="149" t="str">
        <f>+'(1)'!C1&amp;"년"&amp;'(1)'!E1&amp;"월"&amp;C1&amp;"일"</f>
        <v>2023년9월6일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10745.829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9285.4069999999992</v>
      </c>
      <c r="J4" s="42" t="str">
        <f>+'[1](1)'!J4</f>
        <v>고액권</v>
      </c>
      <c r="K4" s="36">
        <v>45000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43041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20031.235999999997</v>
      </c>
      <c r="P5" s="47" t="str">
        <f>+E4</f>
        <v>고액권</v>
      </c>
      <c r="Q5" s="48">
        <f>SUM(F4+K4+F17+K17+F35+K35)</f>
        <v>185000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346.78899999999999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346.78899999999999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9738164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18533210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18533210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544.37199999999996</v>
      </c>
      <c r="E10" s="42" t="str">
        <f>+'[1](1)'!E10</f>
        <v>OK케시백</v>
      </c>
      <c r="F10" s="44">
        <v>11600</v>
      </c>
      <c r="G10" s="27"/>
      <c r="H10" s="42" t="str">
        <f t="shared" si="0"/>
        <v>고객우대</v>
      </c>
      <c r="I10" s="50">
        <v>42.44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-19053.019999999997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-1485.3999999999999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1"/>
        <v>고객우대</v>
      </c>
      <c r="O11" s="54">
        <f>SUM(D10+I10+D23+I23+D41+I41)</f>
        <v>586.8119999999999</v>
      </c>
      <c r="P11" s="51" t="str">
        <f t="shared" si="2"/>
        <v>OK케시백</v>
      </c>
      <c r="Q11" s="53">
        <f>SUM(F10+K10+F23+K23+F41+K41)</f>
        <v>11600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-20538.419999999998</v>
      </c>
      <c r="P12" s="51" t="str">
        <f t="shared" si="2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9891232.0999999996</v>
      </c>
      <c r="E13" s="29" t="str">
        <f>+'[1](1)'!E13</f>
        <v>합계</v>
      </c>
      <c r="F13" s="61">
        <f>SUM(F4:F12)</f>
        <v>9890764</v>
      </c>
      <c r="G13" s="62"/>
      <c r="H13" s="29" t="str">
        <f t="shared" si="0"/>
        <v>합계</v>
      </c>
      <c r="I13" s="60">
        <f>SUM((I4-I5-I6-I7-I8-I9)*$I$1+I11)</f>
        <v>8847507.470999999</v>
      </c>
      <c r="J13" s="29" t="str">
        <f>+E13</f>
        <v>합계</v>
      </c>
      <c r="K13" s="61">
        <f>IF(K8=0,0,SUM(K4:K12)-F8)</f>
        <v>8847046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-468.09999999962747</v>
      </c>
      <c r="G14" s="27"/>
      <c r="H14" s="27"/>
      <c r="I14" s="27"/>
      <c r="J14" s="27"/>
      <c r="K14" s="67">
        <f>SUM(K13-I13)</f>
        <v>-461.47099999897182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156621.60299999994</v>
      </c>
      <c r="P14" s="39" t="str">
        <f t="shared" si="2"/>
        <v>합계</v>
      </c>
      <c r="Q14" s="69">
        <f>SUM(Q5:Q13)</f>
        <v>18737810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-929.57099999859929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60</v>
      </c>
      <c r="Q20" s="53">
        <f>SUM(P20*1000)</f>
        <v>60000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27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122</v>
      </c>
      <c r="Q28" s="69">
        <f>SUM(Q19:Q27)</f>
        <v>74000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26081</v>
      </c>
      <c r="P31" s="103">
        <v>26125</v>
      </c>
      <c r="Q31" s="104">
        <f>P31-O31</f>
        <v>44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C2" sqref="C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1">
        <f>+ROUND(+O5*0.584/1000,3)</f>
        <v>11.912000000000001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11.000999999999999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+F3</f>
        <v>수량 및 금액</v>
      </c>
      <c r="L3" s="21">
        <f>+L2*C1</f>
        <v>77.006999999999991</v>
      </c>
      <c r="M3" s="18" t="s">
        <v>10</v>
      </c>
      <c r="N3" s="3"/>
      <c r="O3" s="3"/>
      <c r="P3" s="149" t="str">
        <f>+'(1)'!C1&amp;"년"&amp;'(1)'!E1&amp;"월"&amp;C1&amp;"일"</f>
        <v>2023년9월7일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11099.505999999999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9297.7520000000004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21264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10000</v>
      </c>
      <c r="L5" s="2"/>
      <c r="M5" s="20"/>
      <c r="N5" s="45" t="str">
        <f>+C4</f>
        <v>판매량</v>
      </c>
      <c r="O5" s="46">
        <f>SUM(D4+I4+D17+I17+D35+I35)</f>
        <v>20397.258000000002</v>
      </c>
      <c r="P5" s="47" t="str">
        <f>+E4</f>
        <v>고액권</v>
      </c>
      <c r="Q5" s="48">
        <f>SUM(F4+K4+F17+K17+F35+K35)</f>
        <v>360000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258.77600000000001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258.77600000000001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10107302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v>18800807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18800807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218.524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53.784999999999997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-7648.34</v>
      </c>
      <c r="E11" s="42" t="str">
        <f>+'[1](1)'!E11</f>
        <v>모바일</v>
      </c>
      <c r="F11" s="44">
        <v>5000</v>
      </c>
      <c r="G11" s="27"/>
      <c r="H11" s="83" t="str">
        <f t="shared" si="0"/>
        <v>-</v>
      </c>
      <c r="I11" s="55">
        <f>SUM(I10*-35)</f>
        <v>-1882.4749999999999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1"/>
        <v>고객우대</v>
      </c>
      <c r="O11" s="54">
        <f>SUM(D10+I10+D23+I23+D41+I41)</f>
        <v>272.30899999999997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-9530.8149999999987</v>
      </c>
      <c r="P12" s="51" t="str">
        <f t="shared" si="2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10323567.35</v>
      </c>
      <c r="E13" s="29" t="str">
        <f>+'[1](1)'!E13</f>
        <v>합계</v>
      </c>
      <c r="F13" s="61">
        <f>SUM(F4:F12)</f>
        <v>10323302</v>
      </c>
      <c r="G13" s="62"/>
      <c r="H13" s="29" t="str">
        <f t="shared" si="0"/>
        <v>합계</v>
      </c>
      <c r="I13" s="60">
        <f>SUM((I4-I5-I6-I7-I8-I9)*$I$1+I11)</f>
        <v>8858875.1809999999</v>
      </c>
      <c r="J13" s="29" t="str">
        <f>+E13</f>
        <v>합계</v>
      </c>
      <c r="K13" s="61">
        <f>IF(K8=0,0,SUM(K4:K12)-F8)</f>
        <v>8857505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-265.34999999962747</v>
      </c>
      <c r="G14" s="27"/>
      <c r="H14" s="27"/>
      <c r="I14" s="27"/>
      <c r="J14" s="27"/>
      <c r="K14" s="67">
        <f>SUM(K13-I13)</f>
        <v>-1370.1809999998659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171715.52299999999</v>
      </c>
      <c r="P14" s="39" t="str">
        <f t="shared" si="2"/>
        <v>합계</v>
      </c>
      <c r="Q14" s="69">
        <f>SUM(Q5:Q13)</f>
        <v>19180807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-1635.5309999994934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96</v>
      </c>
      <c r="Q20" s="53">
        <f>SUM(P20*1000)</f>
        <v>96000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19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137</v>
      </c>
      <c r="Q28" s="69">
        <f>SUM(Q19:Q27)</f>
        <v>105000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26125</v>
      </c>
      <c r="P31" s="103">
        <v>26195</v>
      </c>
      <c r="Q31" s="104">
        <f>P31-O31</f>
        <v>70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M12" sqref="M1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2">
        <f>+ROUND(+O5*0.584/1000,3)</f>
        <v>11.638999999999999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11.081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+F3</f>
        <v>수량 및 금액</v>
      </c>
      <c r="L3" s="21">
        <f>+L2*C1</f>
        <v>88.647999999999996</v>
      </c>
      <c r="M3" s="18" t="s">
        <v>10</v>
      </c>
      <c r="N3" s="3"/>
      <c r="O3" s="3"/>
      <c r="P3" s="149" t="str">
        <f>+'(1)'!C1&amp;"년"&amp;'(1)'!E1&amp;"월"&amp;C1&amp;"일"</f>
        <v>2023년9월8일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11137.278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8792.5519999999997</v>
      </c>
      <c r="J4" s="42" t="str">
        <f>+'[1](1)'!J4</f>
        <v>고액권</v>
      </c>
      <c r="K4" s="36">
        <v>190000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36827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19929.830000000002</v>
      </c>
      <c r="P5" s="47" t="str">
        <f>+E4</f>
        <v>고액권</v>
      </c>
      <c r="Q5" s="48">
        <f>SUM(F4+K4+F17+K17+F35+K35)</f>
        <v>360000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267.57499999999999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267.57499999999999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10169125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f>F8+8154314</f>
        <v>18323439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">
        <v>68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18323439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350.80700000000002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>
        <v>102.572</v>
      </c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수리비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-12278.245000000001</v>
      </c>
      <c r="E11" s="42" t="str">
        <f>+'[1](1)'!E11</f>
        <v>모바일</v>
      </c>
      <c r="F11" s="44">
        <v>5000</v>
      </c>
      <c r="G11" s="27"/>
      <c r="H11" s="83" t="str">
        <f t="shared" si="0"/>
        <v>-</v>
      </c>
      <c r="I11" s="55">
        <f>SUM(I10*-35)</f>
        <v>-3590.02</v>
      </c>
      <c r="J11" s="56" t="str">
        <f>+'[1](1)'!J11</f>
        <v>모바일</v>
      </c>
      <c r="K11" s="132"/>
      <c r="L11" s="133">
        <v>30000</v>
      </c>
      <c r="M11" s="20" t="s">
        <v>69</v>
      </c>
      <c r="N11" s="51" t="str">
        <f t="shared" si="1"/>
        <v>고객우대</v>
      </c>
      <c r="O11" s="54">
        <f>SUM(D10+I10+D23+I23+D41+I41)</f>
        <v>453.37900000000002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-15868.265000000001</v>
      </c>
      <c r="P12" s="51" t="str">
        <f t="shared" si="2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10346548.714</v>
      </c>
      <c r="E13" s="29" t="str">
        <f>+'[1](1)'!E13</f>
        <v>합계</v>
      </c>
      <c r="F13" s="61">
        <f>SUM(F4:F12)</f>
        <v>10348125</v>
      </c>
      <c r="G13" s="62"/>
      <c r="H13" s="29" t="str">
        <f t="shared" si="0"/>
        <v>합계</v>
      </c>
      <c r="I13" s="60">
        <f>SUM((I4-I5-I6-I7-I8-I9)*$I$1+I11)</f>
        <v>8375712.0360000003</v>
      </c>
      <c r="J13" s="29" t="str">
        <f>+E13</f>
        <v>합계</v>
      </c>
      <c r="K13" s="61">
        <f>IF(K8=0,0,SUM(K4:K12)-F8)</f>
        <v>8345314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1576.2860000003129</v>
      </c>
      <c r="G14" s="27"/>
      <c r="H14" s="27"/>
      <c r="I14" s="27"/>
      <c r="J14" s="27"/>
      <c r="K14" s="67">
        <f>SUM(K13-I13)</f>
        <v>-30398.036000000313</v>
      </c>
      <c r="L14" s="2">
        <f>SUM(L4:L13)</f>
        <v>30000</v>
      </c>
      <c r="M14" s="18" t="s">
        <v>9</v>
      </c>
      <c r="N14" s="39" t="str">
        <f t="shared" si="1"/>
        <v>합계</v>
      </c>
      <c r="O14" s="68">
        <f>SUM((O5-O6-O7-O8-O9-O10)*+E1+O12)</f>
        <v>161092.03</v>
      </c>
      <c r="P14" s="39" t="str">
        <f t="shared" si="2"/>
        <v>합계</v>
      </c>
      <c r="Q14" s="69">
        <f>SUM(Q5:Q13)</f>
        <v>18693439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-28821.75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수리비</v>
      </c>
      <c r="F22" s="44"/>
      <c r="G22" s="27"/>
      <c r="H22" s="42" t="str">
        <f t="shared" si="5"/>
        <v>-</v>
      </c>
      <c r="I22" s="50"/>
      <c r="J22" s="42" t="str">
        <f t="shared" si="6"/>
        <v>수리비</v>
      </c>
      <c r="K22" s="44"/>
      <c r="L22" s="2"/>
      <c r="M22" s="1"/>
      <c r="N22" s="146" t="s">
        <v>59</v>
      </c>
      <c r="O22" s="141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135</v>
      </c>
      <c r="Q28" s="69">
        <f>SUM(Q19:Q27)</f>
        <v>99000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26195</v>
      </c>
      <c r="P31" s="103">
        <v>26251</v>
      </c>
      <c r="Q31" s="104">
        <f>P31-O31</f>
        <v>56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9</v>
      </c>
      <c r="F1" s="1"/>
      <c r="G1" s="1"/>
      <c r="H1" s="1"/>
      <c r="I1" s="1">
        <v>953</v>
      </c>
      <c r="J1" s="1"/>
      <c r="K1" s="1"/>
      <c r="L1" s="22">
        <f>+ROUND(+O5*0.584/1000,3)</f>
        <v>9.6349999999999998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10.92</v>
      </c>
      <c r="M2" s="18" t="s">
        <v>7</v>
      </c>
      <c r="N2" s="148" t="s">
        <v>1</v>
      </c>
      <c r="O2" s="148"/>
      <c r="P2" s="148"/>
      <c r="Q2" s="14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>+D3</f>
        <v>수량 및 금액</v>
      </c>
      <c r="J3" s="34" t="str">
        <f>+'[1](1)'!J3</f>
        <v>제   목</v>
      </c>
      <c r="K3" s="29" t="str">
        <f>+F3</f>
        <v>수량 및 금액</v>
      </c>
      <c r="L3" s="21">
        <f>+L2*C1</f>
        <v>98.28</v>
      </c>
      <c r="M3" s="18" t="s">
        <v>10</v>
      </c>
      <c r="N3" s="3"/>
      <c r="O3" s="3"/>
      <c r="P3" s="149" t="str">
        <f>+'(1)'!C1&amp;"년"&amp;'(1)'!E1&amp;"월"&amp;C1&amp;"일"</f>
        <v>2023년9월9일</v>
      </c>
      <c r="Q3" s="14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8479.1650000000009</v>
      </c>
      <c r="E4" s="34" t="str">
        <f>+'[1](1)'!E4</f>
        <v>고액권</v>
      </c>
      <c r="F4" s="36">
        <v>145000</v>
      </c>
      <c r="G4" s="27"/>
      <c r="H4" s="34" t="str">
        <f>+C4</f>
        <v>판매량</v>
      </c>
      <c r="I4" s="35">
        <v>8019.1310000000003</v>
      </c>
      <c r="J4" s="42" t="str">
        <f>+'[1](1)'!J4</f>
        <v>고액권</v>
      </c>
      <c r="K4" s="36">
        <v>170000</v>
      </c>
      <c r="L4" s="2"/>
      <c r="M4" s="20"/>
      <c r="N4" s="39" t="str">
        <f>+C3</f>
        <v>제   목</v>
      </c>
      <c r="O4" s="39" t="str">
        <f>+D3</f>
        <v>수량 및 금액</v>
      </c>
      <c r="P4" s="39" t="str">
        <f>+E3</f>
        <v>제   목</v>
      </c>
      <c r="Q4" s="39" t="str">
        <f>+F3</f>
        <v>수량 및 금액</v>
      </c>
      <c r="R4" s="5">
        <v>19824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0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16498.296000000002</v>
      </c>
      <c r="P5" s="47" t="str">
        <f>+E4</f>
        <v>고액권</v>
      </c>
      <c r="Q5" s="48">
        <f>SUM(F4+K4+F17+K17+F35+K35)</f>
        <v>315000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111.658</v>
      </c>
      <c r="E6" s="105" t="str">
        <f>+'[1](1)'!E6</f>
        <v>블루/레드포인트</v>
      </c>
      <c r="F6" s="44"/>
      <c r="G6" s="27"/>
      <c r="H6" s="42" t="str">
        <f t="shared" si="0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0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1">+C6</f>
        <v>외상전표</v>
      </c>
      <c r="O7" s="54">
        <f>SUM(D6+I6+D19+I19+D37+I37)</f>
        <v>111.658</v>
      </c>
      <c r="P7" s="106" t="str">
        <f t="shared" ref="P7:P14" si="2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7820145</v>
      </c>
      <c r="G8" s="27"/>
      <c r="H8" s="34" t="str">
        <f t="shared" si="0"/>
        <v>자가소비</v>
      </c>
      <c r="I8" s="50"/>
      <c r="J8" s="42" t="str">
        <f>+'[1](1)'!J8</f>
        <v>신용카드</v>
      </c>
      <c r="K8" s="44">
        <f>F8+7470318</f>
        <v>15290463</v>
      </c>
      <c r="L8" s="2"/>
      <c r="M8" s="20"/>
      <c r="N8" s="51" t="str">
        <f t="shared" si="1"/>
        <v>효신(업)</v>
      </c>
      <c r="O8" s="52">
        <f>SUM(D7+I7+D20+I20+D38+I38)</f>
        <v>0</v>
      </c>
      <c r="P8" s="106" t="str">
        <f t="shared" si="2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0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1"/>
        <v>자가소비</v>
      </c>
      <c r="O9" s="54">
        <f>SUM(D8+I8+D21+I21+D39+I39)</f>
        <v>0</v>
      </c>
      <c r="P9" s="51" t="str">
        <f t="shared" si="2"/>
        <v>신용카드</v>
      </c>
      <c r="Q9" s="53">
        <f>IF(K8=0,F8,IF(F21=0,K8,IF(K21=0,F21,K21)))</f>
        <v>15290463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141.24299999999999</v>
      </c>
      <c r="E10" s="42" t="str">
        <f>+'[1](1)'!E10</f>
        <v>OK케시백</v>
      </c>
      <c r="F10" s="44"/>
      <c r="G10" s="27"/>
      <c r="H10" s="42" t="str">
        <f t="shared" si="0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1"/>
        <v>-</v>
      </c>
      <c r="O10" s="54"/>
      <c r="P10" s="51" t="str">
        <f t="shared" si="2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-4943.5050000000001</v>
      </c>
      <c r="E11" s="42" t="str">
        <f>+'[1](1)'!E11</f>
        <v>모바일</v>
      </c>
      <c r="F11" s="44"/>
      <c r="G11" s="27"/>
      <c r="H11" s="83" t="str">
        <f t="shared" si="0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1"/>
        <v>고객우대</v>
      </c>
      <c r="O11" s="54">
        <f>SUM(D10+I10+D23+I23+D41+I41)</f>
        <v>141.24299999999999</v>
      </c>
      <c r="P11" s="51" t="str">
        <f t="shared" si="2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0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1"/>
        <v>-</v>
      </c>
      <c r="O12" s="55">
        <f>SUM(O11*-35)</f>
        <v>-4943.5050000000001</v>
      </c>
      <c r="P12" s="51" t="str">
        <f t="shared" si="2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7969290.6660000011</v>
      </c>
      <c r="E13" s="29" t="str">
        <f>+'[1](1)'!E13</f>
        <v>합계</v>
      </c>
      <c r="F13" s="61">
        <f>SUM(F4:F12)</f>
        <v>7968145</v>
      </c>
      <c r="G13" s="62"/>
      <c r="H13" s="29" t="str">
        <f t="shared" si="0"/>
        <v>합계</v>
      </c>
      <c r="I13" s="60">
        <f>SUM((I4-I5-I6-I7-I8-I9)*$I$1+I11)</f>
        <v>7642231.8430000003</v>
      </c>
      <c r="J13" s="29" t="str">
        <f>+E13</f>
        <v>합계</v>
      </c>
      <c r="K13" s="61">
        <f>IF(K8=0,0,SUM(K4:K12)-F8)</f>
        <v>7643318</v>
      </c>
      <c r="L13" s="2"/>
      <c r="M13" s="20"/>
      <c r="N13" s="63" t="str">
        <f t="shared" si="1"/>
        <v>-</v>
      </c>
      <c r="O13" s="64"/>
      <c r="P13" s="63" t="str">
        <f t="shared" si="2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-1145.6660000011325</v>
      </c>
      <c r="G14" s="27"/>
      <c r="H14" s="27"/>
      <c r="I14" s="27"/>
      <c r="J14" s="27"/>
      <c r="K14" s="67">
        <f>SUM(K13-I13)</f>
        <v>1086.1569999996573</v>
      </c>
      <c r="L14" s="2">
        <f>SUM(L4:L13)</f>
        <v>0</v>
      </c>
      <c r="M14" s="18" t="s">
        <v>9</v>
      </c>
      <c r="N14" s="39" t="str">
        <f t="shared" si="1"/>
        <v>합계</v>
      </c>
      <c r="O14" s="68">
        <f>SUM((O5-O6-O7-O8-O9-O10)*+E1+O12)</f>
        <v>142536.23700000002</v>
      </c>
      <c r="P14" s="39" t="str">
        <f t="shared" si="2"/>
        <v>합계</v>
      </c>
      <c r="Q14" s="69">
        <f>SUM(Q5:Q13)</f>
        <v>15611463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-59.509000001475215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>+D3</f>
        <v>수량 및 금액</v>
      </c>
      <c r="E16" s="29" t="str">
        <f>+E3</f>
        <v>제   목</v>
      </c>
      <c r="F16" s="29" t="str">
        <f>+F3</f>
        <v>수량 및 금액</v>
      </c>
      <c r="G16" s="27"/>
      <c r="H16" s="29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4" t="s">
        <v>34</v>
      </c>
      <c r="O18" s="147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3">+C6</f>
        <v>외상전표</v>
      </c>
      <c r="D19" s="50"/>
      <c r="E19" s="105" t="str">
        <f t="shared" ref="E19:E25" si="4">+E6</f>
        <v>블루/레드포인트</v>
      </c>
      <c r="F19" s="44"/>
      <c r="G19" s="27"/>
      <c r="H19" s="42" t="str">
        <f t="shared" ref="H19:H25" si="5">+C6</f>
        <v>외상전표</v>
      </c>
      <c r="I19" s="50"/>
      <c r="J19" s="105" t="str">
        <f t="shared" ref="J19:J25" si="6">+E6</f>
        <v>블루/레드포인트</v>
      </c>
      <c r="K19" s="44"/>
      <c r="L19" s="2"/>
      <c r="M19" s="1"/>
      <c r="N19" s="138" t="s">
        <v>37</v>
      </c>
      <c r="O19" s="139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3"/>
        <v>효신(업)</v>
      </c>
      <c r="D20" s="50"/>
      <c r="E20" s="42" t="str">
        <f t="shared" si="4"/>
        <v>롯대칠성</v>
      </c>
      <c r="F20" s="44"/>
      <c r="G20" s="27"/>
      <c r="H20" s="42" t="str">
        <f t="shared" si="5"/>
        <v>효신(업)</v>
      </c>
      <c r="I20" s="50"/>
      <c r="J20" s="42" t="str">
        <f t="shared" si="6"/>
        <v>롯대칠성</v>
      </c>
      <c r="K20" s="44"/>
      <c r="L20" s="2"/>
      <c r="M20" s="1"/>
      <c r="N20" s="144" t="s">
        <v>38</v>
      </c>
      <c r="O20" s="145"/>
      <c r="P20" s="118">
        <v>65</v>
      </c>
      <c r="Q20" s="53">
        <f>SUM(P20*1000)</f>
        <v>65000</v>
      </c>
      <c r="R20" s="1"/>
      <c r="S20" s="1"/>
      <c r="T20" s="1"/>
      <c r="U20" s="1"/>
      <c r="V20" s="1"/>
    </row>
    <row r="21" spans="3:22" ht="16.5" customHeight="1">
      <c r="C21" s="42" t="str">
        <f t="shared" si="3"/>
        <v>자가소비</v>
      </c>
      <c r="D21" s="50"/>
      <c r="E21" s="42" t="str">
        <f t="shared" si="4"/>
        <v>신용카드</v>
      </c>
      <c r="F21" s="44"/>
      <c r="G21" s="27"/>
      <c r="H21" s="42" t="str">
        <f t="shared" si="5"/>
        <v>자가소비</v>
      </c>
      <c r="I21" s="50"/>
      <c r="J21" s="42" t="str">
        <f t="shared" si="6"/>
        <v>신용카드</v>
      </c>
      <c r="K21" s="44"/>
      <c r="L21" s="2"/>
      <c r="M21" s="1"/>
      <c r="N21" s="144" t="s">
        <v>57</v>
      </c>
      <c r="O21" s="145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3"/>
        <v>-</v>
      </c>
      <c r="D22" s="50"/>
      <c r="E22" s="42" t="str">
        <f t="shared" si="4"/>
        <v>상품권</v>
      </c>
      <c r="F22" s="44"/>
      <c r="G22" s="27"/>
      <c r="H22" s="42" t="str">
        <f t="shared" si="5"/>
        <v>-</v>
      </c>
      <c r="I22" s="50"/>
      <c r="J22" s="42" t="str">
        <f t="shared" si="6"/>
        <v>상품권</v>
      </c>
      <c r="K22" s="44"/>
      <c r="L22" s="2"/>
      <c r="M22" s="1"/>
      <c r="N22" s="146" t="s">
        <v>59</v>
      </c>
      <c r="O22" s="141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3"/>
        <v>고객우대</v>
      </c>
      <c r="D23" s="50"/>
      <c r="E23" s="42" t="str">
        <f t="shared" si="4"/>
        <v>OK케시백</v>
      </c>
      <c r="F23" s="44"/>
      <c r="G23" s="27"/>
      <c r="H23" s="42" t="str">
        <f t="shared" si="5"/>
        <v>고객우대</v>
      </c>
      <c r="I23" s="50"/>
      <c r="J23" s="42" t="str">
        <f t="shared" si="6"/>
        <v>OK케시백</v>
      </c>
      <c r="K23" s="44"/>
      <c r="L23" s="2"/>
      <c r="M23" s="1"/>
      <c r="N23" s="140" t="s">
        <v>61</v>
      </c>
      <c r="O23" s="141"/>
      <c r="P23" s="118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3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>+C24</f>
        <v>-</v>
      </c>
      <c r="I24" s="55">
        <f>SUM(I23*-35)</f>
        <v>0</v>
      </c>
      <c r="J24" s="42" t="str">
        <f t="shared" si="6"/>
        <v>모바일</v>
      </c>
      <c r="K24" s="44"/>
      <c r="L24" s="2"/>
      <c r="M24" s="1"/>
      <c r="N24" s="140" t="s">
        <v>62</v>
      </c>
      <c r="O24" s="141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3"/>
        <v>-</v>
      </c>
      <c r="D25" s="57"/>
      <c r="E25" s="56" t="str">
        <f t="shared" si="4"/>
        <v>제로페이</v>
      </c>
      <c r="F25" s="58"/>
      <c r="G25" s="27"/>
      <c r="H25" s="56" t="str">
        <f t="shared" si="5"/>
        <v>-</v>
      </c>
      <c r="I25" s="57"/>
      <c r="J25" s="56" t="str">
        <f t="shared" si="6"/>
        <v>제로페이</v>
      </c>
      <c r="K25" s="58"/>
      <c r="L25" s="2"/>
      <c r="M25" s="1"/>
      <c r="N25" s="140"/>
      <c r="O25" s="141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3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>+C26</f>
        <v>합계</v>
      </c>
      <c r="I26" s="60">
        <f>SUM((I17-I18-I19-I20-I21-I22)*$I$1+I24)</f>
        <v>0</v>
      </c>
      <c r="J26" s="29" t="str">
        <f>+E26</f>
        <v>합계</v>
      </c>
      <c r="K26" s="61">
        <f>IF(K21=0,0,SUM(K17:K25)-F21)</f>
        <v>0</v>
      </c>
      <c r="L26" s="2"/>
      <c r="M26" s="1"/>
      <c r="N26" s="140"/>
      <c r="O26" s="141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42" t="s">
        <v>39</v>
      </c>
      <c r="O27" s="143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4" t="s">
        <v>40</v>
      </c>
      <c r="O28" s="135"/>
      <c r="P28" s="120">
        <v>108</v>
      </c>
      <c r="Q28" s="69">
        <f>SUM(Q19:Q27)</f>
        <v>78000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26251</v>
      </c>
      <c r="P31" s="103">
        <v>26289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2023-10-24T09:10:56Z</dcterms:modified>
</cp:coreProperties>
</file>