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F12" i="158" l="1"/>
  <c r="D11" i="148" l="1"/>
  <c r="E14" i="132" l="1"/>
  <c r="F8" i="132"/>
  <c r="K8" i="13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8" i="132"/>
  <c r="J7" i="132"/>
  <c r="J6" i="132"/>
  <c r="J5" i="132"/>
  <c r="J4" i="132"/>
  <c r="J3" i="132"/>
  <c r="J12" i="133"/>
  <c r="J11" i="133"/>
  <c r="J10" i="133"/>
  <c r="J8" i="133"/>
  <c r="J7" i="133"/>
  <c r="J6" i="133"/>
  <c r="J5" i="133"/>
  <c r="J4" i="133"/>
  <c r="J3" i="133"/>
  <c r="J12" i="134"/>
  <c r="J11" i="134"/>
  <c r="J10" i="134"/>
  <c r="J8" i="134"/>
  <c r="J7" i="134"/>
  <c r="J6" i="134"/>
  <c r="J5" i="134"/>
  <c r="J4" i="134"/>
  <c r="J3" i="134"/>
  <c r="J12" i="135"/>
  <c r="J11" i="135"/>
  <c r="J10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3" i="148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E15" i="132" s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<sst xmlns="http://schemas.openxmlformats.org/spreadsheetml/2006/main" count="878" uniqueCount="79">
  <si>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</si>
  <si>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</si>
  <si>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</si>
  <si>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</si>
  <si>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</si>
  <si>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</si>
  <si>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</si>
  <si>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</si>
  <si>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</si>
  <si>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</si>
  <si>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</si>
  <si>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</si>
  <si>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</si>
  <si>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</si>
  <si>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</si>
  <si>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</si>
  <si>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</si>
  <si>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</si>
  <si>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</si>
  <si>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</si>
  <si>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</si>
  <si>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</si>
  <si>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</si>
  <si>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</si>
  <si>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</si>
  <si>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</si>
  <si>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</si>
  <si>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</si>
  <si>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</si>
  <si>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</si>
  <si>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</si>
  <si>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</si>
  <si>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</si>
  <si>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</si>
  <si>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</si>
  <si>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</si>
  <si>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</si>
  <si>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</si>
  <si>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</si>
  <si>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</si>
  <si>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</si>
  <si>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</si>
  <si>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</si>
  <si>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</si>
  <si>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</si>
  <si>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</si>
  <si>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</si>
  <si>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</si>
  <si>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</si>
  <si>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</si>
  <si>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</si>
  <si>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</si>
  <si>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</si>
  <si>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</si>
  <si>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</si>
  <si>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</si>
  <si>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</si>
  <si>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</si>
  <si>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</si>
  <si>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</si>
  <si>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</si>
  <si>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</si>
  <si>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</si>
  <si>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</si>
  <si>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</si>
  <si>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동양외상</t>
    <phoneticPr fontId="1" type="noConversion"/>
  </si>
  <si>
    <t>차액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</si>
  <si>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</si>
  <si>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</si>
  <si>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</si>
  <si>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r>
      <t>3697</t>
    </r>
    <r>
      <rPr>
        <sz val="11"/>
        <color theme="1"/>
        <rFont val="돋움"/>
        <family val="3"/>
        <charset val="129"/>
      </rPr>
      <t>호</t>
    </r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</si>
  <si>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</si>
  <si>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</si>
  <si>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</si>
  <si>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</si>
  <si>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안진외상</t>
    <phoneticPr fontId="1" type="noConversion"/>
  </si>
  <si>
    <t>안진외상</t>
    <phoneticPr fontId="1" type="noConversion"/>
  </si>
  <si>
    <t>이월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</si>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</sst>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  <font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</xf>
    <xf numFmtId="176" fontId="11" fillId="2" borderId="5" xfId="0" applyNumberFormat="1" applyFont="1" applyFill="1" applyBorder="1" applyAlignment="1" applyProtection="1">
      <alignment horizontal="right" vertical="center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18" sqref="F18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12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15.68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15.68</v>
      </c>
      <c r="M2" s="27" t="s">
        <v>7</v>
      </c>
      <c r="N2" s="138" t="s">
        <v>12</v>
      </c>
      <c r="O2" s="138"/>
      <c r="P2" s="138"/>
      <c r="Q2" s="138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15.68</v>
      </c>
      <c r="M3" s="27" t="s">
        <v>10</v>
      </c>
      <c r="N3" s="32"/>
      <c r="O3" s="32"/>
      <c r="P3" s="137" t="str">
        <f>+'(1)'!$C$1&amp;"년"&amp;'(1)'!$E$1&amp;"월"&amp;$G$1&amp;"일"</f>
        <v>2023년12월1일</v>
      </c>
      <c r="Q3" s="137"/>
      <c r="R3" s="33"/>
    </row>
    <row r="4" spans="3:25" ht="16.5" customHeight="1" thickBot="1">
      <c r="C4" s="34" t="s">
        <v>15</v>
      </c>
      <c r="D4" s="35">
        <v>8281.2469999999994</v>
      </c>
      <c r="E4" s="34" t="str">
        <f>+'[1](1)'!E4</f>
        <v>고액권</v>
      </c>
      <c r="F4" s="36">
        <v>205000</v>
      </c>
      <c r="H4" s="93" t="str">
        <f>+C4</f>
        <v>판매량</v>
      </c>
      <c r="I4" s="35">
        <v>9518.2900000000009</v>
      </c>
      <c r="J4" s="42" t="str">
        <f>+'[1](1)'!J4</f>
        <v>고액권</v>
      </c>
      <c r="K4" s="36">
        <v>225000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39225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1800</v>
      </c>
      <c r="H5" s="94" t="str">
        <f>+C5</f>
        <v>법인전표</v>
      </c>
      <c r="I5" s="43"/>
      <c r="J5" s="42" t="str">
        <f>+'[1](1)'!J5</f>
        <v>천원권</v>
      </c>
      <c r="K5" s="44">
        <v>3000</v>
      </c>
      <c r="M5" s="38"/>
      <c r="N5" s="45" t="str">
        <f>+C4</f>
        <v>판매량</v>
      </c>
      <c r="O5" s="46">
        <f>SUM(D4+I4+D17+I17+D35+I35)</f>
        <v>26849.938000000002</v>
      </c>
      <c r="P5" s="47" t="str">
        <f>+E4</f>
        <v>고액권</v>
      </c>
      <c r="Q5" s="48">
        <f>SUM(F4+K4+F17+K17+F35+K35)</f>
        <v>685000</v>
      </c>
      <c r="R5" s="49">
        <v>15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186.523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6600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214.761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8294062</v>
      </c>
      <c r="H8" s="94" t="str">
        <f t="shared" si="2"/>
        <v>자가소비</v>
      </c>
      <c r="I8" s="50"/>
      <c r="J8" s="42" t="str">
        <f>+'[1](1)'!J8</f>
        <v>신용카드</v>
      </c>
      <c r="K8" s="44">
        <v>17679035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26729699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>
        <v>46150</v>
      </c>
      <c r="H10" s="94" t="str">
        <f t="shared" si="2"/>
        <v>고객우대</v>
      </c>
      <c r="I10" s="50">
        <v>337.97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-11828.95</v>
      </c>
      <c r="J11" s="56" t="str">
        <f>+'[1](1)'!J11</f>
        <v>모바일</v>
      </c>
      <c r="K11" s="44">
        <v>5000</v>
      </c>
      <c r="M11" s="38"/>
      <c r="N11" s="51" t="str">
        <f t="shared" si="3"/>
        <v>고객우대</v>
      </c>
      <c r="O11" s="54">
        <f>SUM(D10+I10+D23+I23+D41+I41)</f>
        <v>450.00600000000003</v>
      </c>
      <c r="P11" s="51" t="str">
        <f t="shared" si="4"/>
        <v>OK케시백</v>
      </c>
      <c r="Q11" s="53">
        <f>SUM(F10+K10+F23+K23+F41+K41)</f>
        <v>46150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-15750.210000000001</v>
      </c>
      <c r="P12" s="51" t="str">
        <f t="shared" si="4"/>
        <v>모바일</v>
      </c>
      <c r="Q12" s="53">
        <f>SUM(F11+K11+F24+K24+F42+K42)</f>
        <v>5000</v>
      </c>
      <c r="R12" s="40"/>
    </row>
    <row r="13" spans="3:25" ht="16.5" customHeight="1" thickBot="1">
      <c r="C13" s="59" t="s">
        <v>33</v>
      </c>
      <c r="D13" s="60">
        <f>SUM((D4-D5-D6-D7-D8-D9)*$I$1+D11)</f>
        <v>8546246.9039999992</v>
      </c>
      <c r="E13" s="29" t="str">
        <f>+'[1](1)'!E13</f>
        <v>합계</v>
      </c>
      <c r="F13" s="61">
        <f>SUM(F4:F12)</f>
        <v>8547012</v>
      </c>
      <c r="G13" s="62"/>
      <c r="H13" s="92" t="str">
        <f t="shared" si="2"/>
        <v>합계</v>
      </c>
      <c r="I13" s="60">
        <f>SUM((I4-I5-I6-I7-I8-I9)*$I$1+I11)</f>
        <v>9618554.5940000024</v>
      </c>
      <c r="J13" s="29" t="str">
        <f t="shared" ref="J13" si="5">+E13</f>
        <v>합계</v>
      </c>
      <c r="K13" s="61">
        <f>IF(K8=0,0,SUM(K4:K12)-F8)</f>
        <v>9617973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765.09600000083447</v>
      </c>
      <c r="K14" s="67">
        <f>SUM(K13-I13)</f>
        <v>-581.59400000236928</v>
      </c>
      <c r="N14" s="39" t="str">
        <f t="shared" si="3"/>
        <v>합계</v>
      </c>
      <c r="O14" s="68">
        <f>SUM((O5-O6-O7-O8-O9-O10)*+$I$1+O12)</f>
        <v>27471752.454000004</v>
      </c>
      <c r="P14" s="39" t="str">
        <f t="shared" si="4"/>
        <v>합계</v>
      </c>
      <c r="Q14" s="69">
        <f>SUM(Q5:Q13)</f>
        <v>27472449</v>
      </c>
    </row>
    <row r="15" spans="3:25" ht="16.5" customHeight="1" thickBot="1">
      <c r="C15" s="27">
        <v>3</v>
      </c>
      <c r="H15" s="27">
        <v>4</v>
      </c>
      <c r="Q15" s="70">
        <f>SUM(F14+K14+F27+K27)</f>
        <v>696.54599999822676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9050.4009999999998</v>
      </c>
      <c r="E17" s="34" t="str">
        <f>+E4</f>
        <v>고액권</v>
      </c>
      <c r="F17" s="36">
        <v>255000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1800</v>
      </c>
      <c r="H18" s="94" t="str">
        <f>+C5</f>
        <v>법인전표</v>
      </c>
      <c r="I18" s="43"/>
      <c r="J18" s="42" t="str">
        <f>+E5</f>
        <v>천원권</v>
      </c>
      <c r="K18" s="44"/>
      <c r="N18" s="135" t="s">
        <v>34</v>
      </c>
      <c r="O18" s="148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28.238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9" t="s">
        <v>37</v>
      </c>
      <c r="O19" s="140"/>
      <c r="P19" s="117">
        <v>15</v>
      </c>
      <c r="Q19" s="48">
        <f>SUM(P19*1000)</f>
        <v>15000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5" t="s">
        <v>38</v>
      </c>
      <c r="O20" s="146"/>
      <c r="P20" s="118">
        <v>44</v>
      </c>
      <c r="Q20" s="53">
        <f>SUM(P20*1000)</f>
        <v>44000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26729699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5" t="s">
        <v>56</v>
      </c>
      <c r="O21" s="146"/>
      <c r="P21" s="118">
        <v>10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7" t="s">
        <v>58</v>
      </c>
      <c r="O22" s="142"/>
      <c r="P22" s="118">
        <v>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112.036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1" t="s">
        <v>60</v>
      </c>
      <c r="O23" s="142"/>
      <c r="P23" s="118">
        <v>3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-3921.26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1" t="s">
        <v>63</v>
      </c>
      <c r="O24" s="142"/>
      <c r="P24" s="118">
        <v>7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1"/>
      <c r="O25" s="142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9306950.9560000002</v>
      </c>
      <c r="E26" s="29" t="str">
        <f t="shared" si="8"/>
        <v>합계</v>
      </c>
      <c r="F26" s="61">
        <f>IF(F21=0,0,SUM(F17:F25)-K8)</f>
        <v>9307464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1"/>
      <c r="O26" s="142"/>
      <c r="P26" s="72"/>
      <c r="Q26" s="113"/>
      <c r="R26" s="32"/>
      <c r="S26" s="32"/>
    </row>
    <row r="27" spans="3:19" ht="15.75" customHeight="1" thickBot="1">
      <c r="F27" s="67">
        <f>SUM(F26-D26)</f>
        <v>513.04399999976158</v>
      </c>
      <c r="K27" s="67">
        <f>SUM(K26-I26)</f>
        <v>0</v>
      </c>
      <c r="N27" s="143" t="s">
        <v>39</v>
      </c>
      <c r="O27" s="144"/>
      <c r="P27" s="119">
        <f>+P28-SUM(P19:P26)</f>
        <v>-7</v>
      </c>
      <c r="Q27" s="73"/>
    </row>
    <row r="28" spans="3:19" ht="23.25" customHeight="1" thickBot="1">
      <c r="F28" s="67"/>
      <c r="K28" s="67"/>
      <c r="N28" s="135" t="s">
        <v>40</v>
      </c>
      <c r="O28" s="136"/>
      <c r="P28" s="120">
        <v>80</v>
      </c>
      <c r="Q28" s="69">
        <f>SUM(Q19:Q27)</f>
        <v>59000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29173</v>
      </c>
      <c r="P31" s="103">
        <v>29199</v>
      </c>
      <c r="Q31" s="104">
        <f>P31-O31</f>
        <v>26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5.9740000000000002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10.305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103.05</v>
      </c>
      <c r="M3" s="18" t="s">
        <v>10</v>
      </c>
      <c r="N3" s="3"/>
      <c r="O3" s="3"/>
      <c r="P3" s="150" t="str">
        <f>+'(1)'!C1&amp;"년"&amp;'(1)'!E1&amp;"월"&amp;C1&amp;"일"</f>
        <v>2023년12월10일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5829.4709999999995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4400.027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32951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10229.498</v>
      </c>
      <c r="P5" s="47" t="str">
        <f>+E4</f>
        <v>고액권</v>
      </c>
      <c r="Q5" s="48">
        <f>SUM(F4+K4+F17+K17+F35+K35)</f>
        <v>195000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5836648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10333280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10333280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6016014.0719999997</v>
      </c>
      <c r="E13" s="29" t="str">
        <f>+'[1](1)'!E13</f>
        <v>합계</v>
      </c>
      <c r="F13" s="61">
        <f>SUM(F4:F12)</f>
        <v>6015648</v>
      </c>
      <c r="G13" s="62"/>
      <c r="H13" s="29" t="str">
        <f t="shared" si="3"/>
        <v>합계</v>
      </c>
      <c r="I13" s="60">
        <f>SUM((I4-I5-I6-I7-I8-I9)*$I$1+I11)</f>
        <v>4540827.8640000001</v>
      </c>
      <c r="J13" s="29" t="str">
        <f t="shared" ref="J13" si="6">+E13</f>
        <v>합계</v>
      </c>
      <c r="K13" s="61">
        <f>IF(K8=0,0,SUM(K4:K12)-F8)</f>
        <v>4540632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-366.07199999969453</v>
      </c>
      <c r="G14" s="27"/>
      <c r="H14" s="27"/>
      <c r="I14" s="27"/>
      <c r="J14" s="27"/>
      <c r="K14" s="67">
        <f>SUM(K13-I13)</f>
        <v>-195.8640000000596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51147.49</v>
      </c>
      <c r="P14" s="39" t="str">
        <f t="shared" si="5"/>
        <v>합계</v>
      </c>
      <c r="Q14" s="69">
        <f>SUM(Q5:Q13)</f>
        <v>10556280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-561.93599999975413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76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29632</v>
      </c>
      <c r="P31" s="103">
        <v>29669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6.62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10.742000000000001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10.345000000000001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113.795</v>
      </c>
      <c r="M3" s="18" t="s">
        <v>10</v>
      </c>
      <c r="N3" s="3"/>
      <c r="O3" s="3"/>
      <c r="P3" s="150" t="str">
        <f>+'(1)'!C1&amp;"년"&amp;'(1)'!E1&amp;"월"&amp;C1&amp;"일"</f>
        <v>2023년12월11일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9717.2180000000008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8677.1620000000003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50573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130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18394.38</v>
      </c>
      <c r="P5" s="47" t="str">
        <f>+E4</f>
        <v>고액권</v>
      </c>
      <c r="Q5" s="48">
        <f>SUM(F4+K4+F17+K17+F35+K35)</f>
        <v>350000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183.02099999999999</v>
      </c>
      <c r="E6" s="105" t="str">
        <f>+'[1](1)'!E6</f>
        <v>블루/레드포인트</v>
      </c>
      <c r="F6" s="44"/>
      <c r="G6" s="130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183.02099999999999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9634296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18428949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18428949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213.66200000000001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60.679000000000002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-7478.17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-2123.7649999999999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274.34100000000001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-9601.9349999999995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9831813.1339999996</v>
      </c>
      <c r="E13" s="29" t="str">
        <f>+'[1](1)'!E13</f>
        <v>합계</v>
      </c>
      <c r="F13" s="61">
        <f>SUM(F4:F12)</f>
        <v>9831296</v>
      </c>
      <c r="G13" s="62"/>
      <c r="H13" s="29" t="str">
        <f t="shared" si="3"/>
        <v>합계</v>
      </c>
      <c r="I13" s="60">
        <f>SUM((I4-I5-I6-I7-I8-I9)*$I$1+I11)</f>
        <v>8952707.4189999998</v>
      </c>
      <c r="J13" s="29" t="str">
        <f t="shared" ref="J13" si="6">+E13</f>
        <v>합계</v>
      </c>
      <c r="K13" s="61">
        <f>IF(K8=0,0,SUM(K4:K12)-F8)</f>
        <v>8952653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-517.13399999961257</v>
      </c>
      <c r="G14" s="27"/>
      <c r="H14" s="27"/>
      <c r="I14" s="27"/>
      <c r="J14" s="27"/>
      <c r="K14" s="67">
        <f>SUM(K13-I13)</f>
        <v>-54.418999999761581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81454.86</v>
      </c>
      <c r="P14" s="39" t="str">
        <f t="shared" si="5"/>
        <v>합계</v>
      </c>
      <c r="Q14" s="69">
        <f>SUM(Q5:Q13)</f>
        <v>18783949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-571.55299999937415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29669</v>
      </c>
      <c r="P31" s="103">
        <v>29669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10" sqref="P10:Q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10.398999999999999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124.78799999999998</v>
      </c>
      <c r="M3" s="18" t="s">
        <v>10</v>
      </c>
      <c r="N3" s="3"/>
      <c r="O3" s="3"/>
      <c r="P3" s="150" t="str">
        <f>+'(1)'!C1&amp;"년"&amp;'(1)'!E1&amp;"월"&amp;C1&amp;"일"</f>
        <v>2023년12월12일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10239.233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8579.7330000000002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31631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18818.966</v>
      </c>
      <c r="P5" s="47" t="str">
        <f>+E4</f>
        <v>고액권</v>
      </c>
      <c r="Q5" s="48">
        <f>SUM(F4+K4+F17+K17+F35+K35)</f>
        <v>300000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202.55500000000001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29.035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231.59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10008855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18636891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131" t="s">
        <v>75</v>
      </c>
      <c r="K9" s="132">
        <v>84311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18636891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456.15899999999999</v>
      </c>
      <c r="E10" s="42" t="str">
        <f>+'[1](1)'!E10</f>
        <v>OK케시백</v>
      </c>
      <c r="F10" s="44">
        <v>42600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133" t="s">
        <v>76</v>
      </c>
      <c r="Q10" s="134">
        <f>SUM(F9+K9+F22+K22+F40+K40)</f>
        <v>84311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-15965.565000000001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456.15899999999999</v>
      </c>
      <c r="P11" s="51" t="str">
        <f t="shared" si="5"/>
        <v>OK케시백</v>
      </c>
      <c r="Q11" s="53">
        <f>SUM(F10+K10+F23+K23+F41+K41)</f>
        <v>49600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95002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-15965.565000000001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10341886.131000001</v>
      </c>
      <c r="E13" s="29" t="str">
        <f>+'[1](1)'!E13</f>
        <v>합계</v>
      </c>
      <c r="F13" s="61">
        <f>SUM(F4:F12)</f>
        <v>10341457</v>
      </c>
      <c r="G13" s="62"/>
      <c r="H13" s="29" t="str">
        <f t="shared" si="3"/>
        <v>합계</v>
      </c>
      <c r="I13" s="60">
        <f>SUM((I4-I5-I6-I7-I8-I9)*$I$1+I11)</f>
        <v>8824320.3360000011</v>
      </c>
      <c r="J13" s="29" t="str">
        <f t="shared" ref="J13" si="6">+E13</f>
        <v>합계</v>
      </c>
      <c r="K13" s="61">
        <f>IF(K8=0,0,SUM(K4:K12)-F8)</f>
        <v>8825347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95002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-429.13100000098348</v>
      </c>
      <c r="G14" s="27"/>
      <c r="H14" s="27"/>
      <c r="I14" s="27"/>
      <c r="J14" s="27"/>
      <c r="K14" s="67">
        <f>SUM(K13-I13)</f>
        <v>1026.663999998942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76971.315000000002</v>
      </c>
      <c r="P14" s="39" t="str">
        <f t="shared" si="5"/>
        <v>합계</v>
      </c>
      <c r="Q14" s="69">
        <f>SUM(Q5:Q13)</f>
        <v>19166804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597.53299999795854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184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29669</v>
      </c>
      <c r="P31" s="103">
        <v>29707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11.224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10.462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136.006</v>
      </c>
      <c r="M3" s="18" t="s">
        <v>10</v>
      </c>
      <c r="N3" s="3"/>
      <c r="O3" s="3"/>
      <c r="P3" s="150" t="str">
        <f>+'(1)'!C1&amp;"년"&amp;'(1)'!E1&amp;"월"&amp;C1&amp;"일"</f>
        <v>2023년12월13일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10726.045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8493.7610000000004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48329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19219.806</v>
      </c>
      <c r="P5" s="47" t="str">
        <f>+E4</f>
        <v>고액권</v>
      </c>
      <c r="Q5" s="48">
        <f>SUM(F4+K4+F17+K17+F35+K35)</f>
        <v>100000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217.78399999999999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217.78399999999999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10792522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19485373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19485373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330.69400000000002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162.596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-11574.29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-5690.8600000000006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493.29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-17265.150000000001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10832951.062000001</v>
      </c>
      <c r="E13" s="29" t="str">
        <f>+'[1](1)'!E13</f>
        <v>합계</v>
      </c>
      <c r="F13" s="61">
        <f>SUM(F4:F12)</f>
        <v>10832522</v>
      </c>
      <c r="G13" s="62"/>
      <c r="H13" s="29" t="str">
        <f t="shared" si="3"/>
        <v>합계</v>
      </c>
      <c r="I13" s="60">
        <f>SUM((I4-I5-I6-I7-I8-I9)*$I$1+I11)</f>
        <v>8759870.4920000006</v>
      </c>
      <c r="J13" s="29" t="str">
        <f t="shared" ref="J13" si="6">+E13</f>
        <v>합계</v>
      </c>
      <c r="K13" s="61">
        <f>IF(K8=0,0,SUM(K4:K12)-F8)</f>
        <v>8759851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-429.06200000084937</v>
      </c>
      <c r="G14" s="27"/>
      <c r="H14" s="27"/>
      <c r="I14" s="27"/>
      <c r="J14" s="27"/>
      <c r="K14" s="67">
        <f>SUM(K13-I13)</f>
        <v>-19.492000000551343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77744.959999999992</v>
      </c>
      <c r="P14" s="39" t="str">
        <f t="shared" si="5"/>
        <v>합계</v>
      </c>
      <c r="Q14" s="69">
        <f>SUM(Q5:Q13)</f>
        <v>19592373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-448.55400000140071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102</v>
      </c>
      <c r="Q28" s="69">
        <f>SUM(Q19:Q27)</f>
        <v>57000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29707</v>
      </c>
      <c r="P31" s="103">
        <v>29739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21" sqref="R2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10.005000000000001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10.429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146.006</v>
      </c>
      <c r="M3" s="18" t="s">
        <v>10</v>
      </c>
      <c r="N3" s="3"/>
      <c r="O3" s="3"/>
      <c r="P3" s="150" t="str">
        <f>+'(1)'!C1&amp;"년"&amp;'(1)'!E1&amp;"월"&amp;C1&amp;"일"</f>
        <v>2023년12월14일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8551.3169999999991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8580.9140000000007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31176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17132.231</v>
      </c>
      <c r="P5" s="47" t="str">
        <f>+E4</f>
        <v>고액권</v>
      </c>
      <c r="Q5" s="48">
        <f>SUM(F4+K4+F17+K17+F35+K35)</f>
        <v>390000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218.46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40.878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259.33800000000002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8417549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17014965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17014965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45.481000000000002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45.54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-1591.835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-1593.8999999999999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91.021000000000001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-3185.7350000000001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8597916.5889999997</v>
      </c>
      <c r="E13" s="29" t="str">
        <f>+'[1](1)'!E13</f>
        <v>합계</v>
      </c>
      <c r="F13" s="61">
        <f>SUM(F4:F12)</f>
        <v>8597549</v>
      </c>
      <c r="G13" s="62"/>
      <c r="H13" s="29" t="str">
        <f t="shared" si="3"/>
        <v>합계</v>
      </c>
      <c r="I13" s="60">
        <f>SUM((I4-I5-I6-I7-I8-I9)*$I$1+I11)</f>
        <v>8811723.2520000003</v>
      </c>
      <c r="J13" s="29" t="str">
        <f t="shared" ref="J13" si="6">+E13</f>
        <v>합계</v>
      </c>
      <c r="K13" s="61">
        <f>IF(K8=0,0,SUM(K4:K12)-F8)</f>
        <v>8811416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-367.58899999968708</v>
      </c>
      <c r="G14" s="27"/>
      <c r="H14" s="27"/>
      <c r="I14" s="27"/>
      <c r="J14" s="27"/>
      <c r="K14" s="67">
        <f>SUM(K13-I13)</f>
        <v>-307.25200000032783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81178.73</v>
      </c>
      <c r="P14" s="39" t="str">
        <f t="shared" si="5"/>
        <v>합계</v>
      </c>
      <c r="Q14" s="69">
        <f>SUM(Q5:Q13)</f>
        <v>17408965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-674.8410000000149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</v>
      </c>
      <c r="Q20" s="53">
        <f>SUM(P20*1000)</f>
        <v>1000</v>
      </c>
      <c r="R20" s="18" t="s">
        <v>77</v>
      </c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</v>
      </c>
      <c r="Q28" s="69">
        <f>SUM(Q19:Q27)</f>
        <v>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29739</v>
      </c>
      <c r="P31" s="103">
        <v>29740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11.954000000000001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10.531000000000001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157.965</v>
      </c>
      <c r="M3" s="18" t="s">
        <v>10</v>
      </c>
      <c r="N3" s="3"/>
      <c r="O3" s="3"/>
      <c r="P3" s="150" t="str">
        <f>+'(1)'!C1&amp;"년"&amp;'(1)'!E1&amp;"월"&amp;C1&amp;"일"</f>
        <v>2023년12월15일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10412.869000000001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10057.014999999999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46434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20469.883999999998</v>
      </c>
      <c r="P5" s="47" t="str">
        <f>+E4</f>
        <v>고액권</v>
      </c>
      <c r="Q5" s="48">
        <f>SUM(F4+K4+F17+K17+F35+K35)</f>
        <v>365000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162.34200000000001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162.34200000000001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10478844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20535995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20535995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419.822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108.29600000000001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-14693.77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-3790.36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528.11800000000005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-18484.13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10563850.094000001</v>
      </c>
      <c r="E13" s="29" t="str">
        <f>+'[1](1)'!E13</f>
        <v>합계</v>
      </c>
      <c r="F13" s="61">
        <f>SUM(F4:F12)</f>
        <v>10563844</v>
      </c>
      <c r="G13" s="62"/>
      <c r="H13" s="29" t="str">
        <f t="shared" si="3"/>
        <v>합계</v>
      </c>
      <c r="I13" s="60">
        <f>SUM((I4-I5-I6-I7-I8-I9)*$I$1+I11)</f>
        <v>10375049.119999999</v>
      </c>
      <c r="J13" s="29" t="str">
        <f t="shared" ref="J13" si="6">+E13</f>
        <v>합계</v>
      </c>
      <c r="K13" s="61">
        <f>IF(K8=0,0,SUM(K4:K12)-F8)</f>
        <v>10375451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-6.0940000005066395</v>
      </c>
      <c r="G14" s="27"/>
      <c r="H14" s="27"/>
      <c r="I14" s="27"/>
      <c r="J14" s="27"/>
      <c r="K14" s="67">
        <f>SUM(K13-I13)</f>
        <v>401.88000000081956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83053.579999999987</v>
      </c>
      <c r="P14" s="39" t="str">
        <f t="shared" si="5"/>
        <v>합계</v>
      </c>
      <c r="Q14" s="69">
        <f>SUM(Q5:Q13)</f>
        <v>20939295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395.78600000031292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34</v>
      </c>
      <c r="Q28" s="69">
        <f>SUM(Q19:Q27)</f>
        <v>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29740</v>
      </c>
      <c r="P31" s="103">
        <v>29743</v>
      </c>
      <c r="Q31" s="104">
        <f>P31-O31</f>
        <v>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10.523999999999999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168.38399999999999</v>
      </c>
      <c r="M3" s="18" t="s">
        <v>10</v>
      </c>
      <c r="N3" s="3"/>
      <c r="O3" s="3"/>
      <c r="P3" s="150" t="str">
        <f>+'(1)'!C1&amp;"년"&amp;'(1)'!E1&amp;"월"&amp;C1&amp;"일"</f>
        <v>2023년12월16일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8826.2839999999997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9024.6260000000002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28464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17850.91</v>
      </c>
      <c r="P5" s="47" t="str">
        <f>+E4</f>
        <v>고액권</v>
      </c>
      <c r="Q5" s="48">
        <f>SUM(F4+K4+F17+K17+F35+K35)</f>
        <v>160000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87.98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87.98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8985501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18143671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18143671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55.701999999999998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-1949.57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55.701999999999998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20000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-1949.57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9015980.1579999998</v>
      </c>
      <c r="E13" s="29" t="str">
        <f>+'[1](1)'!E13</f>
        <v>합계</v>
      </c>
      <c r="F13" s="61">
        <f>SUM(F4:F12)</f>
        <v>9017501</v>
      </c>
      <c r="G13" s="62"/>
      <c r="H13" s="29" t="str">
        <f t="shared" si="3"/>
        <v>합계</v>
      </c>
      <c r="I13" s="60">
        <f>SUM((I4-I5-I6-I7-I8-I9)*$I$1+I11)</f>
        <v>9313414.0319999997</v>
      </c>
      <c r="J13" s="29" t="str">
        <f t="shared" ref="J13" si="6">+E13</f>
        <v>합계</v>
      </c>
      <c r="K13" s="61">
        <f>IF(K8=0,0,SUM(K4:K12)-F8)</f>
        <v>9313670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1520.8420000001788</v>
      </c>
      <c r="G14" s="27"/>
      <c r="H14" s="27"/>
      <c r="I14" s="27"/>
      <c r="J14" s="27"/>
      <c r="K14" s="67">
        <f>SUM(K13-I13)</f>
        <v>255.96800000034273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86865.079999999987</v>
      </c>
      <c r="P14" s="39" t="str">
        <f t="shared" si="5"/>
        <v>합계</v>
      </c>
      <c r="Q14" s="69">
        <f>SUM(Q5:Q13)</f>
        <v>18331171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1776.8100000005215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97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29743</v>
      </c>
      <c r="P31" s="103">
        <v>29760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7.2220000000000004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10.33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175.61</v>
      </c>
      <c r="M3" s="18" t="s">
        <v>10</v>
      </c>
      <c r="N3" s="3"/>
      <c r="O3" s="3"/>
      <c r="P3" s="150" t="str">
        <f>+'(1)'!C1&amp;"년"&amp;'(1)'!E1&amp;"월"&amp;C1&amp;"일"</f>
        <v>2023년12월17일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6191.1620000000003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6175.5339999999997</v>
      </c>
      <c r="J4" s="42" t="str">
        <f>+'[1](1)'!J4</f>
        <v>고액권</v>
      </c>
      <c r="K4" s="36">
        <v>310000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15450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3500</v>
      </c>
      <c r="L5" s="2"/>
      <c r="M5" s="20"/>
      <c r="N5" s="45" t="str">
        <f>+C4</f>
        <v>판매량</v>
      </c>
      <c r="O5" s="46">
        <f>SUM(D4+I4+D17+I17+D35+I35)</f>
        <v>12366.696</v>
      </c>
      <c r="P5" s="47" t="str">
        <f>+E4</f>
        <v>고액권</v>
      </c>
      <c r="Q5" s="48">
        <f>SUM(F4+K4+F17+K17+F35+K35)</f>
        <v>390000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6248898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12281940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12281940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58.863</v>
      </c>
      <c r="J10" s="42" t="str">
        <f>+'[1](1)'!J10</f>
        <v>OK케시백</v>
      </c>
      <c r="K10" s="44">
        <v>24927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-2060.2049999999999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58.863</v>
      </c>
      <c r="P11" s="51" t="str">
        <f t="shared" si="5"/>
        <v>OK케시백</v>
      </c>
      <c r="Q11" s="53">
        <f>SUM(F10+K10+F23+K23+F41+K41)</f>
        <v>24927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45303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-2060.2049999999999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6389279.1840000004</v>
      </c>
      <c r="E13" s="29" t="str">
        <f>+'[1](1)'!E13</f>
        <v>합계</v>
      </c>
      <c r="F13" s="61">
        <f>SUM(F4:F12)</f>
        <v>6388201</v>
      </c>
      <c r="G13" s="62"/>
      <c r="H13" s="29" t="str">
        <f t="shared" si="3"/>
        <v>합계</v>
      </c>
      <c r="I13" s="60">
        <f>SUM((I4-I5-I6-I7-I8-I9)*$I$1+I11)</f>
        <v>6371090.8829999994</v>
      </c>
      <c r="J13" s="29" t="str">
        <f t="shared" ref="J13" si="6">+E13</f>
        <v>합계</v>
      </c>
      <c r="K13" s="61">
        <f>IF(K8=0,0,SUM(K4:K12)-F8)</f>
        <v>6371469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45303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-1078.1840000003576</v>
      </c>
      <c r="G14" s="27"/>
      <c r="H14" s="27"/>
      <c r="I14" s="27"/>
      <c r="J14" s="27"/>
      <c r="K14" s="67">
        <f>SUM(K13-I13)</f>
        <v>378.11700000055134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59773.274999999994</v>
      </c>
      <c r="P14" s="39" t="str">
        <f t="shared" si="5"/>
        <v>합계</v>
      </c>
      <c r="Q14" s="69">
        <f>SUM(Q5:Q13)</f>
        <v>12759670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-700.06699999980628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29760</v>
      </c>
      <c r="P31" s="103">
        <v>29760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11.351000000000001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10.387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186.96600000000001</v>
      </c>
      <c r="M3" s="18" t="s">
        <v>10</v>
      </c>
      <c r="N3" s="3"/>
      <c r="O3" s="3"/>
      <c r="P3" s="150" t="str">
        <f>+'(1)'!C1&amp;"년"&amp;'(1)'!E1&amp;"월"&amp;C1&amp;"일"</f>
        <v>2023년12월18일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10072.356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9363.4519999999993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32746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19435.807999999997</v>
      </c>
      <c r="P5" s="47" t="str">
        <f>+E4</f>
        <v>고액권</v>
      </c>
      <c r="Q5" s="48">
        <f>SUM(F4+K4+F17+K17+F35+K35)</f>
        <v>215000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196.64699999999999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43.418999999999997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240.06599999999997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10062338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19567486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19567486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493.45400000000001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-17270.89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493.45400000000001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-17270.89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10174460.797999999</v>
      </c>
      <c r="E13" s="29" t="str">
        <f>+'[1](1)'!E13</f>
        <v>합계</v>
      </c>
      <c r="F13" s="61">
        <f>SUM(F4:F12)</f>
        <v>10173338</v>
      </c>
      <c r="G13" s="62"/>
      <c r="H13" s="29" t="str">
        <f t="shared" si="3"/>
        <v>합계</v>
      </c>
      <c r="I13" s="60">
        <f>SUM((I4-I5-I6-I7-I8-I9)*$I$1+I11)</f>
        <v>9618274.0559999999</v>
      </c>
      <c r="J13" s="29" t="str">
        <f t="shared" ref="J13" si="6">+E13</f>
        <v>합계</v>
      </c>
      <c r="K13" s="61">
        <f>IF(K8=0,0,SUM(K4:K12)-F8)</f>
        <v>9618148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-1122.7979999985546</v>
      </c>
      <c r="G14" s="27"/>
      <c r="H14" s="27"/>
      <c r="I14" s="27"/>
      <c r="J14" s="27"/>
      <c r="K14" s="67">
        <f>SUM(K13-I13)</f>
        <v>-126.05599999986589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78707.819999999992</v>
      </c>
      <c r="P14" s="39" t="str">
        <f t="shared" si="5"/>
        <v>합계</v>
      </c>
      <c r="Q14" s="69">
        <f>SUM(Q5:Q13)</f>
        <v>19791486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-1248.8539999984205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75</v>
      </c>
      <c r="Q28" s="69">
        <f>SUM(Q19:Q27)</f>
        <v>51000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29760</v>
      </c>
      <c r="P31" s="103">
        <v>29774</v>
      </c>
      <c r="Q31" s="104">
        <f>P31-O31</f>
        <v>14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11.096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10.423999999999999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198.05599999999998</v>
      </c>
      <c r="M3" s="18" t="s">
        <v>10</v>
      </c>
      <c r="N3" s="3"/>
      <c r="O3" s="3"/>
      <c r="P3" s="150" t="str">
        <f>+'(1)'!C1&amp;"년"&amp;'(1)'!E1&amp;"월"&amp;C1&amp;"일"</f>
        <v>2023년12월19일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10371.022999999999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8628.9110000000001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45315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18999.934000000001</v>
      </c>
      <c r="P5" s="47" t="str">
        <f>+E4</f>
        <v>고액권</v>
      </c>
      <c r="Q5" s="48">
        <f>SUM(F4+K4+F17+K17+F35+K35)</f>
        <v>260000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166.059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166.059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10378086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19098862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19098862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252.16900000000001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104.396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-8825.9150000000009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-3653.86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356.565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58400</v>
      </c>
      <c r="L12" s="2"/>
      <c r="M12" s="20"/>
      <c r="N12" s="51" t="str">
        <f t="shared" si="4"/>
        <v>-</v>
      </c>
      <c r="O12" s="55">
        <f>SUM(O11*-35)</f>
        <v>-12479.775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10522696.933</v>
      </c>
      <c r="E13" s="29" t="str">
        <f>+'[1](1)'!E13</f>
        <v>합계</v>
      </c>
      <c r="F13" s="61">
        <f>SUM(F4:F12)</f>
        <v>10523086</v>
      </c>
      <c r="G13" s="62"/>
      <c r="H13" s="29" t="str">
        <f t="shared" si="3"/>
        <v>합계</v>
      </c>
      <c r="I13" s="60">
        <f>SUM((I4-I5-I6-I7-I8-I9)*$I$1+I11)</f>
        <v>8901382.2920000013</v>
      </c>
      <c r="J13" s="29" t="str">
        <f t="shared" ref="J13" si="6">+E13</f>
        <v>합계</v>
      </c>
      <c r="K13" s="61">
        <f>IF(K8=0,0,SUM(K4:K12)-F8)</f>
        <v>8900476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58400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389.06699999980628</v>
      </c>
      <c r="G14" s="27"/>
      <c r="H14" s="27"/>
      <c r="I14" s="27"/>
      <c r="J14" s="27"/>
      <c r="K14" s="67">
        <f>SUM(K13-I13)</f>
        <v>-906.2920000012964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81689.600000000006</v>
      </c>
      <c r="P14" s="39" t="str">
        <f t="shared" si="5"/>
        <v>합계</v>
      </c>
      <c r="Q14" s="69">
        <f>SUM(Q5:Q13)</f>
        <v>19423562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-517.22500000149012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87</v>
      </c>
      <c r="Q28" s="69">
        <f>SUM(Q19:Q27)</f>
        <v>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29774</v>
      </c>
      <c r="P31" s="103">
        <v>29803</v>
      </c>
      <c r="Q31" s="104">
        <f>P31-O31</f>
        <v>29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1" sqref="K1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1032</v>
      </c>
      <c r="J1" s="27"/>
      <c r="K1" s="27"/>
      <c r="L1" s="31">
        <f>+ROUND(+O5*0.584/1000,3)</f>
        <v>9.6690000000000005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12.675000000000001</v>
      </c>
      <c r="M2" s="27" t="s">
        <v>7</v>
      </c>
      <c r="N2" s="138" t="s">
        <v>42</v>
      </c>
      <c r="O2" s="138"/>
      <c r="P2" s="138"/>
      <c r="Q2" s="138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25.35</v>
      </c>
      <c r="M3" s="27" t="s">
        <v>10</v>
      </c>
      <c r="N3" s="32"/>
      <c r="O3" s="32"/>
      <c r="P3" s="137" t="str">
        <f>+'(1)'!C1&amp;"년"&amp;'(1)'!E1&amp;"월"&amp;C1&amp;"일"</f>
        <v>2023년12월2일</v>
      </c>
      <c r="Q3" s="137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8724.7039999999997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7832.3559999999998</v>
      </c>
      <c r="J4" s="42" t="str">
        <f>+'[1](1)'!J4</f>
        <v>고액권</v>
      </c>
      <c r="K4" s="36">
        <v>280000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21888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37"/>
      <c r="M5" s="82"/>
      <c r="N5" s="45" t="str">
        <f>+C4</f>
        <v>판매량</v>
      </c>
      <c r="O5" s="46">
        <f>SUM(D4+I4+D17+I17+D35+I35)</f>
        <v>16557.059999999998</v>
      </c>
      <c r="P5" s="47" t="str">
        <f>+E4</f>
        <v>고액권</v>
      </c>
      <c r="Q5" s="48">
        <f>SUM(F4+K4+F17+K17+F35+K35)</f>
        <v>280000</v>
      </c>
      <c r="R5" s="49">
        <v>18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20.46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26.754999999999999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2.4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47.215000000000003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8980340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F8+7707732</f>
        <v>16688072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16688072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117.008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27053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-4095.2799999999997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117.008</v>
      </c>
      <c r="P11" s="51" t="str">
        <f t="shared" si="4"/>
        <v>OK케시백</v>
      </c>
      <c r="Q11" s="53">
        <f>SUM(F10+K10+F23+K23+F41+K41)</f>
        <v>27053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-4095.2799999999997</v>
      </c>
      <c r="P12" s="51" t="str">
        <f t="shared" si="4"/>
        <v>모바일</v>
      </c>
      <c r="Q12" s="53">
        <f>SUM(F11+K11+F24+K24+F42+K42)</f>
        <v>35000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8978684.5280000009</v>
      </c>
      <c r="E13" s="29" t="str">
        <f>+'[1](1)'!E13</f>
        <v>합계</v>
      </c>
      <c r="F13" s="61">
        <f>SUM(F4:F12)</f>
        <v>9015340</v>
      </c>
      <c r="G13" s="62"/>
      <c r="H13" s="29" t="str">
        <f t="shared" si="2"/>
        <v>합계</v>
      </c>
      <c r="I13" s="60">
        <f>SUM((I4-I5-I6-I7-I8-I9)*$I$1+I11)</f>
        <v>8055380.2319999998</v>
      </c>
      <c r="J13" s="29" t="str">
        <f t="shared" ref="J13" si="5">+E13</f>
        <v>합계</v>
      </c>
      <c r="K13" s="61">
        <f>IF(K8=0,0,SUM(K4:K12)-F8)</f>
        <v>8017785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36655.471999999136</v>
      </c>
      <c r="G14" s="27"/>
      <c r="H14" s="27"/>
      <c r="I14" s="27"/>
      <c r="J14" s="27"/>
      <c r="K14" s="67">
        <f>SUM(K13-I13)</f>
        <v>-37595.231999999844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78453.944999999992</v>
      </c>
      <c r="P14" s="39" t="str">
        <f t="shared" si="4"/>
        <v>합계</v>
      </c>
      <c r="Q14" s="69">
        <f>SUM(Q5:Q13)</f>
        <v>17033125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-939.76000000070781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76</v>
      </c>
      <c r="Q20" s="53">
        <f>SUM(P20*1000)</f>
        <v>76000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4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1"/>
      <c r="O26" s="142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5" t="s">
        <v>40</v>
      </c>
      <c r="O28" s="136"/>
      <c r="P28" s="120">
        <v>108</v>
      </c>
      <c r="Q28" s="69">
        <f>SUM(Q19:Q27)</f>
        <v>85000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29199</v>
      </c>
      <c r="P31" s="103">
        <v>29250</v>
      </c>
      <c r="Q31" s="104">
        <f>P31-O31</f>
        <v>51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10.46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209.20000000000002</v>
      </c>
      <c r="M3" s="18" t="s">
        <v>10</v>
      </c>
      <c r="N3" s="3"/>
      <c r="O3" s="3"/>
      <c r="P3" s="150" t="str">
        <f>+'(1)'!C1&amp;"년"&amp;'(1)'!E1&amp;"월"&amp;C1&amp;"일"</f>
        <v>2023년12월20일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10187.566000000001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8888.4760000000006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26136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9400</v>
      </c>
      <c r="L5" s="2"/>
      <c r="M5" s="20"/>
      <c r="N5" s="45" t="str">
        <f>+C4</f>
        <v>판매량</v>
      </c>
      <c r="O5" s="46">
        <f>SUM(D4+I4+D17+I17+D35+I35)</f>
        <v>19076.042000000001</v>
      </c>
      <c r="P5" s="47" t="str">
        <f>+E4</f>
        <v>고액권</v>
      </c>
      <c r="Q5" s="48">
        <f>SUM(F4+K4+F17+K17+F35+K35)</f>
        <v>310000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389.50400000000002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12400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389.50400000000002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9949491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18940910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18940910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256.12900000000002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48.932000000000002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-8964.5150000000012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-1712.6200000000001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305.06100000000004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-10677.135000000002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10102635.468999999</v>
      </c>
      <c r="E13" s="29" t="str">
        <f>+'[1](1)'!E13</f>
        <v>합계</v>
      </c>
      <c r="F13" s="61">
        <f>SUM(F4:F12)</f>
        <v>10102491</v>
      </c>
      <c r="G13" s="62"/>
      <c r="H13" s="29" t="str">
        <f t="shared" si="3"/>
        <v>합계</v>
      </c>
      <c r="I13" s="60">
        <f>SUM((I4-I5-I6-I7-I8-I9)*$I$1+I11)</f>
        <v>9171194.6120000016</v>
      </c>
      <c r="J13" s="29" t="str">
        <f t="shared" ref="J13" si="6">+E13</f>
        <v>합계</v>
      </c>
      <c r="K13" s="61">
        <f>IF(K8=0,0,SUM(K4:K12)-F8)</f>
        <v>9170819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-144.46899999864399</v>
      </c>
      <c r="G14" s="27"/>
      <c r="H14" s="27"/>
      <c r="I14" s="27"/>
      <c r="J14" s="27"/>
      <c r="K14" s="67">
        <f>SUM(K13-I13)</f>
        <v>-375.61200000159442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82755.554999999993</v>
      </c>
      <c r="P14" s="39" t="str">
        <f t="shared" si="5"/>
        <v>합계</v>
      </c>
      <c r="Q14" s="69">
        <f>SUM(Q5:Q13)</f>
        <v>19273310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-520.08100000023842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29</v>
      </c>
      <c r="Q19" s="48">
        <f>SUM(P19*1000)</f>
        <v>29000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59</v>
      </c>
      <c r="Q20" s="53">
        <f>SUM(P20*1000)</f>
        <v>59000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124</v>
      </c>
      <c r="Q28" s="69">
        <f>SUM(Q19:Q27)</f>
        <v>88000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29803</v>
      </c>
      <c r="P31" s="103">
        <v>29826</v>
      </c>
      <c r="Q31" s="104">
        <f>P31-O31</f>
        <v>23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12.353999999999999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221.55</v>
      </c>
      <c r="M3" s="18" t="s">
        <v>10</v>
      </c>
      <c r="N3" s="3"/>
      <c r="O3" s="3"/>
      <c r="P3" s="150" t="str">
        <f>+'(1)'!C1&amp;"년"&amp;'(1)'!E1&amp;"월"&amp;C1&amp;"일"</f>
        <v>2023년12월21일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11635.944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9518.2569999999996</v>
      </c>
      <c r="J4" s="42" t="str">
        <f>+'[1](1)'!J4</f>
        <v>고액권</v>
      </c>
      <c r="K4" s="36">
        <v>395000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42011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5000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21154.201000000001</v>
      </c>
      <c r="P5" s="47" t="str">
        <f>+E4</f>
        <v>고액권</v>
      </c>
      <c r="Q5" s="48">
        <f>SUM(F4+K4+F17+K17+F35+K35)</f>
        <v>465000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146.035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146.035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11762931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21190220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21190220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380.46699999999998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-13316.344999999999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380.46699999999998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-13316.344999999999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11844269.742999999</v>
      </c>
      <c r="E13" s="29" t="str">
        <f>+'[1](1)'!E13</f>
        <v>합계</v>
      </c>
      <c r="F13" s="61">
        <f>SUM(F4:F12)</f>
        <v>11842931</v>
      </c>
      <c r="G13" s="62"/>
      <c r="H13" s="29" t="str">
        <f t="shared" si="3"/>
        <v>합계</v>
      </c>
      <c r="I13" s="60">
        <f>SUM((I4-I5-I6-I7-I8-I9)*$I$1+I11)</f>
        <v>9822841.2239999995</v>
      </c>
      <c r="J13" s="29" t="str">
        <f t="shared" ref="J13" si="6">+E13</f>
        <v>합계</v>
      </c>
      <c r="K13" s="61">
        <f>IF(K8=0,0,SUM(K4:K12)-F8)</f>
        <v>9824289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-1338.7429999988526</v>
      </c>
      <c r="G14" s="27"/>
      <c r="H14" s="27"/>
      <c r="I14" s="27"/>
      <c r="J14" s="27"/>
      <c r="K14" s="67">
        <f>SUM(K13-I13)</f>
        <v>1447.7760000005364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91724.485000000001</v>
      </c>
      <c r="P14" s="39" t="str">
        <f t="shared" si="5"/>
        <v>합계</v>
      </c>
      <c r="Q14" s="69">
        <f>SUM(Q5:Q13)</f>
        <v>21667220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109.03300000168383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62</v>
      </c>
      <c r="Q20" s="53">
        <f>SUM(P20*1000)</f>
        <v>62000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61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29826</v>
      </c>
      <c r="P31" s="103">
        <v>29850</v>
      </c>
      <c r="Q31" s="104">
        <f>P31-O31</f>
        <v>24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B14" sqref="B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12.481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10.638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234.036</v>
      </c>
      <c r="M3" s="18" t="s">
        <v>10</v>
      </c>
      <c r="N3" s="3"/>
      <c r="O3" s="3"/>
      <c r="P3" s="150" t="str">
        <f>+'(1)'!C1&amp;"년"&amp;'(1)'!E1&amp;"월"&amp;C1&amp;"일"</f>
        <v>2023년12월22일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11854.913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9516.4879999999994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20274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21371.400999999998</v>
      </c>
      <c r="P5" s="47" t="str">
        <f>+E4</f>
        <v>고액권</v>
      </c>
      <c r="Q5" s="48">
        <f>SUM(F4+K4+F17+K17+F35+K35)</f>
        <v>215000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211.941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211.941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11913846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21546671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21546671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348.096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95.373000000000005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-12183.36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-3338.0550000000003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443.46899999999999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-15521.414999999999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12003363.744000001</v>
      </c>
      <c r="E13" s="29" t="str">
        <f>+'[1](1)'!E13</f>
        <v>합계</v>
      </c>
      <c r="F13" s="61">
        <f>SUM(F4:F12)</f>
        <v>12002846</v>
      </c>
      <c r="G13" s="62"/>
      <c r="H13" s="29" t="str">
        <f t="shared" si="3"/>
        <v>합계</v>
      </c>
      <c r="I13" s="60">
        <f>SUM((I4-I5-I6-I7-I8-I9)*$I$1+I11)</f>
        <v>9817677.5609999988</v>
      </c>
      <c r="J13" s="29" t="str">
        <f t="shared" ref="J13" si="6">+E13</f>
        <v>합계</v>
      </c>
      <c r="K13" s="61">
        <f>IF(K8=0,0,SUM(K4:K12)-F8)</f>
        <v>9817825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-517.74400000087917</v>
      </c>
      <c r="G14" s="27"/>
      <c r="H14" s="27"/>
      <c r="I14" s="27"/>
      <c r="J14" s="27"/>
      <c r="K14" s="67">
        <f>SUM(K13-I13)</f>
        <v>147.43900000117719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90275.884999999995</v>
      </c>
      <c r="P14" s="39" t="str">
        <f t="shared" si="5"/>
        <v>합계</v>
      </c>
      <c r="Q14" s="69">
        <f>SUM(Q5:Q13)</f>
        <v>21820671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-370.30499999970198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65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29850</v>
      </c>
      <c r="P31" s="103" t="s">
        <v>78</v>
      </c>
      <c r="Q31" s="104" t="e">
        <f>P31-O31</f>
        <v>#VALUE!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10.615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244.14500000000001</v>
      </c>
      <c r="M3" s="18" t="s">
        <v>10</v>
      </c>
      <c r="N3" s="3"/>
      <c r="O3" s="3"/>
      <c r="P3" s="150" t="str">
        <f>+'(1)'!C1&amp;"년"&amp;'(1)'!E1&amp;"월"&amp;C1&amp;"일"</f>
        <v>2023년12월23일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9241.5280000000002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8050.66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40004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17292.188000000002</v>
      </c>
      <c r="P5" s="47" t="str">
        <f>+E4</f>
        <v>고액권</v>
      </c>
      <c r="Q5" s="48">
        <f>SUM(F4+K4+F17+K17+F35+K35)</f>
        <v>310000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91.453000000000003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91.453000000000003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9276423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17363556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17363556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162.38800000000001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-5683.58</v>
      </c>
      <c r="E11" s="42" t="str">
        <f>+'[1](1)'!E11</f>
        <v>모바일</v>
      </c>
      <c r="F11" s="44">
        <v>35000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162.38800000000001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32306</v>
      </c>
      <c r="L12" s="2"/>
      <c r="M12" s="20"/>
      <c r="N12" s="51" t="str">
        <f t="shared" si="4"/>
        <v>-</v>
      </c>
      <c r="O12" s="55">
        <f>SUM(O11*-35)</f>
        <v>-5683.58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9437193.8200000003</v>
      </c>
      <c r="E13" s="29" t="str">
        <f>+'[1](1)'!E13</f>
        <v>합계</v>
      </c>
      <c r="F13" s="61">
        <f>SUM(F4:F12)</f>
        <v>9436423</v>
      </c>
      <c r="G13" s="62"/>
      <c r="H13" s="29" t="str">
        <f t="shared" si="3"/>
        <v>합계</v>
      </c>
      <c r="I13" s="60">
        <f>SUM((I4-I5-I6-I7-I8-I9)*$I$1+I11)</f>
        <v>8308281.1200000001</v>
      </c>
      <c r="J13" s="29" t="str">
        <f t="shared" ref="J13" si="6">+E13</f>
        <v>합계</v>
      </c>
      <c r="K13" s="61">
        <f>IF(K8=0,0,SUM(K4:K12)-F8)</f>
        <v>8307439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32306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-770.82000000029802</v>
      </c>
      <c r="G14" s="27"/>
      <c r="H14" s="27"/>
      <c r="I14" s="27"/>
      <c r="J14" s="27"/>
      <c r="K14" s="67">
        <f>SUM(K13-I13)</f>
        <v>-842.12000000011176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80320.095000000001</v>
      </c>
      <c r="P14" s="39" t="str">
        <f t="shared" si="5"/>
        <v>합계</v>
      </c>
      <c r="Q14" s="69">
        <f>SUM(Q5:Q13)</f>
        <v>17743862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-1612.9400000004098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78</v>
      </c>
      <c r="Q20" s="53">
        <f>SUM(P20*1000)</f>
        <v>78000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137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29871</v>
      </c>
      <c r="P31" s="103">
        <v>29912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6.83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10.457000000000001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250.96800000000002</v>
      </c>
      <c r="M3" s="18" t="s">
        <v>10</v>
      </c>
      <c r="N3" s="3"/>
      <c r="O3" s="3"/>
      <c r="P3" s="150" t="str">
        <f>+'(1)'!C1&amp;"년"&amp;'(1)'!E1&amp;"월"&amp;C1&amp;"일"</f>
        <v>2023년12월24일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6492.1409999999996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5202.6369999999997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28829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11694.777999999998</v>
      </c>
      <c r="P5" s="47" t="str">
        <f>+E4</f>
        <v>고액권</v>
      </c>
      <c r="Q5" s="48">
        <f>SUM(F4+K4+F17+K17+F35+K35)</f>
        <v>320000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56.331000000000003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56.331000000000003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6396221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11602935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11602935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58.042000000000002</v>
      </c>
      <c r="E10" s="42" t="str">
        <f>+'[1](1)'!E10</f>
        <v>OK케시백</v>
      </c>
      <c r="F10" s="44">
        <v>10000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10000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-2031.47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58.042000000000002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56529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-2031.47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6639724.4500000002</v>
      </c>
      <c r="E13" s="29" t="str">
        <f>+'[1](1)'!E13</f>
        <v>합계</v>
      </c>
      <c r="F13" s="61">
        <f>SUM(F4:F12)</f>
        <v>6640750</v>
      </c>
      <c r="G13" s="62"/>
      <c r="H13" s="29" t="str">
        <f t="shared" si="3"/>
        <v>합계</v>
      </c>
      <c r="I13" s="60">
        <f>SUM((I4-I5-I6-I7-I8-I9)*$I$1+I11)</f>
        <v>5369121.3839999996</v>
      </c>
      <c r="J13" s="29" t="str">
        <f t="shared" ref="J13" si="6">+E13</f>
        <v>합계</v>
      </c>
      <c r="K13" s="61">
        <f>IF(K8=0,0,SUM(K4:K12)-F8)</f>
        <v>5368714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56529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1025.5499999998137</v>
      </c>
      <c r="G14" s="27"/>
      <c r="H14" s="27"/>
      <c r="I14" s="27"/>
      <c r="J14" s="27"/>
      <c r="K14" s="67">
        <f>SUM(K13-I13)</f>
        <v>-407.38399999961257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56160.764999999992</v>
      </c>
      <c r="P14" s="39" t="str">
        <f t="shared" si="5"/>
        <v>합계</v>
      </c>
      <c r="Q14" s="69">
        <f>SUM(Q5:Q13)</f>
        <v>12009464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618.16600000020117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122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29912</v>
      </c>
      <c r="P31" s="103">
        <v>29953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10.28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257</v>
      </c>
      <c r="M3" s="18" t="s">
        <v>10</v>
      </c>
      <c r="N3" s="3"/>
      <c r="O3" s="3"/>
      <c r="P3" s="150" t="str">
        <f>+'(1)'!C1&amp;"년"&amp;'(1)'!E1&amp;"월"&amp;C1&amp;"일"</f>
        <v>2023년12월25일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5816.7579999999998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4491.4250000000002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54883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10308.183000000001</v>
      </c>
      <c r="P5" s="47" t="str">
        <f>+E4</f>
        <v>고액권</v>
      </c>
      <c r="Q5" s="48">
        <f>SUM(F4+K4+F17+K17+F35+K35)</f>
        <v>30000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6004519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10592278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10592278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65.683999999999997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55.171999999999997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-2298.94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-1931.02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120.85599999999999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-4229.96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6000595.3159999996</v>
      </c>
      <c r="E13" s="29" t="str">
        <f>+'[1](1)'!E13</f>
        <v>합계</v>
      </c>
      <c r="F13" s="61">
        <f>SUM(F4:F12)</f>
        <v>6010519</v>
      </c>
      <c r="G13" s="62"/>
      <c r="H13" s="29" t="str">
        <f t="shared" si="3"/>
        <v>합계</v>
      </c>
      <c r="I13" s="60">
        <f>SUM((I4-I5-I6-I7-I8-I9)*$I$1+I11)</f>
        <v>4633219.580000001</v>
      </c>
      <c r="J13" s="29" t="str">
        <f t="shared" ref="J13" si="6">+E13</f>
        <v>합계</v>
      </c>
      <c r="K13" s="61">
        <f>IF(K8=0,0,SUM(K4:K12)-F8)</f>
        <v>4622959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9923.6840000003576</v>
      </c>
      <c r="G14" s="27"/>
      <c r="H14" s="27"/>
      <c r="I14" s="27"/>
      <c r="J14" s="27"/>
      <c r="K14" s="67">
        <f>SUM(K13-I13)</f>
        <v>-10260.580000001006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47310.955000000009</v>
      </c>
      <c r="P14" s="39" t="str">
        <f t="shared" si="5"/>
        <v>합계</v>
      </c>
      <c r="Q14" s="69">
        <f>SUM(Q5:Q13)</f>
        <v>10633478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-336.8960000006482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119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29912</v>
      </c>
      <c r="P31" s="103">
        <v>29996</v>
      </c>
      <c r="Q31" s="104">
        <f>P31-O31</f>
        <v>84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11.131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10.313000000000001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268.13800000000003</v>
      </c>
      <c r="M3" s="18" t="s">
        <v>10</v>
      </c>
      <c r="N3" s="3"/>
      <c r="O3" s="3"/>
      <c r="P3" s="150" t="str">
        <f>+'(1)'!C1&amp;"년"&amp;'(1)'!E1&amp;"월"&amp;C1&amp;"일"</f>
        <v>2023년12월26일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11026.982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8032.6670000000004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35994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19059.649000000001</v>
      </c>
      <c r="P5" s="47" t="str">
        <f>+E4</f>
        <v>고액권</v>
      </c>
      <c r="Q5" s="48">
        <f>SUM(F4+K4+F17+K17+F35+K35)</f>
        <v>230000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180.20400000000001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29.771999999999998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209.976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10987305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19142461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19142461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163.22900000000001</v>
      </c>
      <c r="E10" s="42" t="str">
        <f>+'[1](1)'!E10</f>
        <v>OK케시백</v>
      </c>
      <c r="F10" s="44">
        <v>56542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-5713.0150000000003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163.22900000000001</v>
      </c>
      <c r="P11" s="51" t="str">
        <f t="shared" si="5"/>
        <v>OK케시백</v>
      </c>
      <c r="Q11" s="53">
        <f>SUM(F10+K10+F23+K23+F41+K41)</f>
        <v>56542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-5713.0150000000003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11188161.880999999</v>
      </c>
      <c r="E13" s="29" t="str">
        <f>+'[1](1)'!E13</f>
        <v>합계</v>
      </c>
      <c r="F13" s="61">
        <f>SUM(F4:F12)</f>
        <v>11186847</v>
      </c>
      <c r="G13" s="62"/>
      <c r="H13" s="29" t="str">
        <f t="shared" si="3"/>
        <v>합계</v>
      </c>
      <c r="I13" s="60">
        <f>SUM((I4-I5-I6-I7-I8-I9)*$I$1+I11)</f>
        <v>8258987.6400000006</v>
      </c>
      <c r="J13" s="29" t="str">
        <f t="shared" ref="J13" si="6">+E13</f>
        <v>합계</v>
      </c>
      <c r="K13" s="61">
        <f>IF(K8=0,0,SUM(K4:K12)-F8)</f>
        <v>8259156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-1314.8809999991208</v>
      </c>
      <c r="G14" s="27"/>
      <c r="H14" s="27"/>
      <c r="I14" s="27"/>
      <c r="J14" s="27"/>
      <c r="K14" s="67">
        <f>SUM(K13-I13)</f>
        <v>168.35999999940395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88535.35000000002</v>
      </c>
      <c r="P14" s="39" t="str">
        <f t="shared" si="5"/>
        <v>합계</v>
      </c>
      <c r="Q14" s="69">
        <f>SUM(Q5:Q13)</f>
        <v>19446003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-1146.5209999997169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28</v>
      </c>
      <c r="Q19" s="48">
        <f>SUM(P19*1000)</f>
        <v>28000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140</v>
      </c>
      <c r="Q20" s="53">
        <f>SUM(P20*1000)</f>
        <v>140000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231</v>
      </c>
      <c r="Q28" s="69">
        <f>SUM(Q19:Q27)</f>
        <v>168000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29996</v>
      </c>
      <c r="P31" s="103">
        <v>30074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11.473000000000001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10.356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279.61200000000002</v>
      </c>
      <c r="M3" s="18" t="s">
        <v>10</v>
      </c>
      <c r="N3" s="3"/>
      <c r="O3" s="3"/>
      <c r="P3" s="150" t="str">
        <f>+'(1)'!C1&amp;"년"&amp;'(1)'!E1&amp;"월"&amp;C1&amp;"일"</f>
        <v>2023년12월27일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10659.976000000001</v>
      </c>
      <c r="E4" s="34" t="str">
        <f>+'[1](1)'!E4</f>
        <v>고액권</v>
      </c>
      <c r="F4" s="36">
        <v>265000</v>
      </c>
      <c r="G4" s="27"/>
      <c r="H4" s="34" t="str">
        <f>+C4</f>
        <v>판매량</v>
      </c>
      <c r="I4" s="35">
        <v>8986.0669999999991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16051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19646.042999999998</v>
      </c>
      <c r="P5" s="47" t="str">
        <f>+E4</f>
        <v>고액권</v>
      </c>
      <c r="Q5" s="48">
        <f>SUM(F4+K4+F17+K17+F35+K35)</f>
        <v>415000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357.74599999999998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2700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357.74599999999998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10353081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19451254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19451254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207.70699999999999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24367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-7269.7449999999999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207.70699999999999</v>
      </c>
      <c r="P11" s="51" t="str">
        <f t="shared" si="5"/>
        <v>OK케시백</v>
      </c>
      <c r="Q11" s="53">
        <f>SUM(F10+K10+F23+K23+F41+K41)</f>
        <v>24367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-7269.7449999999999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10624631.615000002</v>
      </c>
      <c r="E13" s="29" t="str">
        <f>+'[1](1)'!E13</f>
        <v>합계</v>
      </c>
      <c r="F13" s="61">
        <f>SUM(F4:F12)</f>
        <v>10623081</v>
      </c>
      <c r="G13" s="62"/>
      <c r="H13" s="29" t="str">
        <f t="shared" si="3"/>
        <v>합계</v>
      </c>
      <c r="I13" s="60">
        <f>SUM((I4-I5-I6-I7-I8-I9)*$I$1+I11)</f>
        <v>9273621.1439999994</v>
      </c>
      <c r="J13" s="29" t="str">
        <f t="shared" ref="J13" si="6">+E13</f>
        <v>합계</v>
      </c>
      <c r="K13" s="61">
        <f>IF(K8=0,0,SUM(K4:K12)-F8)</f>
        <v>9275240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-1550.6150000020862</v>
      </c>
      <c r="G14" s="27"/>
      <c r="H14" s="27"/>
      <c r="I14" s="27"/>
      <c r="J14" s="27"/>
      <c r="K14" s="67">
        <f>SUM(K13-I13)</f>
        <v>1618.8560000006109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89171.739999999991</v>
      </c>
      <c r="P14" s="39" t="str">
        <f t="shared" si="5"/>
        <v>합계</v>
      </c>
      <c r="Q14" s="69">
        <f>SUM(Q5:Q13)</f>
        <v>19898321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68.240999998524785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117</v>
      </c>
      <c r="Q20" s="53">
        <f>SUM(P20*1000)</f>
        <v>117000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197</v>
      </c>
      <c r="Q28" s="69">
        <f>SUM(Q19:Q27)</f>
        <v>138000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30074</v>
      </c>
      <c r="P31" s="103">
        <v>30160</v>
      </c>
      <c r="Q31" s="104">
        <f>P31-O31</f>
        <v>86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10.804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10.372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290.416</v>
      </c>
      <c r="M3" s="18" t="s">
        <v>10</v>
      </c>
      <c r="N3" s="3"/>
      <c r="O3" s="3"/>
      <c r="P3" s="150" t="str">
        <f>+'(1)'!C1&amp;"년"&amp;'(1)'!E1&amp;"월"&amp;C1&amp;"일"</f>
        <v>2023년12월28일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9678.9369999999999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8821.018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35026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18499.955000000002</v>
      </c>
      <c r="P5" s="47" t="str">
        <f>+E4</f>
        <v>고액권</v>
      </c>
      <c r="Q5" s="48">
        <f>SUM(F4+K4+F17+K17+F35+K35)</f>
        <v>415000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130.827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130.827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9680223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18538629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18538629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9853649.5200000014</v>
      </c>
      <c r="E13" s="29" t="str">
        <f>+'[1](1)'!E13</f>
        <v>합계</v>
      </c>
      <c r="F13" s="61">
        <f>SUM(F4:F12)</f>
        <v>9853223</v>
      </c>
      <c r="G13" s="62"/>
      <c r="H13" s="29" t="str">
        <f t="shared" si="3"/>
        <v>합계</v>
      </c>
      <c r="I13" s="60">
        <f>SUM((I4-I5-I6-I7-I8-I9)*$I$1+I11)</f>
        <v>9103290.5759999994</v>
      </c>
      <c r="J13" s="29" t="str">
        <f t="shared" ref="J13" si="6">+E13</f>
        <v>합계</v>
      </c>
      <c r="K13" s="61">
        <f>IF(K8=0,0,SUM(K4:K12)-F8)</f>
        <v>9103406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-426.52000000141561</v>
      </c>
      <c r="G14" s="27"/>
      <c r="H14" s="27"/>
      <c r="I14" s="27"/>
      <c r="J14" s="27"/>
      <c r="K14" s="67">
        <f>SUM(K13-I13)</f>
        <v>115.42400000058115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91845.64</v>
      </c>
      <c r="P14" s="39" t="str">
        <f t="shared" si="5"/>
        <v>합계</v>
      </c>
      <c r="Q14" s="69">
        <f>SUM(Q5:Q13)</f>
        <v>18956629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-311.09600000083447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103</v>
      </c>
      <c r="Q20" s="53">
        <f>SUM(P20*1000)</f>
        <v>103000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153</v>
      </c>
      <c r="Q28" s="69">
        <f>SUM(Q19:Q27)</f>
        <v>115000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30160</v>
      </c>
      <c r="P31" s="103">
        <v>30228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11.286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10.404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301.71600000000001</v>
      </c>
      <c r="M3" s="18" t="s">
        <v>10</v>
      </c>
      <c r="N3" s="3"/>
      <c r="O3" s="3"/>
      <c r="P3" s="150" t="str">
        <f>+'(1)'!C1&amp;"년"&amp;'(1)'!E1&amp;"월"&amp;C1&amp;"일"</f>
        <v>2023년12월29일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10311.565000000001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9013.6959999999999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52164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19325.260999999999</v>
      </c>
      <c r="P5" s="47" t="str">
        <f>+E4</f>
        <v>고액권</v>
      </c>
      <c r="Q5" s="48">
        <f>SUM(F4+K4+F17+K17+F35+K35)</f>
        <v>420000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202.19800000000001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37.58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239.77800000000002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10245921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19247934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19247934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96.9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46.216000000000001</v>
      </c>
      <c r="J10" s="42" t="str">
        <f>+'[1](1)'!J10</f>
        <v>OK케시백</v>
      </c>
      <c r="K10" s="44">
        <v>8000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-3391.5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-1617.56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143.11600000000001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-5009.0600000000004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10429475.244000001</v>
      </c>
      <c r="E13" s="29" t="str">
        <f>+'[1](1)'!E13</f>
        <v>합계</v>
      </c>
      <c r="F13" s="61">
        <f>SUM(F4:F12)</f>
        <v>10438921</v>
      </c>
      <c r="G13" s="62"/>
      <c r="H13" s="29" t="str">
        <f t="shared" si="3"/>
        <v>합계</v>
      </c>
      <c r="I13" s="60">
        <f>SUM((I4-I5-I6-I7-I8-I9)*$I$1+I11)</f>
        <v>9261734.1519999988</v>
      </c>
      <c r="J13" s="29" t="str">
        <f t="shared" ref="J13" si="6">+E13</f>
        <v>합계</v>
      </c>
      <c r="K13" s="61">
        <f>IF(K8=0,0,SUM(K4:K12)-F8)</f>
        <v>9261013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9445.7559999991208</v>
      </c>
      <c r="G14" s="27"/>
      <c r="H14" s="27"/>
      <c r="I14" s="27"/>
      <c r="J14" s="27"/>
      <c r="K14" s="67">
        <f>SUM(K13-I13)</f>
        <v>-721.15199999883771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90418.35500000001</v>
      </c>
      <c r="P14" s="39" t="str">
        <f t="shared" si="5"/>
        <v>합계</v>
      </c>
      <c r="Q14" s="69">
        <f>SUM(Q5:Q13)</f>
        <v>19699934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8724.6040000002831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72</v>
      </c>
      <c r="Q20" s="53">
        <f>SUM(P20*1000)</f>
        <v>72000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120</v>
      </c>
      <c r="Q28" s="69">
        <f>SUM(Q19:Q27)</f>
        <v>83000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30228</v>
      </c>
      <c r="P31" s="103">
        <v>30286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6.5709999999999997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10.64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31.92</v>
      </c>
      <c r="M3" s="18" t="s">
        <v>10</v>
      </c>
      <c r="N3" s="3"/>
      <c r="O3" s="3"/>
      <c r="P3" s="150" t="str">
        <f>+'(1)'!C1&amp;"년"&amp;'(1)'!E1&amp;"월"&amp;C1&amp;"일"</f>
        <v>2023년12월3일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7260.52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3990.6849999999999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46973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11251.205</v>
      </c>
      <c r="P5" s="47" t="str">
        <f>+E4</f>
        <v>고액권</v>
      </c>
      <c r="Q5" s="48">
        <f>SUM(F4+K4+F17+K17+F35+K35)</f>
        <v>260000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22.129000000000001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2600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22.129000000000001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7368061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11318458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11318458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63.584000000000003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-2225.44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63.584000000000003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-2225.44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7467794.0719999997</v>
      </c>
      <c r="E13" s="29" t="str">
        <f>+'[1](1)'!E13</f>
        <v>합계</v>
      </c>
      <c r="F13" s="61">
        <f>SUM(F4:F12)</f>
        <v>7468061</v>
      </c>
      <c r="G13" s="62"/>
      <c r="H13" s="29" t="str">
        <f t="shared" si="2"/>
        <v>합계</v>
      </c>
      <c r="I13" s="60">
        <f>SUM((I4-I5-I6-I7-I8-I9)*$I$1+I11)</f>
        <v>4118386.92</v>
      </c>
      <c r="J13" s="29" t="str">
        <f t="shared" ref="J13" si="5">+E13</f>
        <v>합계</v>
      </c>
      <c r="K13" s="61">
        <f>IF(K8=0,0,SUM(K4:K12)-F8)</f>
        <v>4117997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266.92800000030547</v>
      </c>
      <c r="G14" s="27"/>
      <c r="H14" s="27"/>
      <c r="I14" s="27"/>
      <c r="J14" s="27"/>
      <c r="K14" s="67">
        <f>SUM(K13-I13)</f>
        <v>-389.91999999992549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53919.939999999995</v>
      </c>
      <c r="P14" s="39" t="str">
        <f t="shared" si="4"/>
        <v>합계</v>
      </c>
      <c r="Q14" s="69">
        <f>SUM(Q5:Q13)</f>
        <v>11586058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-122.99199999962002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116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29250</v>
      </c>
      <c r="P31" s="103">
        <v>29312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C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8.8640000000000008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10.353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310.58999999999997</v>
      </c>
      <c r="M3" s="18" t="s">
        <v>10</v>
      </c>
      <c r="N3" s="3"/>
      <c r="O3" s="3"/>
      <c r="P3" s="150" t="str">
        <f>+'(1)'!C1&amp;"년"&amp;'(1)'!E1&amp;"월"&amp;C1&amp;"일"</f>
        <v>2023년12월30일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7267.3419999999996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7911.4260000000004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37165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15178.768</v>
      </c>
      <c r="P5" s="47" t="str">
        <f>+E4</f>
        <v>고액권</v>
      </c>
      <c r="Q5" s="48">
        <f>SUM(F4+K4+F17+K17+F35+K35)</f>
        <v>340000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26.141999999999999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26.141999999999999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7201652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15209792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15209792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13000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f>38521+29287</f>
        <v>67808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7472918.3999999994</v>
      </c>
      <c r="E13" s="29" t="str">
        <f>+'[1](1)'!E13</f>
        <v>합계</v>
      </c>
      <c r="F13" s="61">
        <f>SUM(F4:F12)</f>
        <v>7473460</v>
      </c>
      <c r="G13" s="62"/>
      <c r="H13" s="29" t="str">
        <f t="shared" si="3"/>
        <v>합계</v>
      </c>
      <c r="I13" s="60">
        <f>SUM((I4-I5-I6-I7-I8-I9)*$I$1+I11)</f>
        <v>8164591.6320000002</v>
      </c>
      <c r="J13" s="29" t="str">
        <f t="shared" ref="J13" si="6">+E13</f>
        <v>합계</v>
      </c>
      <c r="K13" s="61">
        <f>IF(K8=0,0,SUM(K4:K12)-F8)</f>
        <v>8164140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67808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541.60000000055879</v>
      </c>
      <c r="G14" s="27"/>
      <c r="H14" s="27"/>
      <c r="I14" s="27"/>
      <c r="J14" s="27"/>
      <c r="K14" s="67">
        <f>SUM(K13-I13)</f>
        <v>-451.63200000021607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75763.13</v>
      </c>
      <c r="P14" s="39" t="str">
        <f t="shared" si="5"/>
        <v>합계</v>
      </c>
      <c r="Q14" s="69">
        <f>SUM(Q5:Q13)</f>
        <v>15637600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89.968000000342727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</v>
      </c>
      <c r="Q20" s="53">
        <f>SUM(P20*1000)</f>
        <v>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</v>
      </c>
      <c r="Q28" s="69">
        <f>SUM(Q19:Q27)</f>
        <v>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30286</v>
      </c>
      <c r="P31" s="103">
        <v>30287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16" sqref="R1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3.9849999999999999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10.148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314.58799999999997</v>
      </c>
      <c r="M3" s="18" t="s">
        <v>10</v>
      </c>
      <c r="N3" s="3"/>
      <c r="O3" s="3"/>
      <c r="P3" s="150" t="str">
        <f>+'(1)'!C1&amp;"년"&amp;'(1)'!E1&amp;"월"&amp;C1&amp;"일"</f>
        <v>2023년12월31일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5749.4309999999996</v>
      </c>
      <c r="E4" s="34" t="str">
        <f>+'[1](1)'!E4</f>
        <v>고액권</v>
      </c>
      <c r="F4" s="36">
        <v>280000</v>
      </c>
      <c r="G4" s="27"/>
      <c r="H4" s="34" t="str">
        <f>+C4</f>
        <v>판매량</v>
      </c>
      <c r="I4" s="35">
        <v>1073.7829999999999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30608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0</v>
      </c>
      <c r="L5" s="2"/>
      <c r="M5" s="20"/>
      <c r="N5" s="45" t="str">
        <f>+C4</f>
        <v>판매량</v>
      </c>
      <c r="O5" s="46">
        <f>SUM(D4+I4+D17+I17+D35+I35)</f>
        <v>6823.2139999999999</v>
      </c>
      <c r="P5" s="47" t="str">
        <f>+E4</f>
        <v>고액권</v>
      </c>
      <c r="Q5" s="48">
        <f>SUM(F4+K4+F17+K17+F35+K35)</f>
        <v>320000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5601167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6662168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6662168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60.841999999999999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50000</v>
      </c>
      <c r="G11" s="27"/>
      <c r="H11" s="83" t="str">
        <f t="shared" si="3"/>
        <v>-</v>
      </c>
      <c r="I11" s="55">
        <f>SUM(I10*-35)</f>
        <v>-2129.4699999999998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60.841999999999999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-2129.4699999999998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5933412.7919999994</v>
      </c>
      <c r="E13" s="29" t="str">
        <f>+'[1](1)'!E13</f>
        <v>합계</v>
      </c>
      <c r="F13" s="61">
        <f>SUM(F4:F12)</f>
        <v>5934167</v>
      </c>
      <c r="G13" s="62"/>
      <c r="H13" s="29" t="str">
        <f t="shared" si="3"/>
        <v>합계</v>
      </c>
      <c r="I13" s="60">
        <f>SUM((I4-I5-I6-I7-I8-I9)*$I$1+I11)</f>
        <v>1106014.5859999999</v>
      </c>
      <c r="J13" s="29" t="str">
        <f t="shared" ref="J13" si="6">+E13</f>
        <v>합계</v>
      </c>
      <c r="K13" s="61">
        <f>IF(K8=0,0,SUM(K4:K12)-F8)</f>
        <v>1106001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754.20800000056624</v>
      </c>
      <c r="G14" s="27"/>
      <c r="H14" s="27"/>
      <c r="I14" s="27"/>
      <c r="J14" s="27"/>
      <c r="K14" s="67">
        <f>SUM(K13-I13)</f>
        <v>-13.585999999893829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31986.6</v>
      </c>
      <c r="P14" s="39" t="str">
        <f t="shared" si="5"/>
        <v>합계</v>
      </c>
      <c r="Q14" s="69">
        <f>SUM(Q5:Q13)</f>
        <v>7040168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740.62200000067241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109</v>
      </c>
      <c r="Q28" s="69">
        <f>SUM(Q19:Q27)</f>
        <v>79000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30287</v>
      </c>
      <c r="P31" s="103">
        <v>30320</v>
      </c>
      <c r="Q31" s="104">
        <f>P31-O31</f>
        <v>33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11.135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10.763999999999999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43.055999999999997</v>
      </c>
      <c r="M3" s="18" t="s">
        <v>10</v>
      </c>
      <c r="N3" s="3"/>
      <c r="O3" s="3"/>
      <c r="P3" s="150" t="str">
        <f>+'(1)'!C1&amp;"년"&amp;'(1)'!E1&amp;"월"&amp;C1&amp;"일"</f>
        <v>2023년12월4일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10762.040999999999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8305.2530000000006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28212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19067.294000000002</v>
      </c>
      <c r="P5" s="47" t="str">
        <f>+E4</f>
        <v>고액권</v>
      </c>
      <c r="Q5" s="48">
        <f>SUM(F4+K4+F17+K17+F35+K35)</f>
        <v>200000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222.79300000000001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222.79300000000001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59.670999999999999</v>
      </c>
      <c r="E8" s="42" t="str">
        <f>+'[1](1)'!E8</f>
        <v>신용카드</v>
      </c>
      <c r="F8" s="44">
        <f>10903779-312000</f>
        <v>10591779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19032488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">
        <v>67</v>
      </c>
      <c r="F9" s="44">
        <v>106729</v>
      </c>
      <c r="G9" s="27"/>
      <c r="H9" s="42" t="str">
        <f t="shared" si="2"/>
        <v>-</v>
      </c>
      <c r="I9" s="50"/>
      <c r="J9" s="42" t="s">
        <v>67</v>
      </c>
      <c r="K9" s="44">
        <v>35742</v>
      </c>
      <c r="L9" s="2"/>
      <c r="M9" s="20"/>
      <c r="N9" s="51" t="str">
        <f t="shared" si="3"/>
        <v>자가소비</v>
      </c>
      <c r="O9" s="54">
        <f>SUM(D8+I8+D21+I21+D39+I39)</f>
        <v>59.670999999999999</v>
      </c>
      <c r="P9" s="51" t="str">
        <f t="shared" si="4"/>
        <v>신용카드</v>
      </c>
      <c r="Q9" s="53">
        <f>IF(K8=0,F8,IF(F21=0,K8,IF(K21=0,F21,K21)))</f>
        <v>19032488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221.631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동양외상</v>
      </c>
      <c r="Q10" s="53">
        <f>SUM(F9+K9+F22+K22+F40+K40)</f>
        <v>142471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-7757.085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221.631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-7757.085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10807166.378999999</v>
      </c>
      <c r="E13" s="29" t="str">
        <f>+'[1](1)'!E13</f>
        <v>합계</v>
      </c>
      <c r="F13" s="61">
        <f>SUM(F4:F12)</f>
        <v>10812508</v>
      </c>
      <c r="G13" s="62"/>
      <c r="H13" s="29" t="str">
        <f t="shared" si="2"/>
        <v>합계</v>
      </c>
      <c r="I13" s="60">
        <f>SUM((I4-I5-I6-I7-I8-I9)*$I$1+I11)</f>
        <v>8571021.0960000008</v>
      </c>
      <c r="J13" s="29" t="str">
        <f t="shared" ref="J13" si="5">+E13</f>
        <v>합계</v>
      </c>
      <c r="K13" s="61">
        <f>IF(K8=0,0,SUM(K4:K12)-F8)</f>
        <v>8571451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130" t="s">
        <v>65</v>
      </c>
      <c r="E14" s="130">
        <f>54698+52031</f>
        <v>106729</v>
      </c>
      <c r="F14" s="67">
        <f>SUM(F13-D13)</f>
        <v>5341.621000001207</v>
      </c>
      <c r="G14" s="27"/>
      <c r="H14" s="27"/>
      <c r="I14" s="27"/>
      <c r="J14" s="27"/>
      <c r="K14" s="67">
        <f>SUM(K13-I13)</f>
        <v>429.90399999916553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86167.065000000002</v>
      </c>
      <c r="P14" s="39" t="str">
        <f t="shared" si="4"/>
        <v>합계</v>
      </c>
      <c r="Q14" s="69">
        <f>SUM(Q5:Q13)</f>
        <v>19383959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130" t="s">
        <v>66</v>
      </c>
      <c r="E15" s="130">
        <f>E14+F14</f>
        <v>112070.62100000121</v>
      </c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5771.5250000003725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80</v>
      </c>
      <c r="Q20" s="53">
        <f>SUM(P20*1000)</f>
        <v>80000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동양외상</v>
      </c>
      <c r="F22" s="44"/>
      <c r="G22" s="27"/>
      <c r="H22" s="42" t="str">
        <f t="shared" si="10"/>
        <v>-</v>
      </c>
      <c r="I22" s="50"/>
      <c r="J22" s="42" t="str">
        <f t="shared" si="11"/>
        <v>동양외상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155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29312</v>
      </c>
      <c r="P31" s="103">
        <v>29366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1032</v>
      </c>
      <c r="J1" s="1"/>
      <c r="K1" s="1"/>
      <c r="L1" s="21">
        <f>+ROUND(+O5*0.584/1000,3)</f>
        <v>10.395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10.69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53.449999999999996</v>
      </c>
      <c r="M3" s="18" t="s">
        <v>10</v>
      </c>
      <c r="N3" s="3"/>
      <c r="O3" s="3"/>
      <c r="P3" s="150" t="str">
        <f>+'(1)'!C1&amp;"년"&amp;'(1)'!E1&amp;"월"&amp;C1&amp;"일"</f>
        <v>2023년12월5일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9597.1319999999996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8203.1229999999996</v>
      </c>
      <c r="J4" s="42" t="str">
        <f>+'[1](1)'!J4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46496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17800.254999999997</v>
      </c>
      <c r="P5" s="47" t="str">
        <f>+E4</f>
        <v>고액권</v>
      </c>
      <c r="Q5" s="48">
        <f>SUM(F4+K4+F17+K17+F35+K35)</f>
        <v>480000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249.71799999999999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1017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249.71799999999999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9446174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17561551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1017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68</v>
      </c>
      <c r="K9" s="44">
        <v>24468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17561551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174.65899999999999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30000</v>
      </c>
      <c r="L10" s="2"/>
      <c r="M10" s="20"/>
      <c r="N10" s="51" t="str">
        <f t="shared" si="3"/>
        <v>-</v>
      </c>
      <c r="O10" s="54"/>
      <c r="P10" s="51" t="s">
        <v>69</v>
      </c>
      <c r="Q10" s="53">
        <f>SUM(F9+K9+F22+K22+F40+K40)</f>
        <v>24468</v>
      </c>
      <c r="R10" s="5" t="s">
        <v>70</v>
      </c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-6113.0649999999996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174.65899999999999</v>
      </c>
      <c r="P11" s="51" t="str">
        <f t="shared" si="4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-6113.0649999999996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9640418.1830000002</v>
      </c>
      <c r="E13" s="29" t="str">
        <f>+'[1](1)'!E13</f>
        <v>합계</v>
      </c>
      <c r="F13" s="61">
        <f>SUM(F4:F12)</f>
        <v>9639191</v>
      </c>
      <c r="G13" s="62"/>
      <c r="H13" s="29" t="str">
        <f t="shared" si="2"/>
        <v>합계</v>
      </c>
      <c r="I13" s="60">
        <f>SUM((I4-I5-I6-I7-I8-I9)*$I$1+I11)</f>
        <v>8465622.9359999988</v>
      </c>
      <c r="J13" s="29" t="str">
        <f t="shared" ref="J13" si="5">+E13</f>
        <v>합계</v>
      </c>
      <c r="K13" s="61">
        <f>IF(K8=0,0,SUM(K4:K12)-F8)</f>
        <v>8465845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-1227.1830000001937</v>
      </c>
      <c r="G14" s="27"/>
      <c r="H14" s="27"/>
      <c r="I14" s="27"/>
      <c r="J14" s="27"/>
      <c r="K14" s="67">
        <f>SUM(K13-I13)</f>
        <v>222.06400000117719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81639.619999999981</v>
      </c>
      <c r="P14" s="39" t="str">
        <f t="shared" si="4"/>
        <v>합계</v>
      </c>
      <c r="Q14" s="69">
        <f>SUM(Q5:Q13)</f>
        <v>18105036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-1005.1189999990165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101</v>
      </c>
      <c r="Q28" s="69">
        <f>SUM(Q19:Q27)</f>
        <v>64000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29366</v>
      </c>
      <c r="P31" s="103">
        <v>29398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32" sqref="D3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10.747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64.481999999999999</v>
      </c>
      <c r="M3" s="18" t="s">
        <v>10</v>
      </c>
      <c r="N3" s="3"/>
      <c r="O3" s="3"/>
      <c r="P3" s="150" t="str">
        <f>+'(1)'!C1&amp;"년"&amp;'(1)'!E1&amp;"월"&amp;C1&amp;"일"</f>
        <v>2023년12월6일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10199.07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8689.4040000000005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18888.474000000002</v>
      </c>
      <c r="P5" s="47" t="str">
        <f>+E4</f>
        <v>고액권</v>
      </c>
      <c r="Q5" s="48">
        <f>SUM(F4+K4+F17+K17+F35+K35)</f>
        <v>275000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108.93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108.93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10237785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18992258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71</v>
      </c>
      <c r="K9" s="44">
        <v>33315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18992258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379.18299999999999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112.24299999999999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72</v>
      </c>
      <c r="Q10" s="53">
        <f>SUM(F9+K9+F22+K22+F40+K40)</f>
        <v>33315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-13271.404999999999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-3928.5049999999997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491.42599999999999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56644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-17199.91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10399753.074999999</v>
      </c>
      <c r="E13" s="29" t="str">
        <f>+'[1](1)'!E13</f>
        <v>합계</v>
      </c>
      <c r="F13" s="61">
        <f>SUM(F4:F12)</f>
        <v>10398429</v>
      </c>
      <c r="G13" s="62"/>
      <c r="H13" s="29" t="str">
        <f t="shared" si="2"/>
        <v>합계</v>
      </c>
      <c r="I13" s="60">
        <f>SUM((I4-I5-I6-I7-I8-I9)*$I$1+I11)</f>
        <v>8963536.4230000004</v>
      </c>
      <c r="J13" s="29" t="str">
        <f t="shared" ref="J13" si="5">+E13</f>
        <v>합계</v>
      </c>
      <c r="K13" s="61">
        <f>IF(K8=0,0,SUM(K4:K12)-F8)</f>
        <v>8964288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56644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-1324.0749999992549</v>
      </c>
      <c r="G14" s="27"/>
      <c r="H14" s="27"/>
      <c r="I14" s="27"/>
      <c r="J14" s="27"/>
      <c r="K14" s="67">
        <f>SUM(K13-I13)</f>
        <v>751.57699999958277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76697.81</v>
      </c>
      <c r="P14" s="39" t="str">
        <f t="shared" si="4"/>
        <v>합계</v>
      </c>
      <c r="Q14" s="69">
        <f>SUM(Q5:Q13)</f>
        <v>19362717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-572.49799999967217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62</v>
      </c>
      <c r="Q28" s="69">
        <f>SUM(Q19:Q27)</f>
        <v>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29398</v>
      </c>
      <c r="P31" s="103">
        <v>29417</v>
      </c>
      <c r="Q31" s="104">
        <f>P31-O31</f>
        <v>19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Q11" sqref="Q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10.784000000000001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75.488</v>
      </c>
      <c r="M3" s="18" t="s">
        <v>10</v>
      </c>
      <c r="N3" s="3"/>
      <c r="O3" s="3"/>
      <c r="P3" s="150" t="str">
        <f>+'(1)'!C1&amp;"년"&amp;'(1)'!E1&amp;"월"&amp;C1&amp;"일"</f>
        <v>2023년12월7일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10210.909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8638.6759999999995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44479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18849.584999999999</v>
      </c>
      <c r="P5" s="47" t="str">
        <f>+E4</f>
        <v>고액권</v>
      </c>
      <c r="Q5" s="48">
        <f>SUM(F4+K4+F17+K17+F35+K35)</f>
        <v>390000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270.029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270.029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9995361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18729232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73</v>
      </c>
      <c r="K9" s="44">
        <v>33025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18729232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425.79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74</v>
      </c>
      <c r="Q10" s="53">
        <f>SUM(F9+K9+F22+K22+F40+K40)</f>
        <v>33025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-14902.650000000001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425.79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-14902.650000000001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10244085.509999998</v>
      </c>
      <c r="E13" s="29" t="str">
        <f>+'[1](1)'!E13</f>
        <v>합계</v>
      </c>
      <c r="F13" s="61">
        <f>SUM(F4:F12)</f>
        <v>10210361</v>
      </c>
      <c r="G13" s="62"/>
      <c r="H13" s="29" t="str">
        <f t="shared" si="2"/>
        <v>합계</v>
      </c>
      <c r="I13" s="60">
        <f>SUM((I4-I5-I6-I7-I8-I9)*$I$1+I11)</f>
        <v>8915113.6319999993</v>
      </c>
      <c r="J13" s="29" t="str">
        <f t="shared" ref="J13" si="5">+E13</f>
        <v>합계</v>
      </c>
      <c r="K13" s="61">
        <f>IF(K8=0,0,SUM(K4:K12)-F8)</f>
        <v>8949396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-33724.509999997914</v>
      </c>
      <c r="G14" s="27"/>
      <c r="H14" s="27"/>
      <c r="I14" s="27"/>
      <c r="J14" s="27"/>
      <c r="K14" s="67">
        <f>SUM(K13-I13)</f>
        <v>34282.368000000715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77995.13</v>
      </c>
      <c r="P14" s="39" t="str">
        <f t="shared" si="4"/>
        <v>합계</v>
      </c>
      <c r="Q14" s="69">
        <f>SUM(Q5:Q13)</f>
        <v>19159757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557.85800000280142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131</v>
      </c>
      <c r="Q20" s="53">
        <f>SUM(P20*1000)</f>
        <v>131000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220</v>
      </c>
      <c r="Q28" s="69">
        <f>SUM(Q19:Q27)</f>
        <v>161000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29417</v>
      </c>
      <c r="P31" s="103">
        <v>29485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21" sqref="L2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11.766999999999999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10.907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87.256</v>
      </c>
      <c r="M3" s="18" t="s">
        <v>10</v>
      </c>
      <c r="N3" s="3"/>
      <c r="O3" s="3"/>
      <c r="P3" s="150" t="str">
        <f>+'(1)'!C1&amp;"년"&amp;'(1)'!E1&amp;"월"&amp;C1&amp;"일"</f>
        <v>2023년12월8일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11131.566999999999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9018.1659999999993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23803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20149.733</v>
      </c>
      <c r="P5" s="47" t="str">
        <f>+E4</f>
        <v>고액권</v>
      </c>
      <c r="Q5" s="48">
        <f>SUM(F4+K4+F17+K17+F35+K35)</f>
        <v>85000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282.22899999999998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35.923000000000002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318.15199999999999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11195964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20311359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20311359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108.30500000000001</v>
      </c>
      <c r="E10" s="42" t="str">
        <f>+'[1](1)'!E10</f>
        <v>OK케시백</v>
      </c>
      <c r="F10" s="44">
        <v>19000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-3790.6750000000002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108.30500000000001</v>
      </c>
      <c r="P11" s="51" t="str">
        <f t="shared" si="4"/>
        <v>OK케시백</v>
      </c>
      <c r="Q11" s="53">
        <f>SUM(F10+K10+F23+K23+F41+K41)</f>
        <v>21000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-3790.6750000000002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11192726.140999999</v>
      </c>
      <c r="E13" s="29" t="str">
        <f>+'[1](1)'!E13</f>
        <v>합계</v>
      </c>
      <c r="F13" s="61">
        <f>SUM(F4:F12)</f>
        <v>11254964</v>
      </c>
      <c r="G13" s="62"/>
      <c r="H13" s="29" t="str">
        <f t="shared" si="2"/>
        <v>합계</v>
      </c>
      <c r="I13" s="60">
        <f>SUM((I4-I5-I6-I7-I8-I9)*$I$1+I11)</f>
        <v>9269674.7759999987</v>
      </c>
      <c r="J13" s="29" t="str">
        <f t="shared" ref="J13" si="5">+E13</f>
        <v>합계</v>
      </c>
      <c r="K13" s="61">
        <f>IF(K8=0,0,SUM(K4:K12)-F8)</f>
        <v>9206595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62237.859000001103</v>
      </c>
      <c r="G14" s="27"/>
      <c r="H14" s="27"/>
      <c r="I14" s="27"/>
      <c r="J14" s="27"/>
      <c r="K14" s="67">
        <f>SUM(K13-I13)</f>
        <v>-63079.775999998674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95367.23000000001</v>
      </c>
      <c r="P14" s="39" t="str">
        <f t="shared" si="4"/>
        <v>합계</v>
      </c>
      <c r="Q14" s="69">
        <f>SUM(Q5:Q13)</f>
        <v>20461559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-841.91699999757111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129</v>
      </c>
      <c r="Q20" s="53">
        <f>SUM(P20*1000)</f>
        <v>129000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165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29485</v>
      </c>
      <c r="P31" s="103">
        <v>29576</v>
      </c>
      <c r="Q31" s="104">
        <f>P31-O31</f>
        <v>91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9.8219999999999992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10.786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97.073999999999998</v>
      </c>
      <c r="M3" s="18" t="s">
        <v>10</v>
      </c>
      <c r="N3" s="3"/>
      <c r="O3" s="3"/>
      <c r="P3" s="150" t="str">
        <f>+'(1)'!C1&amp;"년"&amp;'(1)'!E1&amp;"월"&amp;C1&amp;"일"</f>
        <v>2023년12월9일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8336.5310000000009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8482.4189999999999</v>
      </c>
      <c r="J4" s="42" t="str">
        <f>+'[1](1)'!J4</f>
        <v>고액권</v>
      </c>
      <c r="K4" s="36">
        <v>385000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43535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16818.95</v>
      </c>
      <c r="P5" s="47" t="str">
        <f>+E4</f>
        <v>고액권</v>
      </c>
      <c r="Q5" s="48">
        <f>SUM(F4+K4+F17+K17+F35+K35)</f>
        <v>560000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73.924000000000007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73.924000000000007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8337418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16695593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16695593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105.172</v>
      </c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53.768999999999998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-3681.02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-1881.915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158.941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-5562.9350000000004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8523329.404000001</v>
      </c>
      <c r="E13" s="29" t="str">
        <f>+'[1](1)'!E13</f>
        <v>합계</v>
      </c>
      <c r="F13" s="61">
        <f>SUM(F4:F12)</f>
        <v>8523418</v>
      </c>
      <c r="G13" s="62"/>
      <c r="H13" s="29" t="str">
        <f t="shared" si="2"/>
        <v>합계</v>
      </c>
      <c r="I13" s="60">
        <f>SUM((I4-I5-I6-I7-I8-I9)*$I$1+I11)</f>
        <v>8751974.4930000007</v>
      </c>
      <c r="J13" s="29" t="str">
        <f t="shared" ref="J13" si="5">+E13</f>
        <v>합계</v>
      </c>
      <c r="K13" s="61">
        <f>IF(K8=0,0,SUM(K4:K12)-F8)</f>
        <v>8752175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88.59599999897182</v>
      </c>
      <c r="G14" s="27"/>
      <c r="H14" s="27"/>
      <c r="I14" s="27"/>
      <c r="J14" s="27"/>
      <c r="K14" s="67">
        <f>SUM(K13-I13)</f>
        <v>200.50699999928474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78162.195000000007</v>
      </c>
      <c r="P14" s="39" t="str">
        <f t="shared" si="4"/>
        <v>합계</v>
      </c>
      <c r="Q14" s="69">
        <f>SUM(Q5:Q13)</f>
        <v>17275593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289.10299999825656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140</v>
      </c>
      <c r="Q28" s="69">
        <f>SUM(Q19:Q27)</f>
        <v>102000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29576</v>
      </c>
      <c r="P31" s="103">
        <v>29632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2024-01-01T00:29:58Z</dcterms:modified>
</cp:coreProperties>
</file>