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P25" i="152" l="1"/>
  <c r="Q23" i="152"/>
  <c r="Q22" i="152"/>
  <c r="Q20" i="152"/>
  <c r="Q19" i="152"/>
  <c r="P25" i="150"/>
  <c r="Q26" i="152" l="1"/>
  <c r="Q24" i="151"/>
  <c r="P25" i="159" l="1"/>
  <c r="Q23" i="159"/>
  <c r="Q22" i="159"/>
  <c r="Q20" i="159"/>
  <c r="Q19" i="159"/>
  <c r="Q26" i="159" s="1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Q26" i="156" s="1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Q23" i="151"/>
  <c r="Q22" i="151"/>
  <c r="Q20" i="151"/>
  <c r="Q19" i="151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1" i="147"/>
  <c r="Q26" i="147" s="1"/>
  <c r="Q20" i="147"/>
  <c r="Q19" i="147"/>
  <c r="P25" i="146"/>
  <c r="Q23" i="146"/>
  <c r="Q22" i="146"/>
  <c r="Q21" i="146"/>
  <c r="Q26" i="146" s="1"/>
  <c r="Q20" i="146"/>
  <c r="Q19" i="146"/>
  <c r="P25" i="145"/>
  <c r="Q23" i="145"/>
  <c r="Q22" i="145"/>
  <c r="Q21" i="145"/>
  <c r="Q26" i="145" s="1"/>
  <c r="Q20" i="145"/>
  <c r="Q19" i="145"/>
  <c r="P25" i="144"/>
  <c r="Q23" i="144"/>
  <c r="Q22" i="144"/>
  <c r="Q21" i="144"/>
  <c r="Q26" i="144" s="1"/>
  <c r="Q20" i="144"/>
  <c r="Q19" i="144"/>
  <c r="P25" i="143"/>
  <c r="Q23" i="143"/>
  <c r="Q22" i="143"/>
  <c r="Q21" i="143"/>
  <c r="Q26" i="143" s="1"/>
  <c r="Q20" i="143"/>
  <c r="Q19" i="143"/>
  <c r="P25" i="142"/>
  <c r="Q23" i="142"/>
  <c r="Q22" i="142"/>
  <c r="Q21" i="142"/>
  <c r="Q26" i="142" s="1"/>
  <c r="Q20" i="142"/>
  <c r="Q19" i="142"/>
  <c r="P25" i="141"/>
  <c r="Q23" i="141"/>
  <c r="Q22" i="141"/>
  <c r="Q21" i="141"/>
  <c r="Q20" i="141"/>
  <c r="Q26" i="141" s="1"/>
  <c r="Q19" i="141"/>
  <c r="P25" i="140"/>
  <c r="Q23" i="140"/>
  <c r="Q22" i="140"/>
  <c r="Q20" i="140"/>
  <c r="Q19" i="140"/>
  <c r="P25" i="139"/>
  <c r="Q23" i="139"/>
  <c r="Q22" i="139"/>
  <c r="Q21" i="139"/>
  <c r="Q20" i="139"/>
  <c r="Q19" i="139"/>
  <c r="Q26" i="139" s="1"/>
  <c r="P25" i="138"/>
  <c r="Q23" i="138"/>
  <c r="Q22" i="138"/>
  <c r="Q20" i="138"/>
  <c r="Q19" i="138"/>
  <c r="P25" i="137"/>
  <c r="Q23" i="137"/>
  <c r="Q22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8" l="1"/>
  <c r="Q26" i="157"/>
  <c r="Q26" i="155"/>
  <c r="Q26" i="154"/>
  <c r="Q26" i="153"/>
  <c r="Q26" i="151"/>
  <c r="Q26" i="149"/>
  <c r="Q26" i="150"/>
  <c r="Q26" i="148"/>
  <c r="Q26" i="140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O12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O12" i="1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<sst xmlns="http://schemas.openxmlformats.org/spreadsheetml/2006/main" count="871" uniqueCount="61">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</sst>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1" fillId="2" borderId="0" xfId="0" applyNumberFormat="1" applyFont="1" applyFill="1" applyAlignment="1">
      <alignment horizontal="center" vertical="center"/>
    </xf>
    <xf numFmtId="176" fontId="11" fillId="2" borderId="0" xfId="0" applyNumberFormat="1" applyFont="1" applyFill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45"/>
  <sheetViews>
    <sheetView workbookViewId="0">
      <selection activeCell="Q9" sqref="Q9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2:25" ht="23.25" customHeight="1">
      <c r="C1" s="23">
        <v>2022</v>
      </c>
      <c r="D1" s="24" t="str">
        <f>IF(C1&lt;2000,"◀  년 입력","년")</f>
        <v>년</v>
      </c>
      <c r="E1" s="25">
        <v>1</v>
      </c>
      <c r="F1" s="24" t="str">
        <f>IF(E1&lt;1,"◀  월 입력","월")</f>
        <v>월</v>
      </c>
      <c r="G1" s="25">
        <v>1</v>
      </c>
      <c r="H1" s="26" t="s">
        <v>11</v>
      </c>
      <c r="I1" s="25">
        <v>1135</v>
      </c>
      <c r="J1" s="24" t="str">
        <f>IF(I1&lt;100,"◀  단가입력","원")</f>
        <v>원</v>
      </c>
      <c r="L1" s="28">
        <f>+ROUND(+O5*0.584/1000,3)</f>
        <v>9.9979999999999993</v>
      </c>
      <c r="M1" s="27" t="s">
        <v>8</v>
      </c>
    </row>
    <row r="2" spans="2:25" ht="21" customHeight="1" thickBot="1">
      <c r="C2" s="27">
        <v>1</v>
      </c>
      <c r="H2" s="27">
        <v>2</v>
      </c>
      <c r="L2" s="28">
        <f>+L1</f>
        <v>9.9979999999999993</v>
      </c>
      <c r="M2" s="27" t="s">
        <v>7</v>
      </c>
      <c r="N2" s="116" t="s">
        <v>12</v>
      </c>
      <c r="O2" s="116"/>
      <c r="P2" s="116"/>
      <c r="Q2" s="116"/>
    </row>
    <row r="3" spans="2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9.9979999999999993</v>
      </c>
      <c r="M3" s="27" t="s">
        <v>10</v>
      </c>
      <c r="N3" s="32"/>
      <c r="O3" s="32"/>
      <c r="P3" s="115" t="str">
        <f>+'(1)'!$C$1&amp;"년"&amp;'(1)'!$E$1&amp;"월"&amp;$G$1&amp;"일"</f>
        <v>2022년1월1일</v>
      </c>
      <c r="Q3" s="115"/>
      <c r="R3" s="33"/>
    </row>
    <row r="4" spans="2:25" ht="16.5" customHeight="1" thickBot="1">
      <c r="B4" s="110"/>
      <c r="C4" s="34" t="s">
        <v>15</v>
      </c>
      <c r="D4" s="35">
        <v>5471.8419999999996</v>
      </c>
      <c r="E4" s="34" t="s">
        <v>16</v>
      </c>
      <c r="F4" s="36"/>
      <c r="H4" s="97" t="str">
        <f>+C4</f>
        <v>판매량</v>
      </c>
      <c r="I4" s="35">
        <v>8179.8140000000003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37143</v>
      </c>
      <c r="S4" s="41" t="s">
        <v>17</v>
      </c>
    </row>
    <row r="5" spans="2:25" ht="16.5" customHeight="1">
      <c r="C5" s="42" t="s">
        <v>18</v>
      </c>
      <c r="D5" s="43"/>
      <c r="E5" s="42" t="s">
        <v>19</v>
      </c>
      <c r="F5" s="44">
        <v>365000</v>
      </c>
      <c r="H5" s="98" t="str">
        <f>+C5</f>
        <v>법인전표</v>
      </c>
      <c r="I5" s="43"/>
      <c r="J5" s="42" t="str">
        <f>+E5</f>
        <v>고액권</v>
      </c>
      <c r="K5" s="44">
        <v>245000</v>
      </c>
      <c r="M5" s="38"/>
      <c r="N5" s="45" t="str">
        <f>+C4</f>
        <v>판매량</v>
      </c>
      <c r="O5" s="46">
        <f>SUM(D4+I4+D17+I17+D35+I35)</f>
        <v>17120.194</v>
      </c>
      <c r="P5" s="47" t="str">
        <f>+E4</f>
        <v>입금액</v>
      </c>
      <c r="Q5" s="48">
        <f>SUM(F4+K4+F17+K17+F35+K35)</f>
        <v>0</v>
      </c>
      <c r="R5" s="49">
        <v>9</v>
      </c>
      <c r="S5" s="41" t="s">
        <v>20</v>
      </c>
    </row>
    <row r="6" spans="2:25" ht="16.5" customHeight="1">
      <c r="C6" s="42" t="s">
        <v>21</v>
      </c>
      <c r="D6" s="50"/>
      <c r="E6" s="42" t="s">
        <v>22</v>
      </c>
      <c r="F6" s="44">
        <v>2000</v>
      </c>
      <c r="H6" s="98" t="str">
        <f t="shared" ref="H6:H13" si="2">+C6</f>
        <v>외상전표</v>
      </c>
      <c r="I6" s="50"/>
      <c r="J6" s="42" t="str">
        <f t="shared" ref="J6:J13" si="3">+E6</f>
        <v>천원권</v>
      </c>
      <c r="K6" s="44">
        <v>1000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820000</v>
      </c>
      <c r="R6" s="49">
        <v>1.6</v>
      </c>
      <c r="S6" s="41" t="s">
        <v>23</v>
      </c>
    </row>
    <row r="7" spans="2:25" ht="16.5" customHeight="1">
      <c r="C7" s="42" t="s">
        <v>24</v>
      </c>
      <c r="D7" s="50"/>
      <c r="E7" s="42" t="s">
        <v>25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40" t="s">
        <v>49</v>
      </c>
      <c r="S7" s="41" t="s">
        <v>6</v>
      </c>
    </row>
    <row r="8" spans="2:25" ht="16.5" customHeight="1">
      <c r="C8" s="42" t="s">
        <v>26</v>
      </c>
      <c r="D8" s="50"/>
      <c r="E8" s="42" t="s">
        <v>27</v>
      </c>
      <c r="F8" s="44">
        <v>5838355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14747616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2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18513497</v>
      </c>
      <c r="R9" s="40">
        <v>18473453</v>
      </c>
    </row>
    <row r="10" spans="2:25" ht="16.5" customHeight="1">
      <c r="C10" s="42" t="s">
        <v>51</v>
      </c>
      <c r="D10" s="50"/>
      <c r="E10" s="42" t="s">
        <v>47</v>
      </c>
      <c r="F10" s="44">
        <v>5000</v>
      </c>
      <c r="H10" s="98" t="str">
        <f t="shared" si="2"/>
        <v>고객우대</v>
      </c>
      <c r="I10" s="50"/>
      <c r="J10" s="42" t="str">
        <f t="shared" si="3"/>
        <v>OK케시백</v>
      </c>
      <c r="K10" s="44"/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2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20000</v>
      </c>
      <c r="M11" s="38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5000</v>
      </c>
      <c r="R11" s="49"/>
    </row>
    <row r="12" spans="2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>
        <v>68417</v>
      </c>
      <c r="M12" s="38"/>
      <c r="N12" s="51" t="str">
        <f t="shared" si="4"/>
        <v>-</v>
      </c>
      <c r="O12" s="52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40"/>
    </row>
    <row r="13" spans="2:25" ht="16.5" customHeight="1" thickBot="1">
      <c r="C13" s="59" t="s">
        <v>33</v>
      </c>
      <c r="D13" s="60">
        <f>SUM((D4-D5-D6-D7-D8-D9)*$I$1+D11)</f>
        <v>6210540.6699999999</v>
      </c>
      <c r="E13" s="59" t="s">
        <v>33</v>
      </c>
      <c r="F13" s="61">
        <f>SUM(F4:F12)</f>
        <v>6210355</v>
      </c>
      <c r="G13" s="62"/>
      <c r="H13" s="96" t="str">
        <f t="shared" si="2"/>
        <v>합계</v>
      </c>
      <c r="I13" s="60">
        <f>SUM((I4-I5-I6-I7-I8-I9)*$I$1+I11)</f>
        <v>9284088.8900000006</v>
      </c>
      <c r="J13" s="29" t="str">
        <f t="shared" si="3"/>
        <v>합계</v>
      </c>
      <c r="K13" s="61">
        <f>IF(K8=0,0,SUM(K4:K12)-F8)</f>
        <v>9243678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68417</v>
      </c>
      <c r="R13" s="40"/>
      <c r="Y13" s="66"/>
    </row>
    <row r="14" spans="2:25" ht="16.5" customHeight="1" thickBot="1">
      <c r="C14" s="37"/>
      <c r="F14" s="67">
        <f>SUM(F13-D13)</f>
        <v>-185.66999999992549</v>
      </c>
      <c r="K14" s="67">
        <f>SUM(K13-I13)</f>
        <v>-40410.890000000596</v>
      </c>
      <c r="N14" s="39" t="str">
        <f t="shared" si="4"/>
        <v>합계</v>
      </c>
      <c r="O14" s="68">
        <f>SUM((O5-O6-O7-O8-O9-O10)*+$I$1+O12)</f>
        <v>19431420.189999998</v>
      </c>
      <c r="P14" s="39" t="str">
        <f t="shared" si="5"/>
        <v>합계</v>
      </c>
      <c r="Q14" s="69">
        <f>SUM(Q5:Q13)</f>
        <v>19430914</v>
      </c>
    </row>
    <row r="15" spans="2:25" ht="16.5" customHeight="1" thickBot="1">
      <c r="C15" s="27">
        <v>3</v>
      </c>
      <c r="H15" s="27">
        <v>4</v>
      </c>
      <c r="Q15" s="70">
        <f>SUM(F14+K14+F27+K27)</f>
        <v>-506.19000000040978</v>
      </c>
    </row>
    <row r="16" spans="2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3468.538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210000</v>
      </c>
      <c r="H18" s="98" t="str">
        <f>+C5</f>
        <v>법인전표</v>
      </c>
      <c r="I18" s="43"/>
      <c r="J18" s="42" t="str">
        <f>+E5</f>
        <v>고액권</v>
      </c>
      <c r="K18" s="44"/>
      <c r="N18" s="113" t="s">
        <v>34</v>
      </c>
      <c r="O18" s="126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>
        <v>1000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7" t="s">
        <v>37</v>
      </c>
      <c r="O19" s="118"/>
      <c r="P19" s="73">
        <v>10</v>
      </c>
      <c r="Q19" s="48">
        <f>SUM(P19*1000)</f>
        <v>10000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3" t="s">
        <v>38</v>
      </c>
      <c r="O20" s="124"/>
      <c r="P20" s="74">
        <v>27</v>
      </c>
      <c r="Q20" s="53">
        <f>SUM(P20*1000)</f>
        <v>27000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18513497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3" t="s">
        <v>48</v>
      </c>
      <c r="O21" s="124"/>
      <c r="P21" s="74">
        <v>3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5" t="s">
        <v>53</v>
      </c>
      <c r="O22" s="120"/>
      <c r="P22" s="74">
        <v>5</v>
      </c>
      <c r="Q22" s="53">
        <f>SUM(P22*1000)</f>
        <v>5000</v>
      </c>
      <c r="R22" s="32"/>
      <c r="S22" s="32"/>
    </row>
    <row r="23" spans="3:19" ht="16.5" customHeight="1">
      <c r="C23" s="98" t="str">
        <f t="shared" si="7"/>
        <v>고객우대</v>
      </c>
      <c r="D23" s="50"/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9" t="s">
        <v>58</v>
      </c>
      <c r="O23" s="120"/>
      <c r="P23" s="74">
        <v>5</v>
      </c>
      <c r="Q23" s="53">
        <f>SUM(P23*1000)</f>
        <v>5000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9" t="s">
        <v>52</v>
      </c>
      <c r="O24" s="120"/>
      <c r="P24" s="74"/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1" t="s">
        <v>39</v>
      </c>
      <c r="O25" s="122"/>
      <c r="P25" s="75">
        <f>+P26-SUM(P19:P24)</f>
        <v>94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3936790.63</v>
      </c>
      <c r="E26" s="29" t="str">
        <f t="shared" si="8"/>
        <v>합계</v>
      </c>
      <c r="F26" s="61">
        <f>IF(F21=0,0,SUM(F17:F25)-K8)</f>
        <v>3976881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3" t="s">
        <v>40</v>
      </c>
      <c r="O26" s="114"/>
      <c r="P26" s="77">
        <v>144</v>
      </c>
      <c r="Q26" s="69">
        <f>SUM(Q19:Q25)</f>
        <v>47000</v>
      </c>
      <c r="R26" s="32"/>
      <c r="S26" s="32"/>
    </row>
    <row r="27" spans="3:19" ht="15.75" customHeight="1" thickBot="1">
      <c r="F27" s="67">
        <f>SUM(F26-D26)</f>
        <v>40090.370000000112</v>
      </c>
      <c r="K27" s="67">
        <f>SUM(K26-I26)</f>
        <v>0</v>
      </c>
    </row>
    <row r="28" spans="3:19" ht="23.25" customHeight="1">
      <c r="F28" s="67"/>
      <c r="K28" s="67"/>
      <c r="N28" s="111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2"/>
      <c r="O29" s="106">
        <v>12545</v>
      </c>
      <c r="P29" s="107">
        <v>12568</v>
      </c>
      <c r="Q29" s="108">
        <f>P29-O29</f>
        <v>23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1135</v>
      </c>
      <c r="F1" s="1"/>
      <c r="G1" s="1"/>
      <c r="H1" s="1"/>
      <c r="I1" s="1"/>
      <c r="J1" s="1"/>
      <c r="K1" s="1"/>
      <c r="L1" s="22">
        <f>+ROUND(+O5*0.584/1000,3)</f>
        <v>11.773999999999999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10.722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107.22</v>
      </c>
      <c r="M3" s="18" t="s">
        <v>10</v>
      </c>
      <c r="N3" s="3"/>
      <c r="O3" s="3"/>
      <c r="P3" s="128" t="str">
        <f>+'(1)'!C1&amp;"년"&amp;'(1)'!E1&amp;"월"&amp;C1&amp;"일"</f>
        <v>2022년1월10일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12852.636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7307.5529999999999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49734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20160.188999999998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337.74400000000003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11.278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349.02200000000005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13815038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21788190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21788190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162.32599999999999</v>
      </c>
      <c r="E10" s="42" t="str">
        <f>+'(1)'!E10</f>
        <v>OK케시백</v>
      </c>
      <c r="F10" s="44">
        <v>103000</v>
      </c>
      <c r="G10" s="27"/>
      <c r="H10" s="42" t="str">
        <f t="shared" si="2"/>
        <v>고객우대</v>
      </c>
      <c r="I10" s="50">
        <v>59.4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-5681.41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-2079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221.726</v>
      </c>
      <c r="P11" s="51" t="str">
        <f t="shared" si="5"/>
        <v>OK케시백</v>
      </c>
      <c r="Q11" s="53">
        <f>SUM(F10+K10+F23+K23+F41+K41)</f>
        <v>103000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-7760.41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14198721.01</v>
      </c>
      <c r="E13" s="29" t="str">
        <f>+'(1)'!E13</f>
        <v>합계</v>
      </c>
      <c r="F13" s="61">
        <f>SUM(F4:F12)</f>
        <v>14198038</v>
      </c>
      <c r="G13" s="62"/>
      <c r="H13" s="29" t="str">
        <f t="shared" si="2"/>
        <v>합계</v>
      </c>
      <c r="I13" s="60">
        <f>SUM((I4-I5-I6-I7-I8-I9)*$E$1+I11)</f>
        <v>8279193.125</v>
      </c>
      <c r="J13" s="29" t="str">
        <f t="shared" si="3"/>
        <v>합계</v>
      </c>
      <c r="K13" s="61">
        <f>IF(K8=0,0,SUM(K4:K12)-F8)</f>
        <v>8279152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-683.00999999977648</v>
      </c>
      <c r="G14" s="27"/>
      <c r="H14" s="27"/>
      <c r="I14" s="27"/>
      <c r="J14" s="27"/>
      <c r="K14" s="67">
        <f>SUM(K13-I13)</f>
        <v>-41.125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22477914.134999998</v>
      </c>
      <c r="P14" s="39" t="str">
        <f t="shared" si="5"/>
        <v>합계</v>
      </c>
      <c r="Q14" s="69">
        <f>SUM(Q5:Q13)</f>
        <v>22477190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-724.13499999977648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95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191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12663</v>
      </c>
      <c r="P29" s="107">
        <v>12668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5" workbookViewId="0">
      <selection activeCell="I20" sqref="I2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1135</v>
      </c>
      <c r="F1" s="1"/>
      <c r="G1" s="1"/>
      <c r="H1" s="1"/>
      <c r="I1" s="1"/>
      <c r="J1" s="1"/>
      <c r="K1" s="1"/>
      <c r="L1" s="22">
        <f>+ROUND(+O5*0.584/1000,3)</f>
        <v>11.973000000000001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10.836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119.196</v>
      </c>
      <c r="M3" s="18" t="s">
        <v>10</v>
      </c>
      <c r="N3" s="3"/>
      <c r="O3" s="3"/>
      <c r="P3" s="128" t="str">
        <f>+'(1)'!C1&amp;"년"&amp;'(1)'!E1&amp;"월"&amp;C1&amp;"일"</f>
        <v>2022년1월11일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12635.664000000001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7865.6679999999997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29446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300000</v>
      </c>
      <c r="L5" s="2"/>
      <c r="M5" s="20"/>
      <c r="N5" s="45" t="str">
        <f>+C4</f>
        <v>판매량</v>
      </c>
      <c r="O5" s="46">
        <f>SUM(D4+I4+D17+I17+D35+I35)</f>
        <v>20501.332000000002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429.62400000000002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15.467000000000001</v>
      </c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830000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445.09100000000001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13247887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21846467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21846467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295.40100000000001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103.209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-10339.035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-3612.3150000000001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398.61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53777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-13951.35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13843516.365</v>
      </c>
      <c r="E13" s="29" t="str">
        <f>+'(1)'!E13</f>
        <v>합계</v>
      </c>
      <c r="F13" s="61">
        <f>SUM(F4:F12)</f>
        <v>13843664</v>
      </c>
      <c r="G13" s="62"/>
      <c r="H13" s="29" t="str">
        <f t="shared" si="2"/>
        <v>합계</v>
      </c>
      <c r="I13" s="60">
        <f>SUM((I4-I5-I6-I7-I8-I9)*$E$1+I11)</f>
        <v>8906365.8200000003</v>
      </c>
      <c r="J13" s="29" t="str">
        <f t="shared" si="3"/>
        <v>합계</v>
      </c>
      <c r="K13" s="61">
        <f>IF(K8=0,0,SUM(K4:K12)-F8)</f>
        <v>8905580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53777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147.63499999977648</v>
      </c>
      <c r="G14" s="27"/>
      <c r="H14" s="27"/>
      <c r="I14" s="27"/>
      <c r="J14" s="27"/>
      <c r="K14" s="67">
        <f>SUM(K13-I13)</f>
        <v>-785.82000000029802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22749882.185000002</v>
      </c>
      <c r="P14" s="39" t="str">
        <f t="shared" si="5"/>
        <v>합계</v>
      </c>
      <c r="Q14" s="69">
        <f>SUM(Q5:Q13)</f>
        <v>22749244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-638.18500000052154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12668</v>
      </c>
      <c r="P29" s="107">
        <v>12668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1135</v>
      </c>
      <c r="F1" s="1"/>
      <c r="G1" s="1"/>
      <c r="H1" s="1"/>
      <c r="I1" s="1"/>
      <c r="J1" s="1"/>
      <c r="K1" s="1"/>
      <c r="L1" s="22">
        <f>+ROUND(+O5*0.584/1000,3)</f>
        <v>11.738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10.911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130.93199999999999</v>
      </c>
      <c r="M3" s="18" t="s">
        <v>10</v>
      </c>
      <c r="N3" s="3"/>
      <c r="O3" s="3"/>
      <c r="P3" s="128" t="str">
        <f>+'(1)'!C1&amp;"년"&amp;'(1)'!E1&amp;"월"&amp;C1&amp;"일"</f>
        <v>2022년1월12일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12585.7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7514.1440000000002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45419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405000</v>
      </c>
      <c r="L5" s="2"/>
      <c r="M5" s="20"/>
      <c r="N5" s="45" t="str">
        <f>+C4</f>
        <v>판매량</v>
      </c>
      <c r="O5" s="46">
        <f>SUM(D4+I4+D17+I17+D35+I35)</f>
        <v>20099.844000000001</v>
      </c>
      <c r="P5" s="47" t="str">
        <f>+E4</f>
        <v>입금액</v>
      </c>
      <c r="Q5" s="48">
        <f>SUM(F4+K4+F17+K17+F35+K35)</f>
        <v>0</v>
      </c>
      <c r="R5" s="7">
        <v>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351.60399999999998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351.60399999999998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13712594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21835847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21835847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244.315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-8551.0249999999996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244.315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28376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-8551.0249999999996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13877147.935000001</v>
      </c>
      <c r="E13" s="29" t="str">
        <f>+'(1)'!E13</f>
        <v>합계</v>
      </c>
      <c r="F13" s="61">
        <f>SUM(F4:F12)</f>
        <v>13877970</v>
      </c>
      <c r="G13" s="62"/>
      <c r="H13" s="29" t="str">
        <f t="shared" si="2"/>
        <v>합계</v>
      </c>
      <c r="I13" s="60">
        <f>SUM((I4-I5-I6-I7-I8-I9)*$E$1+I11)</f>
        <v>8528553.4399999995</v>
      </c>
      <c r="J13" s="29" t="str">
        <f t="shared" si="3"/>
        <v>합계</v>
      </c>
      <c r="K13" s="61">
        <f>IF(K8=0,0,SUM(K4:K12)-F8)</f>
        <v>8528253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28376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822.06499999947846</v>
      </c>
      <c r="G14" s="27"/>
      <c r="H14" s="27"/>
      <c r="I14" s="27"/>
      <c r="J14" s="27"/>
      <c r="K14" s="67">
        <f>SUM(K13-I13)</f>
        <v>-300.43999999947846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22405701.375000004</v>
      </c>
      <c r="P14" s="39" t="str">
        <f t="shared" si="5"/>
        <v>합계</v>
      </c>
      <c r="Q14" s="69">
        <f>SUM(Q5:Q13)</f>
        <v>22406223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521.625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-54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42000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12668</v>
      </c>
      <c r="P29" s="107">
        <v>12672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1135</v>
      </c>
      <c r="F1" s="1"/>
      <c r="G1" s="1"/>
      <c r="H1" s="1"/>
      <c r="I1" s="1"/>
      <c r="J1" s="1"/>
      <c r="K1" s="1"/>
      <c r="L1" s="22">
        <f>+ROUND(+O5*0.584/1000,3)</f>
        <v>12.869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11.061999999999999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143.80599999999998</v>
      </c>
      <c r="M3" s="18" t="s">
        <v>10</v>
      </c>
      <c r="N3" s="3"/>
      <c r="O3" s="3"/>
      <c r="P3" s="128" t="str">
        <f>+'(1)'!C1&amp;"년"&amp;'(1)'!E1&amp;"월"&amp;C1&amp;"일"</f>
        <v>2022년1월13일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13910.937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8125.5929999999998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22712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275000</v>
      </c>
      <c r="L5" s="2"/>
      <c r="M5" s="20"/>
      <c r="N5" s="45" t="str">
        <f>+C4</f>
        <v>판매량</v>
      </c>
      <c r="O5" s="46">
        <f>SUM(D4+I4+D17+I17+D35+I35)</f>
        <v>22036.53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485.37400000000002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42.73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690000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528.10400000000004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14644110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23503029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23503029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269.435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66.789000000000001</v>
      </c>
      <c r="J10" s="42" t="str">
        <f t="shared" si="3"/>
        <v>OK케시백</v>
      </c>
      <c r="K10" s="44">
        <v>28844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-9430.2250000000004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-2337.6150000000002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336.22399999999999</v>
      </c>
      <c r="P11" s="51" t="str">
        <f t="shared" si="5"/>
        <v>OK케시백</v>
      </c>
      <c r="Q11" s="53">
        <f>SUM(F10+K10+F23+K23+F41+K41)</f>
        <v>30844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104598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-11767.84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15228583.780000001</v>
      </c>
      <c r="E13" s="29" t="str">
        <f>+'(1)'!E13</f>
        <v>합계</v>
      </c>
      <c r="F13" s="61">
        <f>SUM(F4:F12)</f>
        <v>15227708</v>
      </c>
      <c r="G13" s="62"/>
      <c r="H13" s="29" t="str">
        <f t="shared" si="2"/>
        <v>합계</v>
      </c>
      <c r="I13" s="60">
        <f>SUM((I4-I5-I6-I7-I8-I9)*$E$1+I11)</f>
        <v>9171711.8900000006</v>
      </c>
      <c r="J13" s="29" t="str">
        <f t="shared" si="3"/>
        <v>합계</v>
      </c>
      <c r="K13" s="61">
        <f>IF(K8=0,0,SUM(K4:K12)-F8)</f>
        <v>9171763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104598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-875.78000000119209</v>
      </c>
      <c r="G14" s="27"/>
      <c r="H14" s="27"/>
      <c r="I14" s="27"/>
      <c r="J14" s="27"/>
      <c r="K14" s="67">
        <f>SUM(K13-I13)</f>
        <v>51.109999999403954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24400295.669999998</v>
      </c>
      <c r="P14" s="39" t="str">
        <f t="shared" si="5"/>
        <v>합계</v>
      </c>
      <c r="Q14" s="69">
        <f>SUM(Q5:Q13)</f>
        <v>24399471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-824.67000000178814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1135</v>
      </c>
      <c r="F1" s="1"/>
      <c r="G1" s="1"/>
      <c r="H1" s="1"/>
      <c r="I1" s="1"/>
      <c r="J1" s="1"/>
      <c r="K1" s="1"/>
      <c r="L1" s="22">
        <f>+ROUND(+O5*0.584/1000,3)</f>
        <v>12.266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11.148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156.072</v>
      </c>
      <c r="M3" s="18" t="s">
        <v>10</v>
      </c>
      <c r="N3" s="3"/>
      <c r="O3" s="3"/>
      <c r="P3" s="128" t="str">
        <f>+'(1)'!C1&amp;"년"&amp;'(1)'!E1&amp;"월"&amp;C1&amp;"일"</f>
        <v>2022년1월14일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12992.761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8009.9960000000001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37796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375000</v>
      </c>
      <c r="L5" s="2"/>
      <c r="M5" s="20"/>
      <c r="N5" s="45" t="str">
        <f>+C4</f>
        <v>판매량</v>
      </c>
      <c r="O5" s="46">
        <f>SUM(D4+I4+D17+I17+D35+I35)</f>
        <v>21002.757000000001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361.45400000000001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23.44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384.89400000000001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14020815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22700813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22700813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478.68099999999998</v>
      </c>
      <c r="E10" s="42" t="str">
        <f>+'(1)'!E10</f>
        <v>OK케시백</v>
      </c>
      <c r="F10" s="44">
        <v>30000</v>
      </c>
      <c r="G10" s="27"/>
      <c r="H10" s="42" t="str">
        <f t="shared" si="2"/>
        <v>고객우대</v>
      </c>
      <c r="I10" s="50">
        <v>49.116999999999997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-16753.834999999999</v>
      </c>
      <c r="E11" s="42" t="str">
        <f>+'(1)'!E11</f>
        <v>모바일</v>
      </c>
      <c r="F11" s="44">
        <v>50000</v>
      </c>
      <c r="G11" s="27"/>
      <c r="H11" s="87" t="str">
        <f t="shared" si="2"/>
        <v>-</v>
      </c>
      <c r="I11" s="55">
        <f>SUM(I10*-35)</f>
        <v>-1719.0949999999998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527.798</v>
      </c>
      <c r="P11" s="51" t="str">
        <f t="shared" si="5"/>
        <v>OK케시백</v>
      </c>
      <c r="Q11" s="53">
        <f>SUM(F10+K10+F23+K23+F41+K41)</f>
        <v>30000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-18472.93</v>
      </c>
      <c r="P12" s="51" t="str">
        <f t="shared" si="5"/>
        <v>모바일</v>
      </c>
      <c r="Q12" s="53">
        <f>SUM(F11+K11+F24+K24+F42+K42)</f>
        <v>55000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14319779.609999999</v>
      </c>
      <c r="E13" s="29" t="str">
        <f>+'(1)'!E13</f>
        <v>합계</v>
      </c>
      <c r="F13" s="61">
        <f>SUM(F4:F12)</f>
        <v>14319815</v>
      </c>
      <c r="G13" s="62"/>
      <c r="H13" s="29" t="str">
        <f t="shared" si="2"/>
        <v>합계</v>
      </c>
      <c r="I13" s="60">
        <f>SUM((I4-I5-I6-I7-I8-I9)*$E$1+I11)</f>
        <v>9063021.9649999999</v>
      </c>
      <c r="J13" s="29" t="str">
        <f t="shared" si="3"/>
        <v>합계</v>
      </c>
      <c r="K13" s="61">
        <f>IF(K8=0,0,SUM(K4:K12)-F8)</f>
        <v>9062998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35.390000000596046</v>
      </c>
      <c r="G14" s="27"/>
      <c r="H14" s="27"/>
      <c r="I14" s="27"/>
      <c r="J14" s="27"/>
      <c r="K14" s="67">
        <f>SUM(K13-I13)</f>
        <v>-23.964999999850988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23382801.575000003</v>
      </c>
      <c r="P14" s="39" t="str">
        <f t="shared" si="5"/>
        <v>합계</v>
      </c>
      <c r="Q14" s="69">
        <f>SUM(Q5:Q13)</f>
        <v>23382813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11.425000000745058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5" sqref="R1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1135</v>
      </c>
      <c r="F1" s="1"/>
      <c r="G1" s="1"/>
      <c r="H1" s="1"/>
      <c r="I1" s="1"/>
      <c r="J1" s="1"/>
      <c r="K1" s="1"/>
      <c r="L1" s="22">
        <f>+ROUND(+O5*0.584/1000,3)</f>
        <v>8.6929999999999996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10.984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164.76</v>
      </c>
      <c r="M3" s="18" t="s">
        <v>10</v>
      </c>
      <c r="N3" s="3"/>
      <c r="O3" s="3"/>
      <c r="P3" s="128" t="str">
        <f>+'(1)'!C1&amp;"년"&amp;'(1)'!E1&amp;"월"&amp;C1&amp;"일"</f>
        <v>2022년1월15일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9275.6749999999993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5609.1040000000003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22823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14884.778999999999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130.078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845000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130.078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9733593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15778684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15778684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68.537000000000006</v>
      </c>
      <c r="E10" s="42" t="str">
        <f>+'(1)'!E10</f>
        <v>OK케시백</v>
      </c>
      <c r="F10" s="44">
        <v>10000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-2398.7950000000001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68.537000000000006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45970</v>
      </c>
      <c r="L12" s="2"/>
      <c r="M12" s="20"/>
      <c r="N12" s="51" t="str">
        <f t="shared" si="4"/>
        <v>-</v>
      </c>
      <c r="O12" s="55">
        <f>SUM(O11*-35)</f>
        <v>-2398.7950000000001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10377853.799999999</v>
      </c>
      <c r="E13" s="29" t="str">
        <f>+'(1)'!E13</f>
        <v>합계</v>
      </c>
      <c r="F13" s="61">
        <f>SUM(F4:F12)</f>
        <v>10377593</v>
      </c>
      <c r="G13" s="62"/>
      <c r="H13" s="29" t="str">
        <f t="shared" si="2"/>
        <v>합계</v>
      </c>
      <c r="I13" s="60">
        <f>SUM((I4-I5-I6-I7-I8-I9)*$E$1+I11)</f>
        <v>6366333.04</v>
      </c>
      <c r="J13" s="29" t="str">
        <f t="shared" si="3"/>
        <v>합계</v>
      </c>
      <c r="K13" s="61">
        <f>IF(K8=0,0,SUM(K4:K12)-F8)</f>
        <v>6366061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45970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-260.79999999888241</v>
      </c>
      <c r="G14" s="27"/>
      <c r="H14" s="27"/>
      <c r="I14" s="27"/>
      <c r="J14" s="27"/>
      <c r="K14" s="67">
        <f>SUM(K13-I13)</f>
        <v>-272.04000000003725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16744186.84</v>
      </c>
      <c r="P14" s="39" t="str">
        <f t="shared" si="5"/>
        <v>합계</v>
      </c>
      <c r="Q14" s="69">
        <f>SUM(Q5:Q13)</f>
        <v>16743654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-532.83999999891967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1135</v>
      </c>
      <c r="F1" s="1"/>
      <c r="G1" s="1"/>
      <c r="H1" s="1"/>
      <c r="I1" s="1"/>
      <c r="J1" s="1"/>
      <c r="K1" s="1"/>
      <c r="L1" s="22">
        <f>+ROUND(+O5*0.584/1000,3)</f>
        <v>8.2170000000000005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10.811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172.976</v>
      </c>
      <c r="M3" s="18" t="s">
        <v>10</v>
      </c>
      <c r="N3" s="3"/>
      <c r="O3" s="3"/>
      <c r="P3" s="128" t="str">
        <f>+'(1)'!C1&amp;"년"&amp;'(1)'!E1&amp;"월"&amp;C1&amp;"일"</f>
        <v>2022년1월16일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8897.7160000000003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5173.2110000000002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44735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14070.927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16.881</v>
      </c>
      <c r="J6" s="42" t="str">
        <f t="shared" ref="J6:J13" si="3">+E6</f>
        <v>천원권</v>
      </c>
      <c r="K6" s="44">
        <v>8000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16.881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9795717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15420880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15420880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10098907.66</v>
      </c>
      <c r="E13" s="29" t="str">
        <f>+'(1)'!E13</f>
        <v>합계</v>
      </c>
      <c r="F13" s="61">
        <f>SUM(F4:F12)</f>
        <v>10098717</v>
      </c>
      <c r="G13" s="62"/>
      <c r="H13" s="29" t="str">
        <f t="shared" si="2"/>
        <v>합계</v>
      </c>
      <c r="I13" s="60">
        <f>SUM((I4-I5-I6-I7-I8-I9)*$E$1+I11)</f>
        <v>5852434.5499999998</v>
      </c>
      <c r="J13" s="29" t="str">
        <f t="shared" si="3"/>
        <v>합계</v>
      </c>
      <c r="K13" s="61">
        <f>IF(K8=0,0,SUM(K4:K12)-F8)</f>
        <v>5853163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-190.66000000014901</v>
      </c>
      <c r="G14" s="27"/>
      <c r="H14" s="27"/>
      <c r="I14" s="27"/>
      <c r="J14" s="27"/>
      <c r="K14" s="67">
        <f>SUM(K13-I13)</f>
        <v>728.45000000018626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15951342.210000001</v>
      </c>
      <c r="P14" s="39" t="str">
        <f t="shared" si="5"/>
        <v>합계</v>
      </c>
      <c r="Q14" s="69">
        <f>SUM(Q5:Q13)</f>
        <v>15951880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537.79000000003725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1135</v>
      </c>
      <c r="F1" s="1"/>
      <c r="G1" s="1"/>
      <c r="H1" s="1"/>
      <c r="I1" s="1"/>
      <c r="J1" s="1"/>
      <c r="K1" s="1"/>
      <c r="L1" s="22">
        <f>+ROUND(+O5*0.584/1000,3)</f>
        <v>11.366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10.843999999999999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184.34799999999998</v>
      </c>
      <c r="M3" s="18" t="s">
        <v>10</v>
      </c>
      <c r="N3" s="3"/>
      <c r="O3" s="3"/>
      <c r="P3" s="128" t="str">
        <f>+'(1)'!C1&amp;"년"&amp;'(1)'!E1&amp;"월"&amp;C1&amp;"일"</f>
        <v>2022년1월17일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12591.941999999999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6870.1109999999999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25371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19462.053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400.56099999999998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14.23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570000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414.791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13457516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20895070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20895070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179.12200000000001</v>
      </c>
      <c r="E10" s="42" t="str">
        <f>+'(1)'!E10</f>
        <v>OK케시백</v>
      </c>
      <c r="F10" s="44">
        <v>91268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-6269.27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179.12200000000001</v>
      </c>
      <c r="P11" s="51" t="str">
        <f t="shared" si="5"/>
        <v>OK케시백</v>
      </c>
      <c r="Q11" s="53">
        <f>SUM(F10+K10+F23+K23+F41+K41)</f>
        <v>91268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44924</v>
      </c>
      <c r="L12" s="2"/>
      <c r="M12" s="20"/>
      <c r="N12" s="51" t="str">
        <f t="shared" si="4"/>
        <v>-</v>
      </c>
      <c r="O12" s="55">
        <f>SUM(O11*-35)</f>
        <v>-6269.27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13830948.164999999</v>
      </c>
      <c r="E13" s="29" t="str">
        <f>+'(1)'!E13</f>
        <v>합계</v>
      </c>
      <c r="F13" s="61">
        <f>SUM(F4:F12)</f>
        <v>13830784</v>
      </c>
      <c r="G13" s="62"/>
      <c r="H13" s="29" t="str">
        <f t="shared" si="2"/>
        <v>합계</v>
      </c>
      <c r="I13" s="60">
        <f>SUM((I4-I5-I6-I7-I8-I9)*$E$1+I11)</f>
        <v>7781424.9350000005</v>
      </c>
      <c r="J13" s="29" t="str">
        <f t="shared" si="3"/>
        <v>합계</v>
      </c>
      <c r="K13" s="61">
        <f>IF(K8=0,0,SUM(K4:K12)-F8)</f>
        <v>7781478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44924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-164.16499999910593</v>
      </c>
      <c r="G14" s="27"/>
      <c r="H14" s="27"/>
      <c r="I14" s="27"/>
      <c r="J14" s="27"/>
      <c r="K14" s="67">
        <f>SUM(K13-I13)</f>
        <v>53.064999999478459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21612373.099999998</v>
      </c>
      <c r="P14" s="39" t="str">
        <f t="shared" si="5"/>
        <v>합계</v>
      </c>
      <c r="Q14" s="69">
        <f>SUM(Q5:Q13)</f>
        <v>21612262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-111.09999999962747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1135</v>
      </c>
      <c r="F1" s="1"/>
      <c r="G1" s="1"/>
      <c r="H1" s="1"/>
      <c r="I1" s="1"/>
      <c r="J1" s="1"/>
      <c r="K1" s="1"/>
      <c r="L1" s="22">
        <f>+ROUND(+O5*0.584/1000,3)</f>
        <v>12.233000000000001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10.920999999999999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196.57799999999997</v>
      </c>
      <c r="M3" s="18" t="s">
        <v>10</v>
      </c>
      <c r="N3" s="3"/>
      <c r="O3" s="3"/>
      <c r="P3" s="128" t="str">
        <f>+'(1)'!C1&amp;"년"&amp;'(1)'!E1&amp;"월"&amp;C1&amp;"일"</f>
        <v>2022년1월18일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12845.316999999999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8101.38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40339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295000</v>
      </c>
      <c r="L5" s="2"/>
      <c r="M5" s="20"/>
      <c r="N5" s="45" t="str">
        <f>+C4</f>
        <v>판매량</v>
      </c>
      <c r="O5" s="46">
        <f>SUM(D4+I4+D17+I17+D35+I35)</f>
        <v>20946.697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309.47699999999998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51.704999999999998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361.18199999999996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13806530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22634200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10000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22634200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441.637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63.451000000000001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-15457.295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-2220.7849999999999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505.08800000000002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37264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-17678.080000000002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14212721.104999999</v>
      </c>
      <c r="E13" s="29" t="str">
        <f>+'(1)'!E13</f>
        <v>합계</v>
      </c>
      <c r="F13" s="61">
        <f>SUM(F4:F12)</f>
        <v>14212794</v>
      </c>
      <c r="G13" s="62"/>
      <c r="H13" s="29" t="str">
        <f t="shared" si="2"/>
        <v>합계</v>
      </c>
      <c r="I13" s="60">
        <f>SUM((I4-I5-I6-I7-I8-I9)*$E$1+I11)</f>
        <v>9134160.3399999999</v>
      </c>
      <c r="J13" s="29" t="str">
        <f t="shared" si="3"/>
        <v>합계</v>
      </c>
      <c r="K13" s="61">
        <f>IF(K8=0,0,SUM(K4:K12)-F8)</f>
        <v>9133670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37264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72.89500000141561</v>
      </c>
      <c r="G14" s="27"/>
      <c r="H14" s="27"/>
      <c r="I14" s="27"/>
      <c r="J14" s="27"/>
      <c r="K14" s="67">
        <f>SUM(K13-I13)</f>
        <v>-490.33999999985099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23346881.445</v>
      </c>
      <c r="P14" s="39" t="str">
        <f t="shared" si="5"/>
        <v>합계</v>
      </c>
      <c r="Q14" s="69">
        <f>SUM(Q5:Q13)</f>
        <v>23346464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-417.44499999843538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1135</v>
      </c>
      <c r="F1" s="1"/>
      <c r="G1" s="1"/>
      <c r="H1" s="1"/>
      <c r="I1" s="1"/>
      <c r="J1" s="1"/>
      <c r="K1" s="1"/>
      <c r="L1" s="22">
        <f>+ROUND(+O5*0.584/1000,3)</f>
        <v>10.711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10.91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207.29</v>
      </c>
      <c r="M3" s="18" t="s">
        <v>10</v>
      </c>
      <c r="N3" s="3"/>
      <c r="O3" s="3"/>
      <c r="P3" s="128" t="str">
        <f>+'(1)'!C1&amp;"년"&amp;'(1)'!E1&amp;"월"&amp;C1&amp;"일"</f>
        <v>2022년1월19일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11008.403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7331.8209999999999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21843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18340.224000000002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365.72500000000002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19.164000000000001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384.88900000000001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11701612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19818223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19818223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182.31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12736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-6380.85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182.31</v>
      </c>
      <c r="P11" s="51" t="str">
        <f t="shared" si="5"/>
        <v>OK케시백</v>
      </c>
      <c r="Q11" s="53">
        <f>SUM(F10+K10+F23+K23+F41+K41)</f>
        <v>17736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-6380.85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12073058.68</v>
      </c>
      <c r="E13" s="29" t="str">
        <f>+'(1)'!E13</f>
        <v>합계</v>
      </c>
      <c r="F13" s="61">
        <f>SUM(F4:F12)</f>
        <v>12073612</v>
      </c>
      <c r="G13" s="62"/>
      <c r="H13" s="29" t="str">
        <f t="shared" si="2"/>
        <v>합계</v>
      </c>
      <c r="I13" s="60">
        <f>SUM((I4-I5-I6-I7-I8-I9)*$E$1+I11)</f>
        <v>8299865.6950000003</v>
      </c>
      <c r="J13" s="29" t="str">
        <f t="shared" si="3"/>
        <v>합계</v>
      </c>
      <c r="K13" s="61">
        <f>IF(K8=0,0,SUM(K4:K12)-F8)</f>
        <v>8299347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553.32000000029802</v>
      </c>
      <c r="G14" s="27"/>
      <c r="H14" s="27"/>
      <c r="I14" s="27"/>
      <c r="J14" s="27"/>
      <c r="K14" s="67">
        <f>SUM(K13-I13)</f>
        <v>-518.69500000029802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20372924.375</v>
      </c>
      <c r="P14" s="39" t="str">
        <f t="shared" si="5"/>
        <v>합계</v>
      </c>
      <c r="Q14" s="69">
        <f>SUM(Q5:Q13)</f>
        <v>20372959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34.625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12672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V40"/>
  <sheetViews>
    <sheetView topLeftCell="H8" workbookViewId="0">
      <selection activeCell="K9" sqref="K9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2:22" ht="18.75" customHeight="1">
      <c r="C1" s="66">
        <v>2</v>
      </c>
      <c r="D1" s="84" t="s">
        <v>41</v>
      </c>
      <c r="E1" s="103">
        <f>+'(1)'!I1</f>
        <v>1135</v>
      </c>
      <c r="F1" s="27"/>
      <c r="G1" s="27"/>
      <c r="H1" s="27"/>
      <c r="I1" s="27"/>
      <c r="J1" s="27"/>
      <c r="K1" s="27"/>
      <c r="L1" s="31">
        <f>+ROUND(+O5*0.584/1000,3)</f>
        <v>6.8179999999999996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2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8.4079999999999995</v>
      </c>
      <c r="M2" s="27" t="s">
        <v>7</v>
      </c>
      <c r="N2" s="116" t="s">
        <v>42</v>
      </c>
      <c r="O2" s="116"/>
      <c r="P2" s="116"/>
      <c r="Q2" s="116"/>
      <c r="R2" s="27"/>
      <c r="S2" s="27"/>
      <c r="T2" s="27"/>
      <c r="U2" s="27"/>
      <c r="V2" s="27"/>
    </row>
    <row r="3" spans="2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16.815999999999999</v>
      </c>
      <c r="M3" s="27" t="s">
        <v>10</v>
      </c>
      <c r="N3" s="32"/>
      <c r="O3" s="32"/>
      <c r="P3" s="115" t="str">
        <f>+'(1)'!C1&amp;"년"&amp;'(1)'!E1&amp;"월"&amp;C1&amp;"일"</f>
        <v>2022년1월2일</v>
      </c>
      <c r="Q3" s="115"/>
      <c r="R3" s="33"/>
      <c r="S3" s="27"/>
      <c r="T3" s="27"/>
      <c r="U3" s="27"/>
      <c r="V3" s="27"/>
    </row>
    <row r="4" spans="2:22" ht="16.5" customHeight="1" thickBot="1">
      <c r="B4" s="109"/>
      <c r="C4" s="34" t="str">
        <f>+'(1)'!C4</f>
        <v>판매량</v>
      </c>
      <c r="D4" s="35">
        <v>7809.8760000000002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3864.0450000000001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25889</v>
      </c>
      <c r="S4" s="41" t="s">
        <v>43</v>
      </c>
      <c r="T4" s="27"/>
      <c r="U4" s="27"/>
      <c r="V4" s="27"/>
    </row>
    <row r="5" spans="2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105000</v>
      </c>
      <c r="L5" s="37"/>
      <c r="M5" s="86"/>
      <c r="N5" s="45" t="str">
        <f>+C4</f>
        <v>판매량</v>
      </c>
      <c r="O5" s="46">
        <f>SUM(D4+I4+D17+I17+D35+I35)</f>
        <v>11673.921</v>
      </c>
      <c r="P5" s="47" t="str">
        <f>+E4</f>
        <v>입금액</v>
      </c>
      <c r="Q5" s="48">
        <f>SUM(F4+K4+F17+K17+F35+K35)</f>
        <v>0</v>
      </c>
      <c r="R5" s="49">
        <v>12</v>
      </c>
      <c r="S5" s="41" t="s">
        <v>44</v>
      </c>
      <c r="T5" s="27"/>
      <c r="U5" s="27"/>
      <c r="V5" s="27"/>
    </row>
    <row r="6" spans="2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15.211</v>
      </c>
      <c r="J6" s="42" t="str">
        <f t="shared" ref="J6:J13" si="3">+E6</f>
        <v>천원권</v>
      </c>
      <c r="K6" s="44">
        <v>1000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420000</v>
      </c>
      <c r="R6" s="49">
        <v>1.7</v>
      </c>
      <c r="S6" s="41" t="s">
        <v>45</v>
      </c>
      <c r="T6" s="27"/>
      <c r="U6" s="27"/>
      <c r="V6" s="27"/>
    </row>
    <row r="7" spans="2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15.211</v>
      </c>
      <c r="P7" s="51" t="str">
        <f t="shared" ref="P7:P14" si="5">+E6</f>
        <v>천원권</v>
      </c>
      <c r="Q7" s="53">
        <f>SUM(F6+K6+F19+K19+F37+K37)</f>
        <v>2000</v>
      </c>
      <c r="R7" s="40" t="s">
        <v>50</v>
      </c>
      <c r="S7" s="41" t="s">
        <v>6</v>
      </c>
      <c r="T7" s="27"/>
      <c r="U7" s="27"/>
      <c r="V7" s="27"/>
    </row>
    <row r="8" spans="2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8537089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12747526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2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12747526</v>
      </c>
      <c r="R9" s="40"/>
      <c r="S9" s="27"/>
      <c r="T9" s="27"/>
      <c r="U9" s="27"/>
      <c r="V9" s="27"/>
    </row>
    <row r="10" spans="2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50.64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40"/>
      <c r="S10" s="27"/>
      <c r="T10" s="27"/>
      <c r="U10" s="27"/>
      <c r="V10" s="27"/>
    </row>
    <row r="11" spans="2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-1772.4</v>
      </c>
      <c r="J11" s="42" t="str">
        <f t="shared" si="3"/>
        <v>모바일</v>
      </c>
      <c r="K11" s="44"/>
      <c r="L11" s="37"/>
      <c r="M11" s="86"/>
      <c r="N11" s="51" t="str">
        <f t="shared" si="4"/>
        <v>고객우대</v>
      </c>
      <c r="O11" s="54">
        <f>SUM(D10+I10+D23+I23+D41+I41)</f>
        <v>50.64</v>
      </c>
      <c r="P11" s="51" t="str">
        <f t="shared" si="5"/>
        <v>OK케시백</v>
      </c>
      <c r="Q11" s="53">
        <f>SUM(F10+K10+F23+K23+F41+K41)</f>
        <v>6000</v>
      </c>
      <c r="R11" s="40"/>
      <c r="S11" s="27"/>
      <c r="T11" s="27"/>
      <c r="U11" s="27"/>
      <c r="V11" s="27"/>
    </row>
    <row r="12" spans="2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-1772.4</v>
      </c>
      <c r="P12" s="51" t="str">
        <f t="shared" si="5"/>
        <v>모바일</v>
      </c>
      <c r="Q12" s="53">
        <f>SUM(F11+K11+F24+K24+F42+K42)</f>
        <v>5000</v>
      </c>
      <c r="R12" s="40"/>
      <c r="S12" s="27"/>
      <c r="T12" s="27"/>
      <c r="U12" s="27"/>
      <c r="V12" s="27"/>
    </row>
    <row r="13" spans="2:22" ht="16.5" customHeight="1" thickBot="1">
      <c r="C13" s="29" t="str">
        <f>+'(1)'!C13</f>
        <v>합계</v>
      </c>
      <c r="D13" s="60">
        <f>SUM((D4-D5-D6-D7-D8-D9)*$E$1+D11)</f>
        <v>8864209.2599999998</v>
      </c>
      <c r="E13" s="29" t="str">
        <f>+'(1)'!E13</f>
        <v>합계</v>
      </c>
      <c r="F13" s="61">
        <f>SUM(F4:F12)</f>
        <v>8864089</v>
      </c>
      <c r="G13" s="62"/>
      <c r="H13" s="29" t="str">
        <f t="shared" si="2"/>
        <v>합계</v>
      </c>
      <c r="I13" s="60">
        <f>SUM((I4-I5-I6-I7-I8-I9)*$E$1+I11)</f>
        <v>4366654.1900000004</v>
      </c>
      <c r="J13" s="29" t="str">
        <f t="shared" si="3"/>
        <v>합계</v>
      </c>
      <c r="K13" s="61">
        <f>IF(K8=0,0,SUM(K4:K12)-F8)</f>
        <v>4366437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2:22" ht="16.5" customHeight="1" thickBot="1">
      <c r="C14" s="37"/>
      <c r="D14" s="27"/>
      <c r="E14" s="27"/>
      <c r="F14" s="67">
        <f>SUM(F13-D13)</f>
        <v>-120.25999999977648</v>
      </c>
      <c r="G14" s="27"/>
      <c r="H14" s="27"/>
      <c r="I14" s="27"/>
      <c r="J14" s="27"/>
      <c r="K14" s="67">
        <f>SUM(K13-I13)</f>
        <v>-217.19000000040978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13230863.450000001</v>
      </c>
      <c r="P14" s="39" t="str">
        <f t="shared" si="5"/>
        <v>합계</v>
      </c>
      <c r="Q14" s="69">
        <f>SUM(Q5:Q13)</f>
        <v>13230526</v>
      </c>
      <c r="R14" s="27"/>
      <c r="S14" s="27"/>
      <c r="T14" s="27"/>
      <c r="U14" s="27"/>
      <c r="V14" s="27"/>
    </row>
    <row r="15" spans="2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-337.45000000018626</v>
      </c>
      <c r="R15" s="27"/>
      <c r="S15" s="27"/>
      <c r="T15" s="27"/>
      <c r="U15" s="27"/>
      <c r="V15" s="27"/>
    </row>
    <row r="16" spans="2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15</v>
      </c>
      <c r="Q19" s="48">
        <f>SUM(P19*1000)</f>
        <v>15000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29</v>
      </c>
      <c r="Q20" s="53">
        <f>SUM(P20*1000)</f>
        <v>29000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4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3</v>
      </c>
      <c r="Q22" s="53">
        <f>SUM(P22*1000)</f>
        <v>3000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18</v>
      </c>
      <c r="Q23" s="53">
        <f>SUM(P23*1000)</f>
        <v>18000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123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192</v>
      </c>
      <c r="Q26" s="69">
        <f>SUM(Q19:Q25)</f>
        <v>65000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1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2"/>
      <c r="O29" s="106">
        <v>12568</v>
      </c>
      <c r="P29" s="107">
        <v>12585</v>
      </c>
      <c r="Q29" s="108">
        <f>P29-O29</f>
        <v>17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N18" sqref="N18:Q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1135</v>
      </c>
      <c r="F1" s="1"/>
      <c r="G1" s="1"/>
      <c r="H1" s="1"/>
      <c r="I1" s="1"/>
      <c r="J1" s="1"/>
      <c r="K1" s="1"/>
      <c r="L1" s="22">
        <f>+ROUND(+O5*0.584/1000,3)</f>
        <v>13.804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11.055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221.1</v>
      </c>
      <c r="M3" s="18" t="s">
        <v>10</v>
      </c>
      <c r="N3" s="3"/>
      <c r="O3" s="3"/>
      <c r="P3" s="128" t="str">
        <f>+'(1)'!C1&amp;"년"&amp;'(1)'!E1&amp;"월"&amp;C1&amp;"일"</f>
        <v>2022년1월20일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14908.796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8727.4449999999997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34185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23636.241000000002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421.15100000000001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23.66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630000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444.81100000000004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15918224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25549843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25549843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346.69</v>
      </c>
      <c r="E10" s="42" t="str">
        <f>+'(1)'!E10</f>
        <v>OK케시백</v>
      </c>
      <c r="F10" s="44">
        <v>41000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-12134.15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346.69</v>
      </c>
      <c r="P11" s="51" t="str">
        <f t="shared" si="5"/>
        <v>OK케시백</v>
      </c>
      <c r="Q11" s="53">
        <f>SUM(F10+K10+F23+K23+F41+K41)</f>
        <v>41000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74264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-12134.15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16431342.925000001</v>
      </c>
      <c r="E13" s="29" t="str">
        <f>+'(1)'!E13</f>
        <v>합계</v>
      </c>
      <c r="F13" s="61">
        <f>SUM(F4:F12)</f>
        <v>16431488</v>
      </c>
      <c r="G13" s="62"/>
      <c r="H13" s="29" t="str">
        <f t="shared" si="2"/>
        <v>합계</v>
      </c>
      <c r="I13" s="60">
        <f>SUM((I4-I5-I6-I7-I8-I9)*$E$1+I11)</f>
        <v>9878795.9749999996</v>
      </c>
      <c r="J13" s="29" t="str">
        <f t="shared" si="3"/>
        <v>합계</v>
      </c>
      <c r="K13" s="61">
        <f>IF(K8=0,0,SUM(K4:K12)-F8)</f>
        <v>9878619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74264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145.07499999925494</v>
      </c>
      <c r="G14" s="27"/>
      <c r="H14" s="27"/>
      <c r="I14" s="27"/>
      <c r="J14" s="27"/>
      <c r="K14" s="67">
        <f>SUM(K13-I13)</f>
        <v>-176.97499999962747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26310138.900000002</v>
      </c>
      <c r="P14" s="39" t="str">
        <f t="shared" si="5"/>
        <v>합계</v>
      </c>
      <c r="Q14" s="69">
        <f>SUM(Q5:Q13)</f>
        <v>26310107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-31.900000000372529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24</v>
      </c>
      <c r="Q19" s="48">
        <f>SUM(P19*1000)</f>
        <v>24000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45</v>
      </c>
      <c r="Q20" s="53">
        <f>SUM(P20*1000)</f>
        <v>45000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20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19</v>
      </c>
      <c r="Q22" s="53">
        <f>SUM(P22*1000)</f>
        <v>19000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31</v>
      </c>
      <c r="Q23" s="53">
        <f>SUM(P23*1000)</f>
        <v>31000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167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323</v>
      </c>
      <c r="Q26" s="69">
        <f>SUM(Q19:Q25)</f>
        <v>119000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12672</v>
      </c>
      <c r="P29" s="107">
        <v>12691</v>
      </c>
      <c r="Q29" s="108">
        <f>P29-O29</f>
        <v>19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1135</v>
      </c>
      <c r="F1" s="1"/>
      <c r="G1" s="1"/>
      <c r="H1" s="1"/>
      <c r="I1" s="1"/>
      <c r="J1" s="1"/>
      <c r="K1" s="1"/>
      <c r="L1" s="22">
        <f>+ROUND(+O5*0.584/1000,3)</f>
        <v>13.23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11.159000000000001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234.33900000000003</v>
      </c>
      <c r="M3" s="18" t="s">
        <v>10</v>
      </c>
      <c r="N3" s="3"/>
      <c r="O3" s="3"/>
      <c r="P3" s="128" t="str">
        <f>+'(1)'!C1&amp;"년"&amp;'(1)'!E1&amp;"월"&amp;C1&amp;"일"</f>
        <v>2022년1월21일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14875.380999999999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7779.4290000000001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47802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22654.809999999998</v>
      </c>
      <c r="P5" s="47" t="str">
        <f>+E4</f>
        <v>입금액</v>
      </c>
      <c r="Q5" s="48">
        <f>SUM(F4+K4+F17+K17+F35+K35)</f>
        <v>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387.892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12.054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670000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399.94599999999997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15835099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24513586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24513586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326.709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-11434.815000000001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326.709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-11434.815000000001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16431865.199999999</v>
      </c>
      <c r="E13" s="29" t="str">
        <f>+'(1)'!E13</f>
        <v>합계</v>
      </c>
      <c r="F13" s="61">
        <f>SUM(F4:F12)</f>
        <v>16431099</v>
      </c>
      <c r="G13" s="62"/>
      <c r="H13" s="29" t="str">
        <f t="shared" si="2"/>
        <v>합계</v>
      </c>
      <c r="I13" s="60">
        <f>SUM((I4-I5-I6-I7-I8-I9)*$E$1+I11)</f>
        <v>8815970.625</v>
      </c>
      <c r="J13" s="29" t="str">
        <f t="shared" si="3"/>
        <v>합계</v>
      </c>
      <c r="K13" s="61">
        <f>IF(K8=0,0,SUM(K4:K12)-F8)</f>
        <v>8815487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-766.19999999925494</v>
      </c>
      <c r="G14" s="27"/>
      <c r="H14" s="27"/>
      <c r="I14" s="27"/>
      <c r="J14" s="27"/>
      <c r="K14" s="67">
        <f>SUM(K13-I13)</f>
        <v>-483.625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25247835.824999996</v>
      </c>
      <c r="P14" s="39" t="str">
        <f t="shared" si="5"/>
        <v>합계</v>
      </c>
      <c r="Q14" s="69">
        <f>SUM(Q5:Q13)</f>
        <v>25246586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-1249.8249999992549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57</v>
      </c>
      <c r="Q20" s="53">
        <f>SUM(P20*1000)</f>
        <v>57000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12</v>
      </c>
      <c r="Q22" s="53">
        <f>SUM(P22*1000)</f>
        <v>12000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19</v>
      </c>
      <c r="Q23" s="53">
        <f>SUM(P23*1000)</f>
        <v>19000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184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309</v>
      </c>
      <c r="Q26" s="69">
        <f>SUM(Q19:Q25)</f>
        <v>105000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12691</v>
      </c>
      <c r="P29" s="107">
        <v>12704</v>
      </c>
      <c r="Q29" s="108">
        <f>P29-O29</f>
        <v>13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26" sqref="L2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1135</v>
      </c>
      <c r="F1" s="1"/>
      <c r="G1" s="1"/>
      <c r="H1" s="1"/>
      <c r="I1" s="1"/>
      <c r="J1" s="1"/>
      <c r="K1" s="1"/>
      <c r="L1" s="22">
        <f>+ROUND(+O5*0.584/1000,3)</f>
        <v>11.214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11.162000000000001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245.56400000000002</v>
      </c>
      <c r="M3" s="18" t="s">
        <v>10</v>
      </c>
      <c r="N3" s="3"/>
      <c r="O3" s="3"/>
      <c r="P3" s="128" t="str">
        <f>+'(1)'!C1&amp;"년"&amp;'(1)'!E1&amp;"월"&amp;C1&amp;"일"</f>
        <v>2022년1월22일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12775.41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6426.4549999999999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28669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105000</v>
      </c>
      <c r="L5" s="2"/>
      <c r="M5" s="20"/>
      <c r="N5" s="45" t="str">
        <f>+C4</f>
        <v>판매량</v>
      </c>
      <c r="O5" s="46">
        <f>SUM(D4+I4+D17+I17+D35+I35)</f>
        <v>19201.864999999998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220.03200000000001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220.03200000000001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13724224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20909925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20909925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127.81699999999999</v>
      </c>
      <c r="E10" s="42" t="str">
        <f>+'(1)'!E10</f>
        <v>OK케시백</v>
      </c>
      <c r="F10" s="44">
        <v>2500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-4473.5949999999993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127.81699999999999</v>
      </c>
      <c r="P11" s="51" t="str">
        <f t="shared" si="5"/>
        <v>OK케시백</v>
      </c>
      <c r="Q11" s="53">
        <f>SUM(F10+K10+F23+K23+F41+K41)</f>
        <v>2500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85570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-4473.5949999999993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14245880.435000001</v>
      </c>
      <c r="E13" s="29" t="str">
        <f>+'(1)'!E13</f>
        <v>합계</v>
      </c>
      <c r="F13" s="61">
        <f>SUM(F4:F12)</f>
        <v>14246294</v>
      </c>
      <c r="G13" s="62"/>
      <c r="H13" s="29" t="str">
        <f t="shared" si="2"/>
        <v>합계</v>
      </c>
      <c r="I13" s="60">
        <f>SUM((I4-I5-I6-I7-I8-I9)*$E$1+I11)</f>
        <v>7294026.4249999998</v>
      </c>
      <c r="J13" s="29" t="str">
        <f t="shared" si="3"/>
        <v>합계</v>
      </c>
      <c r="K13" s="61">
        <f>IF(K8=0,0,SUM(K4:K12)-F8)</f>
        <v>7293701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85570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413.56499999947846</v>
      </c>
      <c r="G14" s="27"/>
      <c r="H14" s="27"/>
      <c r="I14" s="27"/>
      <c r="J14" s="27"/>
      <c r="K14" s="67">
        <f>SUM(K13-I13)</f>
        <v>-325.42499999981374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21539906.859999999</v>
      </c>
      <c r="P14" s="39" t="str">
        <f t="shared" si="5"/>
        <v>합계</v>
      </c>
      <c r="Q14" s="69">
        <f>SUM(Q5:Q13)</f>
        <v>21539995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88.139999999664724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18</v>
      </c>
      <c r="Q22" s="53">
        <f>SUM(P22*1000)</f>
        <v>18000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S25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278</v>
      </c>
      <c r="Q26" s="69">
        <f>SUM(Q19:Q25)</f>
        <v>86000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12704</v>
      </c>
      <c r="P29" s="107">
        <v>12722</v>
      </c>
      <c r="Q29" s="108">
        <f>P29-O29</f>
        <v>18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1135</v>
      </c>
      <c r="F1" s="1"/>
      <c r="G1" s="1"/>
      <c r="H1" s="1"/>
      <c r="I1" s="1"/>
      <c r="J1" s="1"/>
      <c r="K1" s="1"/>
      <c r="L1" s="22">
        <f>+ROUND(+O5*0.584/1000,3)</f>
        <v>8.1059999999999999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11.029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253.667</v>
      </c>
      <c r="M3" s="18" t="s">
        <v>10</v>
      </c>
      <c r="N3" s="3"/>
      <c r="O3" s="3"/>
      <c r="P3" s="128" t="str">
        <f>+'(1)'!C1&amp;"년"&amp;'(1)'!E1&amp;"월"&amp;C1&amp;"일"</f>
        <v>2022년1월23일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9075.6929999999993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4804.2889999999998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50534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13879.982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605000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9856122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15102132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15102132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53.091999999999999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-1858.22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53.091999999999999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-1858.22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10299053.334999999</v>
      </c>
      <c r="E13" s="29" t="str">
        <f>+'(1)'!E13</f>
        <v>합계</v>
      </c>
      <c r="F13" s="61">
        <f>SUM(F4:F12)</f>
        <v>10298122</v>
      </c>
      <c r="G13" s="62"/>
      <c r="H13" s="29" t="str">
        <f t="shared" si="2"/>
        <v>합계</v>
      </c>
      <c r="I13" s="60">
        <f>SUM((I4-I5-I6-I7-I8-I9)*$E$1+I11)</f>
        <v>5452868.0149999997</v>
      </c>
      <c r="J13" s="29" t="str">
        <f t="shared" si="3"/>
        <v>합계</v>
      </c>
      <c r="K13" s="61">
        <f>IF(K8=0,0,SUM(K4:K12)-F8)</f>
        <v>5453010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-931.33499999903142</v>
      </c>
      <c r="G14" s="27"/>
      <c r="H14" s="27"/>
      <c r="I14" s="27"/>
      <c r="J14" s="27"/>
      <c r="K14" s="67">
        <f>SUM(K13-I13)</f>
        <v>141.98500000033528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15751921.35</v>
      </c>
      <c r="P14" s="39" t="str">
        <f t="shared" si="5"/>
        <v>합계</v>
      </c>
      <c r="Q14" s="69">
        <f>SUM(Q5:Q13)</f>
        <v>15751132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-789.34999999869615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44</v>
      </c>
      <c r="Q20" s="53">
        <f>SUM(P20*1000)</f>
        <v>44000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15</v>
      </c>
      <c r="Q22" s="53">
        <f>SUM(P22*1000)</f>
        <v>15000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/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213</v>
      </c>
      <c r="Q26" s="69">
        <f>SUM(Q19:Q25)</f>
        <v>80000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12722</v>
      </c>
      <c r="P29" s="107">
        <v>12737</v>
      </c>
      <c r="Q29" s="108">
        <f>P29-O29</f>
        <v>15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1135</v>
      </c>
      <c r="F1" s="1"/>
      <c r="G1" s="1"/>
      <c r="H1" s="1"/>
      <c r="I1" s="1"/>
      <c r="J1" s="1"/>
      <c r="K1" s="1"/>
      <c r="L1" s="22">
        <f>+ROUND(+O5*0.584/1000,3)</f>
        <v>12.391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11.086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266.06400000000002</v>
      </c>
      <c r="M3" s="18" t="s">
        <v>10</v>
      </c>
      <c r="N3" s="3"/>
      <c r="O3" s="3"/>
      <c r="P3" s="128" t="str">
        <f>+'(1)'!C1&amp;"년"&amp;'(1)'!E1&amp;"월"&amp;C1&amp;"일"</f>
        <v>2022년1월24일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13750.781999999999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7466.6419999999998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29309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75000</v>
      </c>
      <c r="L5" s="2"/>
      <c r="M5" s="20"/>
      <c r="N5" s="45" t="str">
        <f>+C4</f>
        <v>판매량</v>
      </c>
      <c r="O5" s="46">
        <f>SUM(D4+I4+D17+I17+D35+I35)</f>
        <v>21217.423999999999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211.95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14.273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360000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226.22299999999998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15027420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23397656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23397656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237.02500000000001</v>
      </c>
      <c r="E10" s="42" t="str">
        <f>+'(1)'!E10</f>
        <v>OK케시백</v>
      </c>
      <c r="F10" s="44">
        <v>32700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9000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-8295.875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237.02500000000001</v>
      </c>
      <c r="P11" s="51" t="str">
        <f t="shared" si="5"/>
        <v>OK케시백</v>
      </c>
      <c r="Q11" s="53">
        <f>SUM(F10+K10+F23+K23+F41+K41)</f>
        <v>41700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-8295.875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15358278.444999998</v>
      </c>
      <c r="E13" s="29" t="str">
        <f>+'(1)'!E13</f>
        <v>합계</v>
      </c>
      <c r="F13" s="61">
        <f>SUM(F4:F12)</f>
        <v>15360120</v>
      </c>
      <c r="G13" s="62"/>
      <c r="H13" s="29" t="str">
        <f t="shared" si="2"/>
        <v>합계</v>
      </c>
      <c r="I13" s="60">
        <f>SUM((I4-I5-I6-I7-I8-I9)*$E$1+I11)</f>
        <v>8458438.8149999995</v>
      </c>
      <c r="J13" s="29" t="str">
        <f t="shared" si="3"/>
        <v>합계</v>
      </c>
      <c r="K13" s="61">
        <f>IF(K8=0,0,SUM(K4:K12)-F8)</f>
        <v>8458236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1841.5550000015646</v>
      </c>
      <c r="G14" s="27"/>
      <c r="H14" s="27"/>
      <c r="I14" s="27"/>
      <c r="J14" s="27"/>
      <c r="K14" s="67">
        <f>SUM(K13-I13)</f>
        <v>-202.81499999947846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23816717.259999998</v>
      </c>
      <c r="P14" s="39" t="str">
        <f t="shared" si="5"/>
        <v>합계</v>
      </c>
      <c r="Q14" s="69">
        <f>SUM(Q5:Q13)</f>
        <v>23818356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1638.7400000020862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14</v>
      </c>
      <c r="Q22" s="53">
        <f>SUM(P22*1000)</f>
        <v>14000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196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323</v>
      </c>
      <c r="Q26" s="69">
        <f>SUM(Q19:Q25)</f>
        <v>95000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12737</v>
      </c>
      <c r="P29" s="107">
        <v>12751</v>
      </c>
      <c r="Q29" s="108">
        <f>P29-O29</f>
        <v>14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1135</v>
      </c>
      <c r="F1" s="1"/>
      <c r="G1" s="1"/>
      <c r="H1" s="1"/>
      <c r="I1" s="1"/>
      <c r="J1" s="1"/>
      <c r="K1" s="1"/>
      <c r="L1" s="22">
        <f>+ROUND(+O5*0.584/1000,3)</f>
        <v>11.906000000000001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11.119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277.97500000000002</v>
      </c>
      <c r="M3" s="18" t="s">
        <v>10</v>
      </c>
      <c r="N3" s="3"/>
      <c r="O3" s="3"/>
      <c r="P3" s="128" t="str">
        <f>+'(1)'!C1&amp;"년"&amp;'(1)'!E1&amp;"월"&amp;C1&amp;"일"</f>
        <v>2022년1월25일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12901.044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7486.1949999999997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45046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50000</v>
      </c>
      <c r="L5" s="2"/>
      <c r="M5" s="20"/>
      <c r="N5" s="45" t="str">
        <f>+C4</f>
        <v>판매량</v>
      </c>
      <c r="O5" s="46">
        <f>SUM(D4+I4+D17+I17+D35+I35)</f>
        <v>20387.239000000001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304.66199999999998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304.66199999999998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13715156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22128452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30000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22128452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328.44499999999999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-11495.574999999999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328.44499999999999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39667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30621</v>
      </c>
      <c r="L12" s="2"/>
      <c r="M12" s="20"/>
      <c r="N12" s="51" t="str">
        <f t="shared" si="4"/>
        <v>-</v>
      </c>
      <c r="O12" s="55">
        <f>SUM(O11*-35)</f>
        <v>-11495.574999999999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14285397.995000001</v>
      </c>
      <c r="E13" s="29" t="str">
        <f>+'(1)'!E13</f>
        <v>합계</v>
      </c>
      <c r="F13" s="61">
        <f>SUM(F4:F12)</f>
        <v>14285823</v>
      </c>
      <c r="G13" s="62"/>
      <c r="H13" s="29" t="str">
        <f t="shared" si="2"/>
        <v>합계</v>
      </c>
      <c r="I13" s="60">
        <f>SUM((I4-I5-I6-I7-I8-I9)*$E$1+I11)</f>
        <v>8496831.3249999993</v>
      </c>
      <c r="J13" s="29" t="str">
        <f t="shared" si="3"/>
        <v>합계</v>
      </c>
      <c r="K13" s="61">
        <f>IF(K8=0,0,SUM(K4:K12)-F8)</f>
        <v>8495917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70288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425.00499999895692</v>
      </c>
      <c r="G14" s="27"/>
      <c r="H14" s="27"/>
      <c r="I14" s="27"/>
      <c r="J14" s="27"/>
      <c r="K14" s="67">
        <f>SUM(K13-I13)</f>
        <v>-914.32499999925494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22782229.32</v>
      </c>
      <c r="P14" s="39" t="str">
        <f t="shared" si="5"/>
        <v>합계</v>
      </c>
      <c r="Q14" s="69">
        <f>SUM(Q5:Q13)</f>
        <v>22781740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-489.32000000029802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31</v>
      </c>
      <c r="Q19" s="48">
        <f t="shared" ref="Q19:Q23" si="12">SUM(P19*1000)</f>
        <v>31000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46</v>
      </c>
      <c r="Q20" s="53">
        <f t="shared" si="12"/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25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7</v>
      </c>
      <c r="Q22" s="53">
        <f t="shared" si="12"/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46</v>
      </c>
      <c r="Q23" s="53">
        <f t="shared" si="12"/>
        <v>46000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21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124</v>
      </c>
      <c r="Q25" s="76"/>
      <c r="R25" s="1">
        <v>130000</v>
      </c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300</v>
      </c>
      <c r="Q26" s="69">
        <f>SUM(Q19:Q25)</f>
        <v>130000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12751</v>
      </c>
      <c r="P29" s="107">
        <v>12758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1135</v>
      </c>
      <c r="F1" s="1"/>
      <c r="G1" s="1"/>
      <c r="H1" s="1"/>
      <c r="I1" s="1"/>
      <c r="J1" s="1"/>
      <c r="K1" s="1"/>
      <c r="L1" s="22">
        <f>+ROUND(+O5*0.584/1000,3)</f>
        <v>12.664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11.178000000000001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290.62800000000004</v>
      </c>
      <c r="M3" s="18" t="s">
        <v>10</v>
      </c>
      <c r="N3" s="3"/>
      <c r="O3" s="3"/>
      <c r="P3" s="128" t="str">
        <f>+'(1)'!C1&amp;"년"&amp;'(1)'!E1&amp;"월"&amp;C1&amp;"일"</f>
        <v>2022년1월26일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13736.373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7948.24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23135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396000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21684.612999999998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311.61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68.671999999999997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531000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380.28200000000004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14713020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23519682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23519682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52.817999999999998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-1848.6299999999999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52.817999999999998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62369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-1848.6299999999999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15235257.374999998</v>
      </c>
      <c r="E13" s="29" t="str">
        <f>+'(1)'!E13</f>
        <v>합계</v>
      </c>
      <c r="F13" s="61">
        <f>SUM(F4:F12)</f>
        <v>15235389</v>
      </c>
      <c r="G13" s="62"/>
      <c r="H13" s="29" t="str">
        <f t="shared" si="2"/>
        <v>합계</v>
      </c>
      <c r="I13" s="60">
        <f>SUM((I4-I5-I6-I7-I8-I9)*$E$1+I11)</f>
        <v>8943309.6799999997</v>
      </c>
      <c r="J13" s="29" t="str">
        <f t="shared" si="3"/>
        <v>합계</v>
      </c>
      <c r="K13" s="61">
        <f>IF(K8=0,0,SUM(K4:K12)-F8)</f>
        <v>8943662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62369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131.62500000186265</v>
      </c>
      <c r="G14" s="27"/>
      <c r="H14" s="27"/>
      <c r="I14" s="27"/>
      <c r="J14" s="27"/>
      <c r="K14" s="67">
        <f>SUM(K13-I13)</f>
        <v>352.32000000029802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24178567.055</v>
      </c>
      <c r="P14" s="39" t="str">
        <f t="shared" si="5"/>
        <v>합계</v>
      </c>
      <c r="Q14" s="69">
        <f>SUM(Q5:Q13)</f>
        <v>24179051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483.94500000216067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47</v>
      </c>
      <c r="Q20" s="53">
        <f>SUM(P20*1000)</f>
        <v>47000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266</v>
      </c>
      <c r="Q26" s="69">
        <f>SUM(Q19:Q25)</f>
        <v>85000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12758</v>
      </c>
      <c r="P29" s="107">
        <v>12760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4" sqref="N1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1135</v>
      </c>
      <c r="F1" s="1"/>
      <c r="G1" s="1"/>
      <c r="H1" s="1"/>
      <c r="I1" s="1"/>
      <c r="J1" s="1"/>
      <c r="K1" s="1"/>
      <c r="L1" s="22">
        <f>+ROUND(+O5*0.584/1000,3)</f>
        <v>12.865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11.24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303.48</v>
      </c>
      <c r="M3" s="18" t="s">
        <v>10</v>
      </c>
      <c r="N3" s="3"/>
      <c r="O3" s="3"/>
      <c r="P3" s="128" t="str">
        <f>+'(1)'!C1&amp;"년"&amp;'(1)'!E1&amp;"월"&amp;C1&amp;"일"</f>
        <v>2022년1월27일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13400.044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8628.473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37120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22028.517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344.38200000000001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344.38200000000001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14379258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23859593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23859593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386.48099999999999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-13526.834999999999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386.48099999999999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40000</v>
      </c>
      <c r="L12" s="2"/>
      <c r="M12" s="20"/>
      <c r="N12" s="51" t="str">
        <f t="shared" si="4"/>
        <v>-</v>
      </c>
      <c r="O12" s="55">
        <f>SUM(O11*-35)</f>
        <v>-13526.834999999999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14804649.535</v>
      </c>
      <c r="E13" s="29" t="str">
        <f>+'(1)'!E13</f>
        <v>합계</v>
      </c>
      <c r="F13" s="61">
        <f>SUM(F4:F12)</f>
        <v>14804258</v>
      </c>
      <c r="G13" s="62"/>
      <c r="H13" s="29" t="str">
        <f t="shared" si="2"/>
        <v>합계</v>
      </c>
      <c r="I13" s="60">
        <f>SUM((I4-I5-I6-I7-I8-I9)*$E$1+I11)</f>
        <v>9793316.8550000004</v>
      </c>
      <c r="J13" s="29" t="str">
        <f t="shared" si="3"/>
        <v>합계</v>
      </c>
      <c r="K13" s="61">
        <f>IF(K8=0,0,SUM(K4:K12)-F8)</f>
        <v>9791335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-391.53500000014901</v>
      </c>
      <c r="G14" s="27"/>
      <c r="H14" s="27"/>
      <c r="I14" s="27"/>
      <c r="J14" s="27"/>
      <c r="K14" s="67">
        <f>SUM(K13-I13)</f>
        <v>-1981.855000000447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24597966.389999997</v>
      </c>
      <c r="P14" s="39" t="str">
        <f t="shared" si="5"/>
        <v>합계</v>
      </c>
      <c r="Q14" s="69">
        <f>SUM(Q5:Q13)</f>
        <v>24595593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-2373.390000000596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12</v>
      </c>
      <c r="Q22" s="53">
        <f>SUM(P22*1000)</f>
        <v>12000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144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235</v>
      </c>
      <c r="Q26" s="69">
        <f>SUM(Q19:Q25)</f>
        <v>71000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12760</v>
      </c>
      <c r="P29" s="107">
        <v>12773</v>
      </c>
      <c r="Q29" s="108">
        <f>P29-O29</f>
        <v>13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1135</v>
      </c>
      <c r="F1" s="1"/>
      <c r="G1" s="1"/>
      <c r="H1" s="1"/>
      <c r="I1" s="1"/>
      <c r="J1" s="1"/>
      <c r="K1" s="1"/>
      <c r="L1" s="22">
        <f>+ROUND(+O5*0.584/1000,3)</f>
        <v>13.759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11.33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317.24</v>
      </c>
      <c r="M3" s="18" t="s">
        <v>10</v>
      </c>
      <c r="N3" s="3"/>
      <c r="O3" s="3"/>
      <c r="P3" s="128" t="str">
        <f>+'(1)'!C1&amp;"년"&amp;'(1)'!E1&amp;"월"&amp;C1&amp;"일"</f>
        <v>2022년1월28일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15384.69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8175.2730000000001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49480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320000</v>
      </c>
      <c r="L5" s="2"/>
      <c r="M5" s="20"/>
      <c r="N5" s="45" t="str">
        <f>+C4</f>
        <v>판매량</v>
      </c>
      <c r="O5" s="46">
        <f>SUM(D4+I4+D17+I17+D35+I35)</f>
        <v>23559.963</v>
      </c>
      <c r="P5" s="47" t="str">
        <f>+E4</f>
        <v>입금액</v>
      </c>
      <c r="Q5" s="48">
        <f>SUM(F4+K4+F17+K17+F35+K35)</f>
        <v>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320.125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770000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320.125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16617566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25572974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25572974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359.58300000000003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67.581999999999994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-12585.405000000001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-2365.37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427.16500000000002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-14950.775000000001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17085695.870000001</v>
      </c>
      <c r="E13" s="29" t="str">
        <f>+'(1)'!E13</f>
        <v>합계</v>
      </c>
      <c r="F13" s="61">
        <f>SUM(F4:F12)</f>
        <v>17086566</v>
      </c>
      <c r="G13" s="62"/>
      <c r="H13" s="29" t="str">
        <f t="shared" si="2"/>
        <v>합계</v>
      </c>
      <c r="I13" s="60">
        <f>SUM((I4-I5-I6-I7-I8-I9)*$E$1+I11)</f>
        <v>9276569.4850000013</v>
      </c>
      <c r="J13" s="29" t="str">
        <f t="shared" si="3"/>
        <v>합계</v>
      </c>
      <c r="K13" s="61">
        <f>IF(K8=0,0,SUM(K4:K12)-F8)</f>
        <v>9276408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870.12999999895692</v>
      </c>
      <c r="G14" s="27"/>
      <c r="H14" s="27"/>
      <c r="I14" s="27"/>
      <c r="J14" s="27"/>
      <c r="K14" s="67">
        <f>SUM(K13-I13)</f>
        <v>-161.4850000012666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26362265.355</v>
      </c>
      <c r="P14" s="39" t="str">
        <f t="shared" si="5"/>
        <v>합계</v>
      </c>
      <c r="Q14" s="69">
        <f>SUM(Q5:Q13)</f>
        <v>26362974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708.64499999769032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255</v>
      </c>
      <c r="Q26" s="69">
        <f>SUM(Q19:Q25)</f>
        <v>73000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12773</v>
      </c>
      <c r="P29" s="107">
        <v>12781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G28" sqref="G2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1135</v>
      </c>
      <c r="F1" s="1"/>
      <c r="G1" s="1"/>
      <c r="H1" s="1"/>
      <c r="I1" s="1"/>
      <c r="J1" s="1"/>
      <c r="K1" s="1"/>
      <c r="L1" s="22">
        <f>+ROUND(+O5*0.584/1000,3)</f>
        <v>10.855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11.314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328.10599999999999</v>
      </c>
      <c r="M3" s="18" t="s">
        <v>10</v>
      </c>
      <c r="N3" s="3"/>
      <c r="O3" s="3"/>
      <c r="P3" s="128" t="str">
        <f>+'(1)'!C1&amp;"년"&amp;'(1)'!E1&amp;"월"&amp;C1&amp;"일"</f>
        <v>2022년1월29일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11951.686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6635.4989999999998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30927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300000</v>
      </c>
      <c r="L5" s="2"/>
      <c r="M5" s="20"/>
      <c r="N5" s="45" t="str">
        <f>+C4</f>
        <v>판매량</v>
      </c>
      <c r="O5" s="46">
        <f>SUM(D4+I4+D17+I17+D35+I35)</f>
        <v>18587.184999999998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186.286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755000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186.286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12770314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19996267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19996267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48.368000000000002</v>
      </c>
      <c r="E10" s="42" t="str">
        <f>+'(1)'!E10</f>
        <v>OK케시백</v>
      </c>
      <c r="F10" s="44">
        <v>30000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3795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-1692.88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48.368000000000002</v>
      </c>
      <c r="P11" s="51" t="str">
        <f t="shared" si="5"/>
        <v>OK케시백</v>
      </c>
      <c r="Q11" s="53">
        <f>SUM(F10+K10+F23+K23+F41+K41)</f>
        <v>33795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57062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-1692.88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13352036.119999999</v>
      </c>
      <c r="E13" s="29" t="str">
        <f>+'(1)'!E13</f>
        <v>합계</v>
      </c>
      <c r="F13" s="61">
        <f>SUM(F4:F12)</f>
        <v>13352376</v>
      </c>
      <c r="G13" s="62"/>
      <c r="H13" s="29" t="str">
        <f t="shared" si="2"/>
        <v>합계</v>
      </c>
      <c r="I13" s="60">
        <f>SUM((I4-I5-I6-I7-I8-I9)*$E$1+I11)</f>
        <v>7531291.3650000002</v>
      </c>
      <c r="J13" s="29" t="str">
        <f t="shared" si="3"/>
        <v>합계</v>
      </c>
      <c r="K13" s="61">
        <f>IF(K8=0,0,SUM(K4:K12)-F8)</f>
        <v>7530748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57062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339.88000000081956</v>
      </c>
      <c r="G14" s="27"/>
      <c r="H14" s="27"/>
      <c r="I14" s="27"/>
      <c r="J14" s="27"/>
      <c r="K14" s="67">
        <f>SUM(K13-I13)</f>
        <v>-543.36500000022352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20883327.484999999</v>
      </c>
      <c r="P14" s="39" t="str">
        <f t="shared" si="5"/>
        <v>합계</v>
      </c>
      <c r="Q14" s="69">
        <f>SUM(Q5:Q13)</f>
        <v>20883124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-203.48499999940395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19</v>
      </c>
      <c r="Q23" s="53">
        <f>SUM(P23*1000)</f>
        <v>19000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190</v>
      </c>
      <c r="Q26" s="69">
        <f>SUM(Q19:Q25)</f>
        <v>66000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12781</v>
      </c>
      <c r="P29" s="107">
        <v>12789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8" sqref="N18:O1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1135</v>
      </c>
      <c r="F1" s="1"/>
      <c r="G1" s="1"/>
      <c r="H1" s="1"/>
      <c r="I1" s="1"/>
      <c r="J1" s="1"/>
      <c r="K1" s="1"/>
      <c r="L1" s="21">
        <f>+ROUND(+O5*0.584/1000,3)</f>
        <v>11.629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9.4819999999999993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28.445999999999998</v>
      </c>
      <c r="M3" s="18" t="s">
        <v>10</v>
      </c>
      <c r="N3" s="3"/>
      <c r="O3" s="3"/>
      <c r="P3" s="128" t="str">
        <f>+'(1)'!C1&amp;"년"&amp;'(1)'!E1&amp;"월"&amp;C1&amp;"일"</f>
        <v>2022년1월3일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13179.412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6733.67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41625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19913.082000000002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361.75299999999999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361.75299999999999</v>
      </c>
      <c r="P7" s="51" t="str">
        <f t="shared" ref="P7:P14" si="5">+E6</f>
        <v>천원권</v>
      </c>
      <c r="Q7" s="53">
        <f>SUM(F6+K6+F19+K19+F37+K37)</f>
        <v>5000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14138952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21487911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21487911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155.60300000000001</v>
      </c>
      <c r="E10" s="42" t="str">
        <f>+'(1)'!E10</f>
        <v>OK케시백</v>
      </c>
      <c r="F10" s="44">
        <v>11700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-5446.1050000000005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155.60300000000001</v>
      </c>
      <c r="P11" s="51" t="str">
        <f t="shared" si="5"/>
        <v>OK케시백</v>
      </c>
      <c r="Q11" s="53">
        <f>SUM(F10+K10+F23+K23+F41+K41)</f>
        <v>11700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30645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-5446.1050000000005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14542596.859999999</v>
      </c>
      <c r="E13" s="29" t="str">
        <f>+'(1)'!E13</f>
        <v>합계</v>
      </c>
      <c r="F13" s="61">
        <f>SUM(F4:F12)</f>
        <v>14542297</v>
      </c>
      <c r="G13" s="62"/>
      <c r="H13" s="29" t="str">
        <f t="shared" si="2"/>
        <v>합계</v>
      </c>
      <c r="I13" s="60">
        <f>SUM((I4-I5-I6-I7-I8-I9)*$E$1+I11)</f>
        <v>7642715.4500000002</v>
      </c>
      <c r="J13" s="29" t="str">
        <f t="shared" si="3"/>
        <v>합계</v>
      </c>
      <c r="K13" s="61">
        <f>IF(K8=0,0,SUM(K4:K12)-F8)</f>
        <v>7642959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30645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-299.85999999940395</v>
      </c>
      <c r="G14" s="27"/>
      <c r="H14" s="27"/>
      <c r="I14" s="27"/>
      <c r="J14" s="27"/>
      <c r="K14" s="67">
        <f>SUM(K13-I13)</f>
        <v>243.54999999981374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22185312.310000002</v>
      </c>
      <c r="P14" s="39" t="str">
        <f t="shared" si="5"/>
        <v>합계</v>
      </c>
      <c r="Q14" s="69">
        <f>SUM(Q5:Q13)</f>
        <v>22185256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-56.309999999590218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31</v>
      </c>
      <c r="Q19" s="48">
        <f>SUM(P19*1000)</f>
        <v>31000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20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112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222</v>
      </c>
      <c r="Q26" s="69">
        <f>SUM(Q19:Q25)</f>
        <v>72000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12585</v>
      </c>
      <c r="P29" s="107">
        <v>12600</v>
      </c>
      <c r="Q29" s="108">
        <f>P29-O29</f>
        <v>15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26" sqref="R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1135</v>
      </c>
      <c r="F1" s="1"/>
      <c r="G1" s="1"/>
      <c r="H1" s="1"/>
      <c r="I1" s="1"/>
      <c r="J1" s="1"/>
      <c r="K1" s="1"/>
      <c r="L1" s="22">
        <f>+ROUND(+O5*0.584/1000,3)</f>
        <v>7.2679999999999998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11.179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335.37</v>
      </c>
      <c r="M3" s="18" t="s">
        <v>10</v>
      </c>
      <c r="N3" s="3"/>
      <c r="O3" s="3"/>
      <c r="P3" s="128" t="str">
        <f>+'(1)'!C1&amp;"년"&amp;'(1)'!E1&amp;"월"&amp;C1&amp;"일"</f>
        <v>2022년1월30일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8045.5559999999996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4399.384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18450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12444.939999999999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8721700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13432539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13432539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35000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35000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95345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9131706.0599999987</v>
      </c>
      <c r="E13" s="29" t="str">
        <f>+'(1)'!E13</f>
        <v>합계</v>
      </c>
      <c r="F13" s="61">
        <f>SUM(F4:F12)</f>
        <v>9132045</v>
      </c>
      <c r="G13" s="62"/>
      <c r="H13" s="29" t="str">
        <f t="shared" si="2"/>
        <v>합계</v>
      </c>
      <c r="I13" s="60">
        <f>SUM((I4-I5-I6-I7-I8-I9)*$E$1+I11)</f>
        <v>4993300.84</v>
      </c>
      <c r="J13" s="29" t="str">
        <f t="shared" si="3"/>
        <v>합계</v>
      </c>
      <c r="K13" s="61">
        <f>IF(K8=0,0,SUM(K4:K12)-F8)</f>
        <v>4992839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95345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338.9400000013411</v>
      </c>
      <c r="G14" s="27"/>
      <c r="H14" s="27"/>
      <c r="I14" s="27"/>
      <c r="J14" s="27"/>
      <c r="K14" s="67">
        <f>SUM(K13-I13)</f>
        <v>-461.83999999985099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14125006.899999999</v>
      </c>
      <c r="P14" s="39" t="str">
        <f t="shared" si="5"/>
        <v>합계</v>
      </c>
      <c r="Q14" s="69">
        <f>SUM(Q5:Q13)</f>
        <v>14124884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-122.89999999850988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128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12789</v>
      </c>
      <c r="P29" s="107">
        <v>12797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S10" sqref="S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1135</v>
      </c>
      <c r="F1" s="1"/>
      <c r="G1" s="1"/>
      <c r="H1" s="1"/>
      <c r="I1" s="1"/>
      <c r="J1" s="1"/>
      <c r="K1" s="1"/>
      <c r="L1" s="22">
        <f>+ROUND(+O5*0.584/1000,3)</f>
        <v>4.4660000000000002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10.962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339.822</v>
      </c>
      <c r="M3" s="18" t="s">
        <v>10</v>
      </c>
      <c r="N3" s="3"/>
      <c r="O3" s="3"/>
      <c r="P3" s="128" t="str">
        <f>+'(1)'!C1&amp;"년"&amp;'(1)'!E1&amp;"월"&amp;C1&amp;"일"</f>
        <v>2022년1월31일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6799.44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847.21500000000003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19695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7646.6549999999997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190000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7446449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8408025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8408025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61863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7717364.3999999994</v>
      </c>
      <c r="E13" s="29" t="str">
        <f>+'(1)'!E13</f>
        <v>합계</v>
      </c>
      <c r="F13" s="61">
        <f>SUM(F4:F12)</f>
        <v>7717312</v>
      </c>
      <c r="G13" s="62"/>
      <c r="H13" s="29" t="str">
        <f t="shared" si="2"/>
        <v>합계</v>
      </c>
      <c r="I13" s="60">
        <f>SUM((I4-I5-I6-I7-I8-I9)*$E$1+I11)</f>
        <v>961589.02500000002</v>
      </c>
      <c r="J13" s="29" t="str">
        <f t="shared" si="3"/>
        <v>합계</v>
      </c>
      <c r="K13" s="61">
        <f>IF(K8=0,0,SUM(K4:K12)-F8)</f>
        <v>961576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61863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-52.399999999441206</v>
      </c>
      <c r="G14" s="27"/>
      <c r="H14" s="27"/>
      <c r="I14" s="27"/>
      <c r="J14" s="27"/>
      <c r="K14" s="67">
        <f>SUM(K13-I13)</f>
        <v>-13.025000000023283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8678953.4249999989</v>
      </c>
      <c r="P14" s="39" t="str">
        <f t="shared" si="5"/>
        <v>합계</v>
      </c>
      <c r="Q14" s="69">
        <f>SUM(Q5:Q13)</f>
        <v>8678888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-65.42499999946449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62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105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12797</v>
      </c>
      <c r="P29" s="107">
        <v>12801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J20" sqref="J20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1135</v>
      </c>
      <c r="F1" s="1"/>
      <c r="G1" s="1"/>
      <c r="H1" s="1"/>
      <c r="I1" s="1"/>
      <c r="J1" s="1"/>
      <c r="K1" s="1"/>
      <c r="L1" s="21">
        <f>+ROUND(+O5*0.584/1000,3)</f>
        <v>12.381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10.207000000000001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40.828000000000003</v>
      </c>
      <c r="M3" s="18" t="s">
        <v>10</v>
      </c>
      <c r="N3" s="3"/>
      <c r="O3" s="3"/>
      <c r="P3" s="128" t="str">
        <f>+'(1)'!C1&amp;"년"&amp;'(1)'!E1&amp;"월"&amp;C1&amp;"일"</f>
        <v>2022년1월4일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13929.759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7270.8580000000002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20017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265000</v>
      </c>
      <c r="L5" s="2"/>
      <c r="M5" s="20"/>
      <c r="N5" s="45" t="str">
        <f>+C4</f>
        <v>판매량</v>
      </c>
      <c r="O5" s="46">
        <f>SUM(D4+I4+D17+I17+D35+I35)</f>
        <v>21200.616999999998</v>
      </c>
      <c r="P5" s="47" t="str">
        <f>+E4</f>
        <v>입금액</v>
      </c>
      <c r="Q5" s="48">
        <f>SUM(F4+K4+F17+K17+F35+K35)</f>
        <v>0</v>
      </c>
      <c r="R5" s="5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428.15899999999999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428.15899999999999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14939906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22893277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22893277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417.77600000000001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-14622.16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417.77600000000001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24229</v>
      </c>
      <c r="L12" s="2"/>
      <c r="M12" s="20"/>
      <c r="N12" s="51" t="str">
        <f t="shared" si="4"/>
        <v>-</v>
      </c>
      <c r="O12" s="55">
        <f>SUM(O11*-35)</f>
        <v>-14622.16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15309693.84</v>
      </c>
      <c r="E13" s="29" t="str">
        <f>+'(1)'!E13</f>
        <v>합계</v>
      </c>
      <c r="F13" s="61">
        <f>SUM(F4:F12)</f>
        <v>15309906</v>
      </c>
      <c r="G13" s="62"/>
      <c r="H13" s="29" t="str">
        <f t="shared" si="2"/>
        <v>합계</v>
      </c>
      <c r="I13" s="60">
        <f>SUM((I4-I5-I6-I7-I8-I9)*$E$1+I11)</f>
        <v>8252423.8300000001</v>
      </c>
      <c r="J13" s="29" t="str">
        <f t="shared" si="3"/>
        <v>합계</v>
      </c>
      <c r="K13" s="61">
        <f>IF(K8=0,0,SUM(K4:K12)-F8)</f>
        <v>8251600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24229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212.16000000014901</v>
      </c>
      <c r="G14" s="27"/>
      <c r="H14" s="27"/>
      <c r="I14" s="27"/>
      <c r="J14" s="27"/>
      <c r="K14" s="67">
        <f>SUM(K13-I13)</f>
        <v>-823.83000000007451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23562117.669999998</v>
      </c>
      <c r="P14" s="39" t="str">
        <f t="shared" si="5"/>
        <v>합계</v>
      </c>
      <c r="Q14" s="69">
        <f>SUM(Q5:Q13)</f>
        <v>23561506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-611.66999999992549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190</v>
      </c>
      <c r="Q26" s="69">
        <f>SUM(Q19:Q25)</f>
        <v>76000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12600</v>
      </c>
      <c r="P29" s="107">
        <v>12606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1135</v>
      </c>
      <c r="F1" s="1"/>
      <c r="G1" s="1"/>
      <c r="H1" s="1"/>
      <c r="I1" s="101"/>
      <c r="J1" s="1"/>
      <c r="K1" s="1"/>
      <c r="L1" s="21">
        <f>+ROUND(+O5*0.584/1000,3)</f>
        <v>11.666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10.499000000000001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52.495000000000005</v>
      </c>
      <c r="M3" s="18" t="s">
        <v>10</v>
      </c>
      <c r="N3" s="3"/>
      <c r="O3" s="3"/>
      <c r="P3" s="128" t="str">
        <f>+'(1)'!C1&amp;"년"&amp;'(1)'!E1&amp;"월"&amp;C1&amp;"일"</f>
        <v>2022년1월5일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12187.75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7788.2089999999998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35836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270000</v>
      </c>
      <c r="L5" s="2"/>
      <c r="M5" s="20"/>
      <c r="N5" s="45" t="str">
        <f>+C4</f>
        <v>판매량</v>
      </c>
      <c r="O5" s="46">
        <f>SUM(D4+I4+D17+I17+D35+I35)</f>
        <v>19975.958999999999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344.57400000000001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43.899000000000001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785000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388.47300000000001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12836396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21304490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21304490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133.005</v>
      </c>
      <c r="E10" s="42" t="str">
        <f>+'(1)'!E10</f>
        <v>OK케시백</v>
      </c>
      <c r="F10" s="44">
        <v>26000</v>
      </c>
      <c r="G10" s="27"/>
      <c r="H10" s="42" t="str">
        <f t="shared" si="2"/>
        <v>고객우대</v>
      </c>
      <c r="I10" s="50">
        <v>55.13</v>
      </c>
      <c r="J10" s="42" t="str">
        <f t="shared" si="3"/>
        <v>OK케시백</v>
      </c>
      <c r="K10" s="44">
        <v>48346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-4655.1750000000002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-1929.5500000000002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188.13499999999999</v>
      </c>
      <c r="P11" s="51" t="str">
        <f t="shared" si="5"/>
        <v>OK케시백</v>
      </c>
      <c r="Q11" s="53">
        <f>SUM(F10+K10+F23+K23+F41+K41)</f>
        <v>74346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-6584.7249999999995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13437349.584999999</v>
      </c>
      <c r="E13" s="29" t="str">
        <f>+'(1)'!E13</f>
        <v>합계</v>
      </c>
      <c r="F13" s="61">
        <f>SUM(F4:F12)</f>
        <v>13438396</v>
      </c>
      <c r="G13" s="62"/>
      <c r="H13" s="29" t="str">
        <f t="shared" si="2"/>
        <v>합계</v>
      </c>
      <c r="I13" s="60">
        <f>SUM((I4-I5-I6-I7-I8-I9)*$E$1+I11)</f>
        <v>8787862.2999999989</v>
      </c>
      <c r="J13" s="29" t="str">
        <f t="shared" si="3"/>
        <v>합계</v>
      </c>
      <c r="K13" s="61">
        <f>IF(K8=0,0,SUM(K4:K12)-F8)</f>
        <v>8786440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1046.4150000009686</v>
      </c>
      <c r="G14" s="27"/>
      <c r="H14" s="27"/>
      <c r="I14" s="27"/>
      <c r="J14" s="27"/>
      <c r="K14" s="67">
        <f>SUM(K13-I13)</f>
        <v>-1422.2999999988824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22225211.884999994</v>
      </c>
      <c r="P14" s="39" t="str">
        <f t="shared" si="5"/>
        <v>합계</v>
      </c>
      <c r="Q14" s="69">
        <f>SUM(Q5:Q13)</f>
        <v>22224836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-375.88499999791384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165</v>
      </c>
      <c r="Q26" s="69">
        <f>SUM(Q19:Q25)</f>
        <v>69000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12606</v>
      </c>
      <c r="P29" s="107">
        <v>12624</v>
      </c>
      <c r="Q29" s="108">
        <f>P29-O29</f>
        <v>18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1135</v>
      </c>
      <c r="F1" s="1"/>
      <c r="G1" s="1"/>
      <c r="H1" s="1"/>
      <c r="I1" s="1"/>
      <c r="J1" s="1"/>
      <c r="K1" s="1"/>
      <c r="L1" s="21">
        <f>+ROUND(+O5*0.584/1000,3)</f>
        <v>12.148999999999999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10.773999999999999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64.643999999999991</v>
      </c>
      <c r="M3" s="18" t="s">
        <v>10</v>
      </c>
      <c r="N3" s="3"/>
      <c r="O3" s="3"/>
      <c r="P3" s="128" t="str">
        <f>+'(1)'!C1&amp;"년"&amp;'(1)'!E1&amp;"월"&amp;C1&amp;"일"</f>
        <v>2022년1월6일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12763.271000000001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8039.3440000000001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14850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240000</v>
      </c>
      <c r="L5" s="2"/>
      <c r="M5" s="20"/>
      <c r="N5" s="45" t="str">
        <f>+C4</f>
        <v>판매량</v>
      </c>
      <c r="O5" s="46">
        <f>SUM(D4+I4+D17+I17+D35+I35)</f>
        <v>20802.615000000002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351.79199999999997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48.758000000000003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400.54999999999995</v>
      </c>
      <c r="P7" s="51" t="str">
        <f t="shared" ref="P7:P14" si="5">+E6</f>
        <v>천원권</v>
      </c>
      <c r="Q7" s="53">
        <f>SUM(F6+K6+F19+K19+F37+K37)</f>
        <v>5000</v>
      </c>
      <c r="R7" s="5" t="s">
        <v>60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13559698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22381749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22381749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236.85400000000001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-8289.8900000000012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236.85400000000001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125756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-8289.8900000000012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14078738.775</v>
      </c>
      <c r="E13" s="29" t="str">
        <f>+'(1)'!E13</f>
        <v>합계</v>
      </c>
      <c r="F13" s="61">
        <f>SUM(F4:F12)</f>
        <v>14079454</v>
      </c>
      <c r="G13" s="62"/>
      <c r="H13" s="29" t="str">
        <f t="shared" si="2"/>
        <v>합계</v>
      </c>
      <c r="I13" s="60">
        <f>SUM((I4-I5-I6-I7-I8-I9)*$E$1+I11)</f>
        <v>9069315.1099999994</v>
      </c>
      <c r="J13" s="29" t="str">
        <f t="shared" si="3"/>
        <v>합계</v>
      </c>
      <c r="K13" s="61">
        <f>IF(K8=0,0,SUM(K4:K12)-F8)</f>
        <v>9069051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125756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715.22499999962747</v>
      </c>
      <c r="G14" s="27"/>
      <c r="H14" s="27"/>
      <c r="I14" s="27"/>
      <c r="J14" s="27"/>
      <c r="K14" s="67">
        <f>SUM(K13-I13)</f>
        <v>-264.10999999940395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23148053.885000002</v>
      </c>
      <c r="P14" s="39" t="str">
        <f t="shared" si="5"/>
        <v>합계</v>
      </c>
      <c r="Q14" s="69">
        <f>SUM(Q5:Q13)</f>
        <v>23148505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451.11500000022352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98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201</v>
      </c>
      <c r="Q26" s="69">
        <f>SUM(Q19:Q25)</f>
        <v>74000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12624</v>
      </c>
      <c r="P29" s="107">
        <v>12632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1135</v>
      </c>
      <c r="F1" s="1"/>
      <c r="G1" s="1"/>
      <c r="H1" s="1"/>
      <c r="I1" s="1"/>
      <c r="J1" s="1"/>
      <c r="K1" s="1"/>
      <c r="L1" s="21">
        <f>+ROUND(+O5*0.584/1000,3)</f>
        <v>12.991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11.090999999999999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77.637</v>
      </c>
      <c r="M3" s="18" t="s">
        <v>10</v>
      </c>
      <c r="N3" s="3"/>
      <c r="O3" s="3"/>
      <c r="P3" s="128" t="str">
        <f>+'(1)'!C1&amp;"년"&amp;'(1)'!E1&amp;"월"&amp;C1&amp;"일"</f>
        <v>2022년1월7일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14284.841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7959.4870000000001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29149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375000</v>
      </c>
      <c r="L5" s="2"/>
      <c r="M5" s="20"/>
      <c r="N5" s="45" t="str">
        <f>+C4</f>
        <v>판매량</v>
      </c>
      <c r="O5" s="46">
        <f>SUM(D4+I4+D17+I17+D35+I35)</f>
        <v>22244.328000000001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455.63499999999999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13.971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1035000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469.60599999999999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14993305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23606328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10000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23606328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284.3</v>
      </c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>
        <v>49.927999999999997</v>
      </c>
      <c r="J10" s="42" t="str">
        <f t="shared" si="3"/>
        <v>OK케시백</v>
      </c>
      <c r="K10" s="44">
        <v>21545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-9950.5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-1747.48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334.22800000000001</v>
      </c>
      <c r="P11" s="51" t="str">
        <f t="shared" si="5"/>
        <v>OK케시백</v>
      </c>
      <c r="Q11" s="53">
        <f>SUM(F10+K10+F23+K23+F41+K41)</f>
        <v>28545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-11697.98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15686198.310000001</v>
      </c>
      <c r="E13" s="29" t="str">
        <f>+'(1)'!E13</f>
        <v>합계</v>
      </c>
      <c r="F13" s="61">
        <f>SUM(F4:F12)</f>
        <v>15686305</v>
      </c>
      <c r="G13" s="62"/>
      <c r="H13" s="29" t="str">
        <f t="shared" si="2"/>
        <v>합계</v>
      </c>
      <c r="I13" s="60">
        <f>SUM((I4-I5-I6-I7-I8-I9)*$E$1+I11)</f>
        <v>9016413.1799999997</v>
      </c>
      <c r="J13" s="29" t="str">
        <f t="shared" si="3"/>
        <v>합계</v>
      </c>
      <c r="K13" s="61">
        <f>IF(K8=0,0,SUM(K4:K12)-F8)</f>
        <v>9015568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106.68999999947846</v>
      </c>
      <c r="G14" s="27"/>
      <c r="H14" s="27"/>
      <c r="I14" s="27"/>
      <c r="J14" s="27"/>
      <c r="K14" s="67">
        <f>SUM(K13-I13)</f>
        <v>-845.17999999970198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24702611.490000002</v>
      </c>
      <c r="P14" s="39" t="str">
        <f t="shared" si="5"/>
        <v>합계</v>
      </c>
      <c r="Q14" s="69">
        <f>SUM(Q5:Q13)</f>
        <v>24701873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-738.49000000022352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13</v>
      </c>
      <c r="Q22" s="53">
        <f>SUM(P22*1000)</f>
        <v>13000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16</v>
      </c>
      <c r="Q23" s="53">
        <f>SUM(P23*1000)</f>
        <v>16000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153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267</v>
      </c>
      <c r="Q26" s="69">
        <f>SUM(Q19:Q25)</f>
        <v>86000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12632</v>
      </c>
      <c r="P29" s="107">
        <v>12647</v>
      </c>
      <c r="Q29" s="108">
        <f>P29-O29</f>
        <v>15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L8" sqref="L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1135</v>
      </c>
      <c r="F1" s="1"/>
      <c r="G1" s="1"/>
      <c r="H1" s="1"/>
      <c r="I1" s="1"/>
      <c r="J1" s="1"/>
      <c r="K1" s="1"/>
      <c r="L1" s="22">
        <f>+ROUND(+O5*0.584/1000,3)</f>
        <v>10.499000000000001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11.016999999999999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88.135999999999996</v>
      </c>
      <c r="M3" s="18" t="s">
        <v>10</v>
      </c>
      <c r="N3" s="3"/>
      <c r="O3" s="3"/>
      <c r="P3" s="128" t="str">
        <f>+'(1)'!C1&amp;"년"&amp;'(1)'!E1&amp;"월"&amp;C1&amp;"일"</f>
        <v>2022년1월8일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11382.692999999999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6594.3239999999996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46620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140000</v>
      </c>
      <c r="L5" s="2"/>
      <c r="M5" s="20"/>
      <c r="N5" s="45" t="str">
        <f>+C4</f>
        <v>판매량</v>
      </c>
      <c r="O5" s="46">
        <f>SUM(D4+I4+D17+I17+D35+I35)</f>
        <v>17977.017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172.49299999999999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645000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172.49299999999999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12008382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19298414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19298414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169.95599999999999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-5948.46</v>
      </c>
      <c r="E11" s="42" t="str">
        <f>+'(1)'!E11</f>
        <v>모바일</v>
      </c>
      <c r="F11" s="44">
        <v>65000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169.95599999999999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132230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-5948.46</v>
      </c>
      <c r="P12" s="51" t="str">
        <f t="shared" si="5"/>
        <v>모바일</v>
      </c>
      <c r="Q12" s="53">
        <f>SUM(F11+K11+F24+K24+F42+K42)</f>
        <v>65000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12717628.539999997</v>
      </c>
      <c r="E13" s="29" t="str">
        <f>+'(1)'!E13</f>
        <v>합계</v>
      </c>
      <c r="F13" s="61">
        <f>SUM(F4:F12)</f>
        <v>12718612</v>
      </c>
      <c r="G13" s="62"/>
      <c r="H13" s="29" t="str">
        <f t="shared" si="2"/>
        <v>합계</v>
      </c>
      <c r="I13" s="60">
        <f>SUM((I4-I5-I6-I7-I8-I9)*$E$1+I11)</f>
        <v>7484557.7399999993</v>
      </c>
      <c r="J13" s="29" t="str">
        <f t="shared" si="3"/>
        <v>합계</v>
      </c>
      <c r="K13" s="61">
        <f>IF(K8=0,0,SUM(K4:K12)-F8)</f>
        <v>7484032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132230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983.46000000275671</v>
      </c>
      <c r="G14" s="27"/>
      <c r="H14" s="27"/>
      <c r="I14" s="27"/>
      <c r="J14" s="27"/>
      <c r="K14" s="67">
        <f>SUM(K13-I13)</f>
        <v>-525.73999999929219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20202186.280000001</v>
      </c>
      <c r="P14" s="39" t="str">
        <f t="shared" si="5"/>
        <v>합계</v>
      </c>
      <c r="Q14" s="69">
        <f>SUM(Q5:Q13)</f>
        <v>20202644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457.72000000346452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95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161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12647</v>
      </c>
      <c r="P29" s="107">
        <v>12652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1135</v>
      </c>
      <c r="F1" s="1"/>
      <c r="G1" s="1"/>
      <c r="H1" s="1"/>
      <c r="I1" s="1"/>
      <c r="J1" s="1"/>
      <c r="K1" s="1"/>
      <c r="L1" s="22">
        <f>+ROUND(+O5*0.584/1000,3)</f>
        <v>7.3070000000000004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10.605</v>
      </c>
      <c r="M2" s="18" t="s">
        <v>7</v>
      </c>
      <c r="N2" s="127" t="s">
        <v>1</v>
      </c>
      <c r="O2" s="127"/>
      <c r="P2" s="127"/>
      <c r="Q2" s="127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95.445000000000007</v>
      </c>
      <c r="M3" s="18" t="s">
        <v>10</v>
      </c>
      <c r="N3" s="3"/>
      <c r="O3" s="3"/>
      <c r="P3" s="128" t="str">
        <f>+'(1)'!C1&amp;"년"&amp;'(1)'!E1&amp;"월"&amp;C1&amp;"일"</f>
        <v>2022년1월9일</v>
      </c>
      <c r="Q3" s="128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7961.768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4549.4489999999996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34207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80000</v>
      </c>
      <c r="L5" s="2"/>
      <c r="M5" s="20"/>
      <c r="N5" s="45" t="str">
        <f>+C4</f>
        <v>판매량</v>
      </c>
      <c r="O5" s="46">
        <f>SUM(D4+I4+D17+I17+D35+I35)</f>
        <v>12511.217000000001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10.499000000000001</v>
      </c>
      <c r="J6" s="42" t="str">
        <f t="shared" ref="J6:J13" si="3">+E6</f>
        <v>천원권</v>
      </c>
      <c r="K6" s="44">
        <v>7000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10.499000000000001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8532726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13577264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13577264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27000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66427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9036606.6799999997</v>
      </c>
      <c r="E13" s="29" t="str">
        <f>+'(1)'!E13</f>
        <v>합계</v>
      </c>
      <c r="F13" s="61">
        <f>SUM(F4:F12)</f>
        <v>9036153</v>
      </c>
      <c r="G13" s="62"/>
      <c r="H13" s="29" t="str">
        <f t="shared" si="2"/>
        <v>합계</v>
      </c>
      <c r="I13" s="60">
        <f>SUM((I4-I5-I6-I7-I8-I9)*$E$1+I11)</f>
        <v>5151708.25</v>
      </c>
      <c r="J13" s="29" t="str">
        <f t="shared" si="3"/>
        <v>합계</v>
      </c>
      <c r="K13" s="61">
        <f>IF(K8=0,0,SUM(K4:K12)-F8)</f>
        <v>5151538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66427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-453.67999999970198</v>
      </c>
      <c r="G14" s="27"/>
      <c r="H14" s="27"/>
      <c r="I14" s="27"/>
      <c r="J14" s="27"/>
      <c r="K14" s="67">
        <f>SUM(K13-I13)</f>
        <v>-170.25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14188314.930000002</v>
      </c>
      <c r="P14" s="39" t="str">
        <f t="shared" si="5"/>
        <v>합계</v>
      </c>
      <c r="Q14" s="69">
        <f>SUM(Q5:Q13)</f>
        <v>14187691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-623.92999999970198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3" t="s">
        <v>34</v>
      </c>
      <c r="O18" s="126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7" t="s">
        <v>37</v>
      </c>
      <c r="O19" s="118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3" t="s">
        <v>38</v>
      </c>
      <c r="O20" s="124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3" t="s">
        <v>48</v>
      </c>
      <c r="O21" s="124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5" t="s">
        <v>53</v>
      </c>
      <c r="O22" s="120"/>
      <c r="P22" s="74">
        <v>11</v>
      </c>
      <c r="Q22" s="53">
        <f>SUM(P22*1000)</f>
        <v>11000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9" t="s">
        <v>58</v>
      </c>
      <c r="O23" s="120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9" t="s">
        <v>52</v>
      </c>
      <c r="O24" s="120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1" t="s">
        <v>39</v>
      </c>
      <c r="O25" s="122"/>
      <c r="P25" s="75">
        <f>+P26-SUM(P19:P24)</f>
        <v>104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3" t="s">
        <v>40</v>
      </c>
      <c r="O26" s="114"/>
      <c r="P26" s="77">
        <v>170</v>
      </c>
      <c r="Q26" s="69">
        <f>SUM(Q19:Q25)</f>
        <v>59000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1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2"/>
      <c r="O29" s="106">
        <v>12652</v>
      </c>
      <c r="P29" s="107">
        <v>12663</v>
      </c>
      <c r="Q29" s="108">
        <f>P29-O29</f>
        <v>11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2022-01-31T15:08:23Z</dcterms:modified>
</cp:coreProperties>
</file>