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2" activeTab="27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E7" i="146" l="1"/>
  <c r="Q24" i="141" l="1"/>
  <c r="P25" i="137" l="1"/>
  <c r="Q23" i="137"/>
  <c r="Q22" i="137"/>
  <c r="Q20" i="137"/>
  <c r="Q19" i="137"/>
  <c r="Q26" i="137" l="1"/>
  <c r="Q26" i="159"/>
  <c r="P25" i="159"/>
  <c r="Q23" i="159"/>
  <c r="Q22" i="159"/>
  <c r="Q21" i="159"/>
  <c r="Q20" i="159"/>
  <c r="Q19" i="159"/>
  <c r="P25" i="158"/>
  <c r="Q23" i="158"/>
  <c r="Q22" i="158"/>
  <c r="Q21" i="158"/>
  <c r="Q26" i="158" s="1"/>
  <c r="Q20" i="158"/>
  <c r="Q19" i="158"/>
  <c r="P25" i="157"/>
  <c r="Q23" i="157"/>
  <c r="Q22" i="157"/>
  <c r="Q21" i="157"/>
  <c r="Q26" i="157" s="1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0" i="154"/>
  <c r="Q19" i="154"/>
  <c r="P25" i="153"/>
  <c r="Q23" i="153"/>
  <c r="Q22" i="153"/>
  <c r="Q20" i="153"/>
  <c r="Q19" i="153"/>
  <c r="P25" i="152"/>
  <c r="Q23" i="152"/>
  <c r="Q22" i="152"/>
  <c r="Q26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3" i="149"/>
  <c r="Q22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P25" i="146"/>
  <c r="Q23" i="146"/>
  <c r="Q22" i="146"/>
  <c r="Q20" i="146"/>
  <c r="Q19" i="146"/>
  <c r="P25" i="145"/>
  <c r="Q23" i="145"/>
  <c r="Q22" i="145"/>
  <c r="Q20" i="145"/>
  <c r="Q19" i="145"/>
  <c r="P25" i="144"/>
  <c r="Q23" i="144"/>
  <c r="Q22" i="144"/>
  <c r="Q20" i="144"/>
  <c r="Q19" i="144"/>
  <c r="P25" i="143"/>
  <c r="Q23" i="143"/>
  <c r="Q22" i="143"/>
  <c r="Q20" i="143"/>
  <c r="Q19" i="143"/>
  <c r="P25" i="142"/>
  <c r="Q23" i="142"/>
  <c r="Q22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6"/>
  <c r="Q23" i="136"/>
  <c r="Q22" i="136"/>
  <c r="Q20" i="136"/>
  <c r="Q26" i="136" s="1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Q23" i="13"/>
  <c r="Q22" i="13"/>
  <c r="Q23" i="1"/>
  <c r="Q26" i="156" l="1"/>
  <c r="Q26" i="155"/>
  <c r="Q26" i="154"/>
  <c r="Q26" i="153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Q22" i="1" l="1"/>
  <c r="I24" i="159" l="1"/>
  <c r="H24" i="159"/>
  <c r="E24" i="159"/>
  <c r="D24" i="159"/>
  <c r="O12" i="159"/>
  <c r="I11" i="159"/>
  <c r="D11" i="159"/>
  <c r="I24" i="158"/>
  <c r="H24" i="158"/>
  <c r="E24" i="158"/>
  <c r="D24" i="158"/>
  <c r="O12" i="158"/>
  <c r="I11" i="158"/>
  <c r="D11" i="158"/>
  <c r="I24" i="157"/>
  <c r="H24" i="157"/>
  <c r="E24" i="157"/>
  <c r="D24" i="157"/>
  <c r="O12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D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O12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I11" i="139"/>
  <c r="D11" i="139"/>
  <c r="I24" i="138"/>
  <c r="H24" i="138"/>
  <c r="E24" i="138"/>
  <c r="D24" i="138"/>
  <c r="O12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O12" i="1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H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H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H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H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H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H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H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H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H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H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H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H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H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H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H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H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H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H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H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H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H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H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H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H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H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H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H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H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I13" i="131"/>
  <c r="K14" i="131" s="1"/>
  <c r="D26" i="131"/>
  <c r="F27" i="131" s="1"/>
  <c r="I26" i="131"/>
  <c r="K27" i="131" s="1"/>
  <c r="I13" i="13"/>
  <c r="K14" i="13" s="1"/>
  <c r="I26" i="13"/>
  <c r="K27" i="13" s="1"/>
  <c r="D26" i="132"/>
  <c r="F27" i="132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Q14" i="159" s="1"/>
  <c r="O5" i="159"/>
  <c r="N5" i="159"/>
  <c r="Q13" i="158"/>
  <c r="Q12" i="158"/>
  <c r="Q11" i="158"/>
  <c r="O11" i="158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O12" i="132" s="1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E12" i="153"/>
  <c r="C12" i="153"/>
  <c r="J11" i="153"/>
  <c r="E11" i="153"/>
  <c r="C11" i="153"/>
  <c r="E10" i="153"/>
  <c r="C10" i="153"/>
  <c r="E9" i="153"/>
  <c r="C9" i="153"/>
  <c r="E8" i="153"/>
  <c r="C8" i="153"/>
  <c r="E7" i="153"/>
  <c r="C7" i="153"/>
  <c r="E6" i="153"/>
  <c r="C6" i="153"/>
  <c r="E5" i="153"/>
  <c r="C5" i="153"/>
  <c r="E4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J12" i="13"/>
  <c r="E12" i="13"/>
  <c r="E11" i="13"/>
  <c r="E10" i="13"/>
  <c r="E9" i="13"/>
  <c r="P10" i="13" s="1"/>
  <c r="E8" i="13"/>
  <c r="P9" i="13" s="1"/>
  <c r="E7" i="13"/>
  <c r="P8" i="13" s="1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6" l="1"/>
  <c r="Q14" i="146"/>
  <c r="J7" i="137"/>
  <c r="J20" i="137"/>
  <c r="E20" i="137"/>
  <c r="J20" i="156"/>
  <c r="E20" i="156"/>
  <c r="J7" i="131"/>
  <c r="E20" i="131"/>
  <c r="J20" i="131"/>
  <c r="E20" i="132"/>
  <c r="J20" i="132"/>
  <c r="J20" i="136"/>
  <c r="E20" i="136"/>
  <c r="J20" i="143"/>
  <c r="E20" i="143"/>
  <c r="E20" i="147"/>
  <c r="J20" i="147"/>
  <c r="J20" i="151"/>
  <c r="E20" i="151"/>
  <c r="J20" i="153"/>
  <c r="E20" i="153"/>
  <c r="E20" i="155"/>
  <c r="J20" i="155"/>
  <c r="J20" i="135"/>
  <c r="E20" i="135"/>
  <c r="E20" i="140"/>
  <c r="J20" i="140"/>
  <c r="J20" i="142"/>
  <c r="E20" i="142"/>
  <c r="J20" i="152"/>
  <c r="E20" i="152"/>
  <c r="E20" i="154"/>
  <c r="J20" i="154"/>
  <c r="E20" i="148"/>
  <c r="J20" i="148"/>
  <c r="J20" i="141"/>
  <c r="E20" i="141"/>
  <c r="J20" i="150"/>
  <c r="E20" i="150"/>
  <c r="J20" i="134"/>
  <c r="E20" i="134"/>
  <c r="E20" i="139"/>
  <c r="J20" i="139"/>
  <c r="J20" i="158"/>
  <c r="E20" i="158"/>
  <c r="J20" i="144"/>
  <c r="E20" i="144"/>
  <c r="E20" i="13"/>
  <c r="J20" i="13"/>
  <c r="J20" i="145"/>
  <c r="E20" i="145"/>
  <c r="J20" i="149"/>
  <c r="E20" i="149"/>
  <c r="J20" i="157"/>
  <c r="E20" i="157"/>
  <c r="J20" i="133"/>
  <c r="E20" i="133"/>
  <c r="E20" i="138"/>
  <c r="J20" i="138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P25" i="1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<sst xmlns="http://schemas.openxmlformats.org/spreadsheetml/2006/main" count="874" uniqueCount="65">
  <si>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</si>
  <si>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</si>
  <si>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</si>
  <si>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</si>
  <si>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</si>
  <si>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</si>
  <si>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</si>
  <si>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</si>
  <si>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</si>
  <si>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</si>
  <si>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</si>
  <si>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</si>
  <si>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</si>
  <si>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</si>
  <si>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</si>
  <si>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</si>
  <si>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</si>
  <si>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</si>
  <si>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</si>
  <si>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</si>
  <si>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</si>
  <si>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</si>
  <si>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</si>
  <si>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</si>
  <si>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</si>
  <si>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</si>
  <si>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</si>
  <si>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</si>
  <si>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</si>
  <si>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</si>
  <si>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</si>
  <si>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</si>
  <si>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</si>
  <si>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</si>
  <si>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</si>
  <si>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</si>
  <si>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</si>
  <si>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</si>
  <si>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</si>
  <si>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</si>
  <si>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</si>
  <si>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</si>
  <si>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</si>
  <si>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</si>
  <si>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</si>
  <si>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</si>
  <si>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</si>
  <si>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</si>
  <si>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</si>
  <si>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</si>
  <si>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</si>
  <si>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</si>
  <si>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</si>
  <si>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</si>
  <si>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</si>
  <si>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</si>
  <si>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</si>
  <si>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</si>
  <si>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</si>
  <si>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</si>
  <si>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09:00~09:00</t>
    <phoneticPr fontId="1" type="noConversion"/>
  </si>
  <si>
    <t>불스원샷</t>
    <phoneticPr fontId="1" type="noConversion"/>
  </si>
  <si>
    <t>서울페이</t>
    <phoneticPr fontId="1" type="noConversion"/>
  </si>
  <si>
    <r>
      <t>*</t>
    </r>
    <r>
      <rPr>
        <b/>
        <sz val="11"/>
        <color theme="1"/>
        <rFont val="돋움"/>
        <family val="3"/>
        <charset val="129"/>
      </rPr>
      <t xml:space="preserve">제로페이말고
</t>
    </r>
    <r>
      <rPr>
        <b/>
        <sz val="11"/>
        <color theme="1"/>
        <rFont val="maigun ghodic"/>
        <family val="2"/>
      </rPr>
      <t xml:space="preserve"> </t>
    </r>
    <r>
      <rPr>
        <b/>
        <sz val="11"/>
        <color theme="1"/>
        <rFont val="돋움"/>
        <family val="3"/>
        <charset val="129"/>
      </rPr>
      <t>서울페이</t>
    </r>
    <r>
      <rPr>
        <b/>
        <sz val="11"/>
        <color theme="1"/>
        <rFont val="maigun ghodic"/>
        <family val="2"/>
      </rPr>
      <t xml:space="preserve"> </t>
    </r>
    <r>
      <rPr>
        <b/>
        <sz val="11"/>
        <color theme="1"/>
        <rFont val="돋움"/>
        <family val="3"/>
        <charset val="129"/>
      </rPr>
      <t>추가됨</t>
    </r>
    <phoneticPr fontId="1" type="noConversion"/>
  </si>
  <si>
    <r>
      <rPr>
        <b/>
        <sz val="11"/>
        <color theme="1"/>
        <rFont val="돋움"/>
        <family val="3"/>
        <charset val="129"/>
      </rPr>
      <t>서울페이</t>
    </r>
    <r>
      <rPr>
        <b/>
        <sz val="11"/>
        <color theme="1"/>
        <rFont val="maigun ghodic"/>
        <family val="2"/>
      </rPr>
      <t xml:space="preserve"> </t>
    </r>
    <r>
      <rPr>
        <b/>
        <sz val="11"/>
        <color theme="1"/>
        <rFont val="돋움"/>
        <family val="3"/>
        <charset val="129"/>
      </rPr>
      <t>관련해서</t>
    </r>
    <r>
      <rPr>
        <b/>
        <sz val="11"/>
        <color theme="1"/>
        <rFont val="maigun ghodic"/>
        <family val="2"/>
      </rPr>
      <t xml:space="preserve"> 
</t>
    </r>
    <r>
      <rPr>
        <b/>
        <sz val="11"/>
        <color theme="1"/>
        <rFont val="돋움"/>
        <family val="3"/>
        <charset val="129"/>
      </rPr>
      <t>나중에</t>
    </r>
    <r>
      <rPr>
        <b/>
        <sz val="11"/>
        <color theme="1"/>
        <rFont val="maigun ghodic"/>
        <family val="2"/>
      </rPr>
      <t xml:space="preserve"> </t>
    </r>
    <r>
      <rPr>
        <b/>
        <sz val="11"/>
        <color theme="1"/>
        <rFont val="돋움"/>
        <family val="3"/>
        <charset val="129"/>
      </rPr>
      <t>설명해줄께요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</si>
</sst>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78" fontId="10" fillId="0" borderId="0" xfId="0" applyNumberFormat="1" applyFont="1" applyBorder="1" applyAlignment="1" applyProtection="1">
      <alignment horizontal="right" vertical="center"/>
      <protection locked="0"/>
    </xf>
    <xf numFmtId="176" fontId="15" fillId="2" borderId="11" xfId="0" applyNumberFormat="1" applyFont="1" applyFill="1" applyBorder="1" applyAlignment="1" applyProtection="1">
      <alignment horizontal="center" vertical="center"/>
      <protection locked="0"/>
    </xf>
    <xf numFmtId="178" fontId="7" fillId="0" borderId="0" xfId="0" applyNumberFormat="1" applyFont="1" applyBorder="1" applyAlignment="1" applyProtection="1">
      <alignment horizontal="left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  <xf numFmtId="178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7" fillId="2" borderId="37" xfId="0" applyNumberFormat="1" applyFont="1" applyFill="1" applyBorder="1" applyAlignment="1" applyProtection="1">
      <alignment horizontal="center" vertical="center"/>
      <protection locked="0"/>
    </xf>
    <xf numFmtId="176" fontId="7" fillId="2" borderId="36" xfId="0" applyNumberFormat="1" applyFont="1" applyFill="1" applyBorder="1" applyAlignment="1" applyProtection="1">
      <alignment horizontal="center" vertical="center"/>
      <protection locked="0"/>
    </xf>
    <xf numFmtId="176" fontId="4" fillId="0" borderId="36" xfId="0" applyNumberFormat="1" applyFont="1" applyBorder="1" applyAlignment="1" applyProtection="1">
      <alignment horizontal="center" vertical="center"/>
      <protection locked="0"/>
    </xf>
    <xf numFmtId="176" fontId="4" fillId="0" borderId="37" xfId="0" applyNumberFormat="1" applyFont="1" applyBorder="1" applyAlignment="1" applyProtection="1">
      <alignment horizontal="center"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E8" sqref="E8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2022</v>
      </c>
      <c r="D1" s="24" t="str">
        <f>IF(C1&lt;2000,"◀  년 입력","년")</f>
        <v>년</v>
      </c>
      <c r="E1" s="25">
        <v>2</v>
      </c>
      <c r="F1" s="24" t="str">
        <f>IF(E1&lt;1,"◀  월 입력","월")</f>
        <v>월</v>
      </c>
      <c r="G1" s="25">
        <v>1</v>
      </c>
      <c r="H1" s="26" t="s">
        <v>11</v>
      </c>
      <c r="I1" s="25">
        <v>1112</v>
      </c>
      <c r="J1" s="24" t="str">
        <f>IF(I1&lt;100,"◀  단가입력","원")</f>
        <v>원</v>
      </c>
      <c r="L1" s="28">
        <f>+ROUND(+O5*0.584/1000,3)</f>
        <v>5.2530000000000001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5.2530000000000001</v>
      </c>
      <c r="M2" s="27" t="s">
        <v>7</v>
      </c>
      <c r="N2" s="117" t="s">
        <v>12</v>
      </c>
      <c r="O2" s="117"/>
      <c r="P2" s="117"/>
      <c r="Q2" s="117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5.2530000000000001</v>
      </c>
      <c r="M3" s="27" t="s">
        <v>10</v>
      </c>
      <c r="N3" s="32"/>
      <c r="O3" s="32"/>
      <c r="P3" s="116" t="str">
        <f>+'(1)'!$C$1&amp;"년"&amp;'(1)'!$E$1&amp;"월"&amp;$G$1&amp;"일"</f>
        <v>2022년2월1일</v>
      </c>
      <c r="Q3" s="116"/>
      <c r="R3" s="33"/>
    </row>
    <row r="4" spans="3:25" ht="16.5" customHeight="1" thickBot="1">
      <c r="C4" s="34" t="s">
        <v>15</v>
      </c>
      <c r="D4" s="35">
        <v>1860.8979999999999</v>
      </c>
      <c r="E4" s="34" t="s">
        <v>16</v>
      </c>
      <c r="F4" s="36"/>
      <c r="H4" s="97" t="str">
        <f>+C4</f>
        <v>판매량</v>
      </c>
      <c r="I4" s="35">
        <v>4371.6679999999997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46890</v>
      </c>
      <c r="S4" s="41" t="s">
        <v>17</v>
      </c>
    </row>
    <row r="5" spans="3:25" ht="16.5" customHeight="1">
      <c r="C5" s="42" t="s">
        <v>18</v>
      </c>
      <c r="D5" s="43"/>
      <c r="E5" s="42" t="s">
        <v>19</v>
      </c>
      <c r="F5" s="44">
        <v>55000</v>
      </c>
      <c r="H5" s="98" t="str">
        <f>+C5</f>
        <v>법인전표</v>
      </c>
      <c r="I5" s="43"/>
      <c r="J5" s="42" t="str">
        <f>+E5</f>
        <v>고액권</v>
      </c>
      <c r="K5" s="44">
        <v>215000</v>
      </c>
      <c r="M5" s="38"/>
      <c r="N5" s="45" t="str">
        <f>+C4</f>
        <v>판매량</v>
      </c>
      <c r="O5" s="46">
        <f>SUM(D4+I4+D17+I17+D35+I35)</f>
        <v>8995.5020000000004</v>
      </c>
      <c r="P5" s="47" t="str">
        <f>+E4</f>
        <v>입금액</v>
      </c>
      <c r="Q5" s="48">
        <f>SUM(F4+K4+F17+K17+F35+K35)</f>
        <v>0</v>
      </c>
      <c r="R5" s="49">
        <v>10</v>
      </c>
      <c r="S5" s="41" t="s">
        <v>20</v>
      </c>
    </row>
    <row r="6" spans="3:25" ht="16.5" customHeight="1">
      <c r="C6" s="42" t="s">
        <v>21</v>
      </c>
      <c r="D6" s="50"/>
      <c r="E6" s="42" t="s">
        <v>22</v>
      </c>
      <c r="F6" s="44"/>
      <c r="H6" s="98" t="str">
        <f t="shared" ref="H6:H13" si="2">+C6</f>
        <v>외상전표</v>
      </c>
      <c r="I6" s="50"/>
      <c r="J6" s="42" t="str">
        <f t="shared" ref="J6:J13" si="3">+E6</f>
        <v>천원권</v>
      </c>
      <c r="K6" s="44">
        <v>3000</v>
      </c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375000</v>
      </c>
      <c r="R6" s="49">
        <v>1.5</v>
      </c>
      <c r="S6" s="41" t="s">
        <v>23</v>
      </c>
    </row>
    <row r="7" spans="3:25" ht="16.5" customHeight="1">
      <c r="C7" s="42" t="s">
        <v>24</v>
      </c>
      <c r="D7" s="50"/>
      <c r="E7" s="42" t="s">
        <v>62</v>
      </c>
      <c r="F7" s="44"/>
      <c r="H7" s="98" t="str">
        <f t="shared" si="2"/>
        <v>효신(업)</v>
      </c>
      <c r="I7" s="50"/>
      <c r="J7" s="42" t="str">
        <f t="shared" si="3"/>
        <v>서울페이</v>
      </c>
      <c r="K7" s="44"/>
      <c r="M7" s="38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4000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2014762</v>
      </c>
      <c r="H8" s="98" t="str">
        <f t="shared" si="2"/>
        <v>자가소비</v>
      </c>
      <c r="I8" s="50"/>
      <c r="J8" s="42" t="str">
        <f t="shared" si="3"/>
        <v>신용카드</v>
      </c>
      <c r="K8" s="44">
        <v>6657263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9624612</v>
      </c>
      <c r="R9" s="40"/>
    </row>
    <row r="10" spans="3:25" ht="16.5" customHeight="1">
      <c r="C10" s="42" t="s">
        <v>51</v>
      </c>
      <c r="D10" s="50"/>
      <c r="E10" s="42" t="s">
        <v>47</v>
      </c>
      <c r="F10" s="44"/>
      <c r="H10" s="98" t="str">
        <f t="shared" si="2"/>
        <v>고객우대</v>
      </c>
      <c r="I10" s="50"/>
      <c r="J10" s="42" t="str">
        <f t="shared" si="3"/>
        <v>OK케시백</v>
      </c>
      <c r="K10" s="44"/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M11" s="38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49"/>
    </row>
    <row r="12" spans="3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/>
      <c r="M12" s="38"/>
      <c r="N12" s="51" t="str">
        <f t="shared" si="4"/>
        <v>-</v>
      </c>
      <c r="O12" s="52">
        <f>SUM(O11*-35)</f>
        <v>0</v>
      </c>
      <c r="P12" s="51" t="str">
        <f t="shared" si="5"/>
        <v>모바일</v>
      </c>
      <c r="Q12" s="53">
        <f>SUM(F11+K11+F24+K24+F42+K42)</f>
        <v>0</v>
      </c>
      <c r="R12" s="40"/>
    </row>
    <row r="13" spans="3:25" ht="16.5" customHeight="1" thickBot="1">
      <c r="C13" s="59" t="s">
        <v>33</v>
      </c>
      <c r="D13" s="60">
        <f>SUM((D4-D5-D6-D7-D8-D9)*$I$1+D11)</f>
        <v>2069318.5759999999</v>
      </c>
      <c r="E13" s="59" t="s">
        <v>33</v>
      </c>
      <c r="F13" s="61">
        <f>SUM(F4:F12)</f>
        <v>2069762</v>
      </c>
      <c r="G13" s="62"/>
      <c r="H13" s="96" t="str">
        <f t="shared" si="2"/>
        <v>합계</v>
      </c>
      <c r="I13" s="60">
        <f>SUM((I4-I5-I6-I7-I8-I9)*$I$1+I11)</f>
        <v>4861294.8159999996</v>
      </c>
      <c r="J13" s="29" t="str">
        <f t="shared" si="3"/>
        <v>합계</v>
      </c>
      <c r="K13" s="61">
        <f>IF(K8=0,0,SUM(K4:K12)-F8)</f>
        <v>4860501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443.42400000011548</v>
      </c>
      <c r="K14" s="67">
        <f>SUM(K13-I13)</f>
        <v>-793.81599999964237</v>
      </c>
      <c r="N14" s="39" t="str">
        <f t="shared" si="4"/>
        <v>합계</v>
      </c>
      <c r="O14" s="68">
        <f>SUM((O5-O6-O7-O8-O9-O10)*+$I$1+O12)</f>
        <v>10002998.224000001</v>
      </c>
      <c r="P14" s="39" t="str">
        <f t="shared" si="5"/>
        <v>합계</v>
      </c>
      <c r="Q14" s="69">
        <f>SUM(Q5:Q13)</f>
        <v>10003612</v>
      </c>
    </row>
    <row r="15" spans="3:25" ht="16.5" customHeight="1" thickBot="1">
      <c r="C15" s="27">
        <v>3</v>
      </c>
      <c r="H15" s="27">
        <v>4</v>
      </c>
      <c r="Q15" s="70">
        <f>SUM(F14+K14+F27+K27)</f>
        <v>613.77600000053644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2762.9360000000001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105000</v>
      </c>
      <c r="H18" s="98" t="str">
        <f>+C5</f>
        <v>법인전표</v>
      </c>
      <c r="I18" s="43"/>
      <c r="J18" s="42" t="str">
        <f>+E5</f>
        <v>고액권</v>
      </c>
      <c r="K18" s="44"/>
      <c r="N18" s="114" t="s">
        <v>34</v>
      </c>
      <c r="O18" s="127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/>
      <c r="E19" s="42" t="str">
        <f t="shared" ref="E19:E26" si="8">+E6</f>
        <v>천원권</v>
      </c>
      <c r="F19" s="44">
        <v>1000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8" t="s">
        <v>37</v>
      </c>
      <c r="O19" s="119"/>
      <c r="P19" s="73"/>
      <c r="Q19" s="48">
        <f>SUM(P19*1000)</f>
        <v>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서울페이</v>
      </c>
      <c r="F20" s="44"/>
      <c r="H20" s="98" t="str">
        <f t="shared" si="9"/>
        <v>효신(업)</v>
      </c>
      <c r="I20" s="50"/>
      <c r="J20" s="42" t="str">
        <f t="shared" si="10"/>
        <v>서울페이</v>
      </c>
      <c r="K20" s="44"/>
      <c r="N20" s="124" t="s">
        <v>38</v>
      </c>
      <c r="O20" s="125"/>
      <c r="P20" s="74"/>
      <c r="Q20" s="53">
        <f>SUM(P20*1000)</f>
        <v>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9624612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4" t="s">
        <v>48</v>
      </c>
      <c r="O21" s="125"/>
      <c r="P21" s="74"/>
      <c r="Q21" s="53"/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6" t="s">
        <v>53</v>
      </c>
      <c r="O22" s="121"/>
      <c r="P22" s="74"/>
      <c r="Q22" s="53">
        <f>SUM(P22*1000)</f>
        <v>0</v>
      </c>
      <c r="R22" s="32"/>
      <c r="S22" s="32"/>
    </row>
    <row r="23" spans="3:19" ht="16.5" customHeight="1">
      <c r="C23" s="98" t="str">
        <f t="shared" si="7"/>
        <v>고객우대</v>
      </c>
      <c r="D23" s="50"/>
      <c r="E23" s="42" t="str">
        <f t="shared" si="8"/>
        <v>OK케시백</v>
      </c>
      <c r="F23" s="44"/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20" t="s">
        <v>58</v>
      </c>
      <c r="O23" s="121"/>
      <c r="P23" s="74"/>
      <c r="Q23" s="53">
        <f>SUM(P23*1000)</f>
        <v>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0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20" t="s">
        <v>52</v>
      </c>
      <c r="O24" s="121"/>
      <c r="P24" s="74"/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2" t="s">
        <v>39</v>
      </c>
      <c r="O25" s="123"/>
      <c r="P25" s="75">
        <f>+P26-SUM(P19:P24)</f>
        <v>0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3072384.8319999999</v>
      </c>
      <c r="E26" s="29" t="str">
        <f t="shared" si="8"/>
        <v>합계</v>
      </c>
      <c r="F26" s="61">
        <f>IF(F21=0,0,SUM(F17:F25)-K8)</f>
        <v>3073349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4" t="s">
        <v>40</v>
      </c>
      <c r="O26" s="115"/>
      <c r="P26" s="77"/>
      <c r="Q26" s="69">
        <f>SUM(Q19:Q25)</f>
        <v>0</v>
      </c>
      <c r="R26" s="32"/>
      <c r="S26" s="32"/>
    </row>
    <row r="27" spans="3:19" ht="15.75" customHeight="1" thickBot="1">
      <c r="F27" s="67">
        <f>SUM(F26-D26)</f>
        <v>964.16800000006333</v>
      </c>
      <c r="K27" s="67">
        <f>SUM(K26-I26)</f>
        <v>0</v>
      </c>
    </row>
    <row r="28" spans="3:19" ht="23.25" customHeight="1">
      <c r="F28" s="67"/>
      <c r="K28" s="67"/>
      <c r="N28" s="112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3"/>
      <c r="O29" s="106">
        <v>12801</v>
      </c>
      <c r="P29" s="107">
        <v>12801</v>
      </c>
      <c r="Q29" s="108">
        <f>P29-O29</f>
        <v>0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1112</v>
      </c>
      <c r="F1" s="1"/>
      <c r="G1" s="1"/>
      <c r="H1" s="1"/>
      <c r="I1" s="1"/>
      <c r="J1" s="1"/>
      <c r="K1" s="1"/>
      <c r="L1" s="22">
        <f>+ROUND(+O5*0.584/1000,3)</f>
        <v>11.772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9.7420000000000009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97.420000000000016</v>
      </c>
      <c r="M3" s="18" t="s">
        <v>10</v>
      </c>
      <c r="N3" s="3"/>
      <c r="O3" s="3"/>
      <c r="P3" s="129" t="str">
        <f>+'(1)'!C1&amp;"년"&amp;'(1)'!E1&amp;"월"&amp;C1&amp;"일"</f>
        <v>2022년2월10일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11996.069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8160.9989999999998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33088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335000</v>
      </c>
      <c r="L5" s="2"/>
      <c r="M5" s="20"/>
      <c r="N5" s="45" t="str">
        <f>+C4</f>
        <v>판매량</v>
      </c>
      <c r="O5" s="46">
        <f>SUM(D4+I4+D17+I17+D35+I35)</f>
        <v>20157.067999999999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411.02600000000001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15.058999999999999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635000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426.08500000000004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12463345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21183019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21183019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55000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55000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48430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12882567.816</v>
      </c>
      <c r="E13" s="29" t="str">
        <f>+'(1)'!E13</f>
        <v>합계</v>
      </c>
      <c r="F13" s="61">
        <f>SUM(F4:F12)</f>
        <v>12882775</v>
      </c>
      <c r="G13" s="62"/>
      <c r="H13" s="29" t="str">
        <f t="shared" si="2"/>
        <v>합계</v>
      </c>
      <c r="I13" s="60">
        <f>SUM((I4-I5-I6-I7-I8-I9)*$E$1+I11)</f>
        <v>9058285.2799999993</v>
      </c>
      <c r="J13" s="29" t="str">
        <f t="shared" si="3"/>
        <v>합계</v>
      </c>
      <c r="K13" s="61">
        <f>IF(K8=0,0,SUM(K4:K12)-F8)</f>
        <v>9058674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48430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207.18400000035763</v>
      </c>
      <c r="G14" s="27"/>
      <c r="H14" s="27"/>
      <c r="I14" s="27"/>
      <c r="J14" s="27"/>
      <c r="K14" s="67">
        <f>SUM(K13-I13)</f>
        <v>388.72000000067055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21940853.096000001</v>
      </c>
      <c r="P14" s="39" t="str">
        <f t="shared" si="5"/>
        <v>합계</v>
      </c>
      <c r="Q14" s="69">
        <f>SUM(Q5:Q13)</f>
        <v>21941449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595.90400000102818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16</v>
      </c>
      <c r="Q20" s="53">
        <f>SUM(P20*1000)</f>
        <v>16000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10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213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12840</v>
      </c>
      <c r="P29" s="107">
        <v>12846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1112</v>
      </c>
      <c r="F1" s="1"/>
      <c r="G1" s="1"/>
      <c r="H1" s="1"/>
      <c r="I1" s="1"/>
      <c r="J1" s="1"/>
      <c r="K1" s="1"/>
      <c r="L1" s="22">
        <f>+ROUND(+O5*0.584/1000,3)</f>
        <v>12.093999999999999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9.9559999999999995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109.51599999999999</v>
      </c>
      <c r="M3" s="18" t="s">
        <v>10</v>
      </c>
      <c r="N3" s="3"/>
      <c r="O3" s="3"/>
      <c r="P3" s="129" t="str">
        <f>+'(1)'!C1&amp;"년"&amp;'(1)'!E1&amp;"월"&amp;C1&amp;"일"</f>
        <v>2022년2월11일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12777.383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7930.7860000000001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48211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405000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20708.169000000002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396.84399999999999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52.874000000000002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745000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449.71800000000002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13245398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21663658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21663658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369.75</v>
      </c>
      <c r="E10" s="42" t="str">
        <f>+'(1)'!E10</f>
        <v>OK케시백</v>
      </c>
      <c r="F10" s="44">
        <v>32831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-12941.25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369.75</v>
      </c>
      <c r="P11" s="51" t="str">
        <f t="shared" si="5"/>
        <v>OK케시백</v>
      </c>
      <c r="Q11" s="53">
        <f>SUM(F10+K10+F23+K23+F41+K41)</f>
        <v>32831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61888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-12941.25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13754218.118000001</v>
      </c>
      <c r="E13" s="29" t="str">
        <f>+'(1)'!E13</f>
        <v>합계</v>
      </c>
      <c r="F13" s="61">
        <f>SUM(F4:F12)</f>
        <v>13759117</v>
      </c>
      <c r="G13" s="62"/>
      <c r="H13" s="29" t="str">
        <f t="shared" si="2"/>
        <v>합계</v>
      </c>
      <c r="I13" s="60">
        <f>SUM((I4-I5-I6-I7-I8-I9)*$E$1+I11)</f>
        <v>8760238.1439999994</v>
      </c>
      <c r="J13" s="29" t="str">
        <f t="shared" si="3"/>
        <v>합계</v>
      </c>
      <c r="K13" s="61">
        <f>IF(K8=0,0,SUM(K4:K12)-F8)</f>
        <v>8759260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61888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4898.8819999992847</v>
      </c>
      <c r="G14" s="27"/>
      <c r="H14" s="27"/>
      <c r="I14" s="27"/>
      <c r="J14" s="27"/>
      <c r="K14" s="67">
        <f>SUM(K13-I13)</f>
        <v>-978.14399999938905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22514456.262000002</v>
      </c>
      <c r="P14" s="39" t="str">
        <f t="shared" si="5"/>
        <v>합계</v>
      </c>
      <c r="Q14" s="69">
        <f>SUM(Q5:Q13)</f>
        <v>22518377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3920.7379999998957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23</v>
      </c>
      <c r="Q20" s="53">
        <f>SUM(P20*1000)</f>
        <v>23000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129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201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12846</v>
      </c>
      <c r="P29" s="107">
        <v>12853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12" sqref="F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1112</v>
      </c>
      <c r="F1" s="1"/>
      <c r="G1" s="1"/>
      <c r="H1" s="1"/>
      <c r="I1" s="1"/>
      <c r="J1" s="1"/>
      <c r="K1" s="1"/>
      <c r="L1" s="22">
        <f>+ROUND(+O5*0.584/1000,3)</f>
        <v>10.602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10.01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120.12</v>
      </c>
      <c r="M3" s="18" t="s">
        <v>10</v>
      </c>
      <c r="N3" s="3"/>
      <c r="O3" s="3"/>
      <c r="P3" s="129" t="str">
        <f>+'(1)'!C1&amp;"년"&amp;'(1)'!E1&amp;"월"&amp;C1&amp;"일"</f>
        <v>2022년2월12일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11567.603999999999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6586.9830000000002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30472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18154.587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214.108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540000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214.108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12265878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19344935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20000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19344935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262.07400000000001</v>
      </c>
      <c r="E10" s="42" t="str">
        <f>+'(1)'!E10</f>
        <v>OK케시백</v>
      </c>
      <c r="F10" s="44">
        <v>15000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20000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-9172.59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262.07400000000001</v>
      </c>
      <c r="P11" s="51" t="str">
        <f t="shared" si="5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-9172.59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12615914.961999999</v>
      </c>
      <c r="E13" s="29" t="str">
        <f>+'(1)'!E13</f>
        <v>합계</v>
      </c>
      <c r="F13" s="61">
        <f>SUM(F4:F12)</f>
        <v>12610878</v>
      </c>
      <c r="G13" s="62"/>
      <c r="H13" s="29" t="str">
        <f t="shared" si="2"/>
        <v>합계</v>
      </c>
      <c r="I13" s="60">
        <f>SUM((I4-I5-I6-I7-I8-I9)*$E$1+I11)</f>
        <v>7324725.0959999999</v>
      </c>
      <c r="J13" s="29" t="str">
        <f t="shared" si="3"/>
        <v>합계</v>
      </c>
      <c r="K13" s="61">
        <f>IF(K8=0,0,SUM(K4:K12)-F8)</f>
        <v>7325057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-5036.9619999993593</v>
      </c>
      <c r="G14" s="27"/>
      <c r="H14" s="27"/>
      <c r="I14" s="27"/>
      <c r="J14" s="27"/>
      <c r="K14" s="67">
        <f>SUM(K13-I13)</f>
        <v>331.90400000009686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19940640.057999998</v>
      </c>
      <c r="P14" s="39" t="str">
        <f t="shared" si="5"/>
        <v>합계</v>
      </c>
      <c r="Q14" s="69">
        <f>SUM(Q5:Q13)</f>
        <v>19935935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-4705.0579999992624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16</v>
      </c>
      <c r="Q20" s="53">
        <f>SUM(P20*1000)</f>
        <v>16000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145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216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12853</v>
      </c>
      <c r="P29" s="107">
        <v>12859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17" sqref="P1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1112</v>
      </c>
      <c r="F1" s="1"/>
      <c r="G1" s="1"/>
      <c r="H1" s="1"/>
      <c r="I1" s="1"/>
      <c r="J1" s="1"/>
      <c r="K1" s="1"/>
      <c r="L1" s="22">
        <f>+ROUND(+O5*0.584/1000,3)</f>
        <v>6.7850000000000001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9.7620000000000005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126.90600000000001</v>
      </c>
      <c r="M3" s="18" t="s">
        <v>10</v>
      </c>
      <c r="N3" s="3"/>
      <c r="O3" s="3"/>
      <c r="P3" s="129" t="str">
        <f>+'(1)'!C1&amp;"년"&amp;'(1)'!E1&amp;"월"&amp;C1&amp;"일"</f>
        <v>2022년2월13일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7127.1030000000001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4490.8490000000002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18128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11617.952000000001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5000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7628904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12382597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12382597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113058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7925338.5360000003</v>
      </c>
      <c r="E13" s="29" t="str">
        <f>+'(1)'!E13</f>
        <v>합계</v>
      </c>
      <c r="F13" s="61">
        <f>SUM(F4:F12)</f>
        <v>7924962</v>
      </c>
      <c r="G13" s="62"/>
      <c r="H13" s="29" t="str">
        <f t="shared" si="2"/>
        <v>합계</v>
      </c>
      <c r="I13" s="60">
        <f>SUM((I4-I5-I6-I7-I8-I9)*$E$1+I11)</f>
        <v>4993824.0880000005</v>
      </c>
      <c r="J13" s="29" t="str">
        <f t="shared" si="3"/>
        <v>합계</v>
      </c>
      <c r="K13" s="61">
        <f>IF(K8=0,0,SUM(K4:K12)-F8)</f>
        <v>4993693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113058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-376.53600000031292</v>
      </c>
      <c r="G14" s="27"/>
      <c r="H14" s="27"/>
      <c r="I14" s="27"/>
      <c r="J14" s="27"/>
      <c r="K14" s="67">
        <f>SUM(K13-I13)</f>
        <v>-131.08800000045449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12919162.624000002</v>
      </c>
      <c r="P14" s="39" t="str">
        <f t="shared" si="5"/>
        <v>합계</v>
      </c>
      <c r="Q14" s="69">
        <f>SUM(Q5:Q13)</f>
        <v>12918655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-507.62400000076741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4</v>
      </c>
      <c r="Q23" s="53">
        <f>SUM(P23*1000)</f>
        <v>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105</v>
      </c>
      <c r="Q26" s="69">
        <f>SUM(Q19:Q25)</f>
        <v>34000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12859</v>
      </c>
      <c r="P29" s="107">
        <v>12865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1112</v>
      </c>
      <c r="F1" s="1"/>
      <c r="G1" s="1"/>
      <c r="H1" s="1"/>
      <c r="I1" s="1"/>
      <c r="J1" s="1"/>
      <c r="K1" s="1"/>
      <c r="L1" s="22">
        <f>+ROUND(+O5*0.584/1000,3)</f>
        <v>10.765000000000001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9.8339999999999996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137.67599999999999</v>
      </c>
      <c r="M3" s="18" t="s">
        <v>10</v>
      </c>
      <c r="N3" s="3"/>
      <c r="O3" s="3"/>
      <c r="P3" s="129" t="str">
        <f>+'(1)'!C1&amp;"년"&amp;'(1)'!E1&amp;"월"&amp;C1&amp;"일"</f>
        <v>2022년2월14일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11516.332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6916.0360000000001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36287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300000</v>
      </c>
      <c r="L5" s="2"/>
      <c r="M5" s="20"/>
      <c r="N5" s="45" t="str">
        <f>+C4</f>
        <v>판매량</v>
      </c>
      <c r="O5" s="46">
        <f>SUM(D4+I4+D17+I17+D35+I35)</f>
        <v>18432.368000000002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363.30599999999998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24.628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765000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387.93399999999997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11917745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19280166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19280166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161.55799999999999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>
        <v>57.969000000000001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-5654.53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-2028.915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219.52699999999999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-7683.4449999999997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12396510.382000001</v>
      </c>
      <c r="E13" s="29" t="str">
        <f>+'(1)'!E13</f>
        <v>합계</v>
      </c>
      <c r="F13" s="61">
        <f>SUM(F4:F12)</f>
        <v>12395745</v>
      </c>
      <c r="G13" s="62"/>
      <c r="H13" s="29" t="str">
        <f t="shared" si="2"/>
        <v>합계</v>
      </c>
      <c r="I13" s="60">
        <f>SUM((I4-I5-I6-I7-I8-I9)*$E$1+I11)</f>
        <v>7661216.7810000004</v>
      </c>
      <c r="J13" s="29" t="str">
        <f t="shared" si="3"/>
        <v>합계</v>
      </c>
      <c r="K13" s="61">
        <f>IF(K8=0,0,SUM(K4:K12)-F8)</f>
        <v>7662421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-765.38200000114739</v>
      </c>
      <c r="G14" s="27"/>
      <c r="H14" s="27"/>
      <c r="I14" s="27"/>
      <c r="J14" s="27"/>
      <c r="K14" s="67">
        <f>SUM(K13-I13)</f>
        <v>1204.2189999995753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20057727.163000003</v>
      </c>
      <c r="P14" s="39" t="str">
        <f t="shared" si="5"/>
        <v>합계</v>
      </c>
      <c r="Q14" s="69">
        <f>SUM(Q5:Q13)</f>
        <v>20058166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438.83699999842793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3</v>
      </c>
      <c r="Q20" s="53">
        <f>SUM(P20*1000)</f>
        <v>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3</v>
      </c>
      <c r="Q23" s="53">
        <f>SUM(P23*1000)</f>
        <v>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55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75</v>
      </c>
      <c r="Q26" s="69">
        <f>SUM(Q19:Q25)</f>
        <v>12000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12865</v>
      </c>
      <c r="P29" s="107">
        <v>12868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1112</v>
      </c>
      <c r="F1" s="1"/>
      <c r="G1" s="1"/>
      <c r="H1" s="1"/>
      <c r="I1" s="1"/>
      <c r="J1" s="1"/>
      <c r="K1" s="1"/>
      <c r="L1" s="22">
        <f>+ROUND(+O5*0.584/1000,3)</f>
        <v>12.144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9.9879999999999995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149.82</v>
      </c>
      <c r="M3" s="18" t="s">
        <v>10</v>
      </c>
      <c r="N3" s="3"/>
      <c r="O3" s="3"/>
      <c r="P3" s="129" t="str">
        <f>+'(1)'!C1&amp;"년"&amp;'(1)'!E1&amp;"월"&amp;C1&amp;"일"</f>
        <v>2022년2월15일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13047.696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7747.598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14890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20795.294000000002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409.923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10.888999999999999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420.81200000000001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13579364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22049985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22049985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190.94399999999999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58.625999999999998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-6683.04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-2051.91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249.57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39981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-8734.9499999999989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14046520.536</v>
      </c>
      <c r="E13" s="29" t="str">
        <f>+'(1)'!E13</f>
        <v>합계</v>
      </c>
      <c r="F13" s="61">
        <f>SUM(F4:F12)</f>
        <v>13987345</v>
      </c>
      <c r="G13" s="62"/>
      <c r="H13" s="29" t="str">
        <f t="shared" si="2"/>
        <v>합계</v>
      </c>
      <c r="I13" s="60">
        <f>SUM((I4-I5-I6-I7-I8-I9)*$E$1+I11)</f>
        <v>8601168.4979999997</v>
      </c>
      <c r="J13" s="29" t="str">
        <f t="shared" si="3"/>
        <v>합계</v>
      </c>
      <c r="K13" s="61">
        <f>IF(K8=0,0,SUM(K4:K12)-F8)</f>
        <v>8600621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39981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-59175.536000000313</v>
      </c>
      <c r="G14" s="27"/>
      <c r="H14" s="27"/>
      <c r="I14" s="27"/>
      <c r="J14" s="27"/>
      <c r="K14" s="67">
        <f>SUM(K13-I13)</f>
        <v>-547.49799999967217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22647689.034000002</v>
      </c>
      <c r="P14" s="39" t="str">
        <f t="shared" si="5"/>
        <v>합계</v>
      </c>
      <c r="Q14" s="69">
        <f>SUM(Q5:Q13)</f>
        <v>22587966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-59723.033999999985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29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28</v>
      </c>
      <c r="Q23" s="53">
        <f>SUM(P23*1000)</f>
        <v>28000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209</v>
      </c>
      <c r="Q26" s="69">
        <f>SUM(Q19:Q25)</f>
        <v>86000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12868</v>
      </c>
      <c r="P29" s="107">
        <v>12872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1112</v>
      </c>
      <c r="F1" s="1"/>
      <c r="G1" s="1"/>
      <c r="H1" s="1"/>
      <c r="I1" s="1"/>
      <c r="J1" s="1"/>
      <c r="K1" s="1"/>
      <c r="L1" s="22">
        <f>+ROUND(+O5*0.584/1000,3)</f>
        <v>12.204000000000001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10.127000000000001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162.03200000000001</v>
      </c>
      <c r="M3" s="18" t="s">
        <v>10</v>
      </c>
      <c r="N3" s="3"/>
      <c r="O3" s="3"/>
      <c r="P3" s="129" t="str">
        <f>+'(1)'!C1&amp;"년"&amp;'(1)'!E1&amp;"월"&amp;C1&amp;"일"</f>
        <v>2022년2월16일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12992.869000000001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7904.8729999999996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30336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2"/>
      <c r="M5" s="20"/>
      <c r="N5" s="45" t="str">
        <f>+C4</f>
        <v>판매량</v>
      </c>
      <c r="O5" s="46">
        <f>SUM(D4+I4+D17+I17+D35+I35)</f>
        <v>20897.741999999998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386.09699999999998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12.224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765000</v>
      </c>
      <c r="R6" s="7">
        <v>2.7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398.32099999999997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13508536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21988324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21988324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350.43599999999998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45.454000000000001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-12265.259999999998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-1590.89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395.89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-13856.15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14006465.204000002</v>
      </c>
      <c r="E13" s="29" t="str">
        <f>+'(1)'!E13</f>
        <v>합계</v>
      </c>
      <c r="F13" s="61">
        <f>SUM(F4:F12)</f>
        <v>14006536</v>
      </c>
      <c r="G13" s="62"/>
      <c r="H13" s="29" t="str">
        <f t="shared" si="2"/>
        <v>합계</v>
      </c>
      <c r="I13" s="60">
        <f>SUM((I4-I5-I6-I7-I8-I9)*$E$1+I11)</f>
        <v>8775034.7979999986</v>
      </c>
      <c r="J13" s="29" t="str">
        <f t="shared" si="3"/>
        <v>합계</v>
      </c>
      <c r="K13" s="61">
        <f>IF(K8=0,0,SUM(K4:K12)-F8)</f>
        <v>8773788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70.795999998226762</v>
      </c>
      <c r="G14" s="27"/>
      <c r="H14" s="27"/>
      <c r="I14" s="27"/>
      <c r="J14" s="27"/>
      <c r="K14" s="67">
        <f>SUM(K13-I13)</f>
        <v>-1246.7979999985546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22781500.002</v>
      </c>
      <c r="P14" s="39" t="str">
        <f t="shared" si="5"/>
        <v>합계</v>
      </c>
      <c r="Q14" s="69">
        <f>SUM(Q5:Q13)</f>
        <v>22780324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-1176.0020000003278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40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75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12872</v>
      </c>
      <c r="P29" s="107">
        <v>12876</v>
      </c>
      <c r="Q29" s="108">
        <f>P29-O29</f>
        <v>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G12" sqref="G1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1112</v>
      </c>
      <c r="F1" s="1"/>
      <c r="G1" s="1"/>
      <c r="H1" s="1"/>
      <c r="I1" s="1"/>
      <c r="J1" s="1"/>
      <c r="K1" s="1"/>
      <c r="L1" s="22">
        <f>+ROUND(+O5*0.584/1000,3)</f>
        <v>12.179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10.247999999999999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174.21599999999998</v>
      </c>
      <c r="M3" s="18" t="s">
        <v>10</v>
      </c>
      <c r="N3" s="3"/>
      <c r="O3" s="3"/>
      <c r="P3" s="129" t="str">
        <f>+'(1)'!C1&amp;"년"&amp;'(1)'!E1&amp;"월"&amp;C1&amp;"일"</f>
        <v>2022년2월17일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13449.475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7404.17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45170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20853.645</v>
      </c>
      <c r="P5" s="47" t="str">
        <f>+E4</f>
        <v>입금액</v>
      </c>
      <c r="Q5" s="48">
        <f>SUM(F4+K4+F17+K17+F35+K35)</f>
        <v>0</v>
      </c>
      <c r="R5" s="7">
        <v>9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400.15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56.57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456.71999999999997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14063059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21929149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60000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21929149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296.29700000000003</v>
      </c>
      <c r="E10" s="42" t="str">
        <f>+'(1)'!E10</f>
        <v>OK케시백</v>
      </c>
      <c r="F10" s="44">
        <v>52000</v>
      </c>
      <c r="G10" s="27"/>
      <c r="H10" s="42" t="str">
        <f t="shared" si="2"/>
        <v>고객우대</v>
      </c>
      <c r="I10" s="50">
        <v>58.289000000000001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60000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-10370.395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-2040.115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354.58600000000001</v>
      </c>
      <c r="P11" s="51" t="str">
        <f t="shared" si="5"/>
        <v>OK케시백</v>
      </c>
      <c r="Q11" s="53">
        <f>SUM(F10+K10+F23+K23+F41+K41)</f>
        <v>52000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47261</v>
      </c>
      <c r="L12" s="2"/>
      <c r="M12" s="20"/>
      <c r="N12" s="51" t="str">
        <f t="shared" si="4"/>
        <v>-</v>
      </c>
      <c r="O12" s="55">
        <f>SUM(O11*-35)</f>
        <v>-12410.51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14500479.005000001</v>
      </c>
      <c r="E13" s="29" t="str">
        <f>+'(1)'!E13</f>
        <v>합계</v>
      </c>
      <c r="F13" s="61">
        <f>SUM(F4:F12)</f>
        <v>14501059</v>
      </c>
      <c r="G13" s="62"/>
      <c r="H13" s="29" t="str">
        <f t="shared" si="2"/>
        <v>합계</v>
      </c>
      <c r="I13" s="60">
        <f>SUM((I4-I5-I6-I7-I8-I9)*$E$1+I11)</f>
        <v>8168491.085</v>
      </c>
      <c r="J13" s="29" t="str">
        <f t="shared" si="3"/>
        <v>합계</v>
      </c>
      <c r="K13" s="61">
        <f>IF(K8=0,0,SUM(K4:K12)-F8)</f>
        <v>8167351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47261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579.99499999918044</v>
      </c>
      <c r="G14" s="27"/>
      <c r="H14" s="27"/>
      <c r="I14" s="27"/>
      <c r="J14" s="27"/>
      <c r="K14" s="67">
        <f>SUM(K13-I13)</f>
        <v>-1140.0849999999627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22668970.089999996</v>
      </c>
      <c r="P14" s="39" t="str">
        <f t="shared" si="5"/>
        <v>합계</v>
      </c>
      <c r="Q14" s="69">
        <f>SUM(Q5:Q13)</f>
        <v>22668410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-560.09000000078231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16</v>
      </c>
      <c r="Q20" s="53">
        <f>SUM(P20*1000)</f>
        <v>16000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126</v>
      </c>
      <c r="Q26" s="69">
        <f>SUM(Q19:Q25)</f>
        <v>43000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12876</v>
      </c>
      <c r="P29" s="107">
        <v>12881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1112</v>
      </c>
      <c r="F1" s="1"/>
      <c r="G1" s="1"/>
      <c r="H1" s="1"/>
      <c r="I1" s="1"/>
      <c r="J1" s="1"/>
      <c r="K1" s="1"/>
      <c r="L1" s="22">
        <f>+ROUND(+O5*0.584/1000,3)</f>
        <v>12.44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10.37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186.66</v>
      </c>
      <c r="M3" s="18" t="s">
        <v>10</v>
      </c>
      <c r="N3" s="3"/>
      <c r="O3" s="3"/>
      <c r="P3" s="129" t="str">
        <f>+'(1)'!C1&amp;"년"&amp;'(1)'!E1&amp;"월"&amp;C1&amp;"일"</f>
        <v>2022년2월18일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13778.861999999999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7522.5349999999999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24426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370000</v>
      </c>
      <c r="L5" s="2"/>
      <c r="M5" s="20"/>
      <c r="N5" s="45" t="str">
        <f>+C4</f>
        <v>판매량</v>
      </c>
      <c r="O5" s="46">
        <f>SUM(D4+I4+D17+I17+D35+I35)</f>
        <v>21301.396999999997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334.57499999999999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45.753999999999998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110" t="str">
        <f>+'(1)'!E7</f>
        <v>서울페이</v>
      </c>
      <c r="F7" s="44">
        <v>30000</v>
      </c>
      <c r="G7" s="27"/>
      <c r="H7" s="87" t="str">
        <f t="shared" si="2"/>
        <v>효신(업)</v>
      </c>
      <c r="I7" s="50"/>
      <c r="J7" s="110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380.32900000000001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14662805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22593517</v>
      </c>
      <c r="L8" s="130" t="s">
        <v>63</v>
      </c>
      <c r="M8" s="131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30000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130"/>
      <c r="M9" s="131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22593517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175.001</v>
      </c>
      <c r="E10" s="42" t="str">
        <f>+'(1)'!E10</f>
        <v>OK케시백</v>
      </c>
      <c r="F10" s="44">
        <v>53000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132" t="s">
        <v>64</v>
      </c>
      <c r="M10" s="133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111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-6125.0349999999999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134"/>
      <c r="M11" s="133"/>
      <c r="N11" s="51" t="str">
        <f t="shared" si="4"/>
        <v>고객우대</v>
      </c>
      <c r="O11" s="54">
        <f>SUM(D10+I10+D23+I23+D41+I41)</f>
        <v>175.001</v>
      </c>
      <c r="P11" s="51" t="str">
        <f t="shared" si="5"/>
        <v>OK케시백</v>
      </c>
      <c r="Q11" s="53">
        <f>SUM(F10+K10+F23+K23+F41+K41)</f>
        <v>53000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135"/>
      <c r="M12" s="136"/>
      <c r="N12" s="51" t="str">
        <f t="shared" si="4"/>
        <v>-</v>
      </c>
      <c r="O12" s="55">
        <f>SUM(O11*-35)</f>
        <v>-6125.0349999999999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14943922.108999997</v>
      </c>
      <c r="E13" s="29" t="str">
        <f>+'(1)'!E13</f>
        <v>합계</v>
      </c>
      <c r="F13" s="61">
        <f>SUM(F4:F12)</f>
        <v>14944805</v>
      </c>
      <c r="G13" s="62"/>
      <c r="H13" s="29" t="str">
        <f t="shared" si="2"/>
        <v>합계</v>
      </c>
      <c r="I13" s="60">
        <f>SUM((I4-I5-I6-I7-I8-I9)*$E$1+I11)</f>
        <v>8314180.4720000001</v>
      </c>
      <c r="J13" s="29" t="str">
        <f t="shared" si="3"/>
        <v>합계</v>
      </c>
      <c r="K13" s="61">
        <f>IF(K8=0,0,SUM(K4:K12)-F8)</f>
        <v>8313712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882.8910000026226</v>
      </c>
      <c r="G14" s="27"/>
      <c r="H14" s="27"/>
      <c r="I14" s="27"/>
      <c r="J14" s="27"/>
      <c r="K14" s="67">
        <f>SUM(K13-I13)</f>
        <v>-468.47200000006706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23258102.580999997</v>
      </c>
      <c r="P14" s="39" t="str">
        <f t="shared" si="5"/>
        <v>합계</v>
      </c>
      <c r="Q14" s="69">
        <f>SUM(Q5:Q13)</f>
        <v>23258517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414.41900000255555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28</v>
      </c>
      <c r="Q20" s="53">
        <f>SUM(P20*1000)</f>
        <v>28000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9</v>
      </c>
      <c r="Q22" s="53">
        <f>SUM(P22*1000)</f>
        <v>9000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14</v>
      </c>
      <c r="Q23" s="53">
        <f>SUM(P23*1000)</f>
        <v>14000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129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219</v>
      </c>
      <c r="Q26" s="69">
        <f>SUM(Q19:Q25)</f>
        <v>65000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12881</v>
      </c>
      <c r="P29" s="107">
        <v>12890</v>
      </c>
      <c r="Q29" s="108">
        <f>P29-O29</f>
        <v>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5">
    <mergeCell ref="L8:M9"/>
    <mergeCell ref="L10:M11"/>
    <mergeCell ref="L12:M12"/>
    <mergeCell ref="N28:N29"/>
    <mergeCell ref="N21:O21"/>
    <mergeCell ref="N26:O26"/>
    <mergeCell ref="N22:O22"/>
    <mergeCell ref="N23:O23"/>
    <mergeCell ref="N24:O24"/>
    <mergeCell ref="N25:O25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1112</v>
      </c>
      <c r="F1" s="1"/>
      <c r="G1" s="1"/>
      <c r="H1" s="1"/>
      <c r="I1" s="1"/>
      <c r="J1" s="1"/>
      <c r="K1" s="1"/>
      <c r="L1" s="22">
        <f>+ROUND(+O5*0.584/1000,3)</f>
        <v>10.44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10.374000000000001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197.10600000000002</v>
      </c>
      <c r="M3" s="18" t="s">
        <v>10</v>
      </c>
      <c r="N3" s="3"/>
      <c r="O3" s="3"/>
      <c r="P3" s="129" t="str">
        <f>+'(1)'!C1&amp;"년"&amp;'(1)'!E1&amp;"월"&amp;C1&amp;"일"</f>
        <v>2022년2월19일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11212.776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6663.7640000000001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42548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335000</v>
      </c>
      <c r="L5" s="2"/>
      <c r="M5" s="20"/>
      <c r="N5" s="45" t="str">
        <f>+C4</f>
        <v>판매량</v>
      </c>
      <c r="O5" s="46">
        <f>SUM(D4+I4+D17+I17+D35+I35)</f>
        <v>17876.54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123.39400000000001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845000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123.39400000000001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11757840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18826637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18826637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90.632999999999996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-3172.1549999999997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90.632999999999996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50412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-3172.1549999999997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12328220.629000001</v>
      </c>
      <c r="E13" s="29" t="str">
        <f>+'(1)'!E13</f>
        <v>합계</v>
      </c>
      <c r="F13" s="61">
        <f>SUM(F4:F12)</f>
        <v>12327252</v>
      </c>
      <c r="G13" s="62"/>
      <c r="H13" s="29" t="str">
        <f t="shared" si="2"/>
        <v>합계</v>
      </c>
      <c r="I13" s="60">
        <f>SUM((I4-I5-I6-I7-I8-I9)*$E$1+I11)</f>
        <v>7410105.568</v>
      </c>
      <c r="J13" s="29" t="str">
        <f t="shared" si="3"/>
        <v>합계</v>
      </c>
      <c r="K13" s="61">
        <f>IF(K8=0,0,SUM(K4:K12)-F8)</f>
        <v>7410797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50412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-968.62900000065565</v>
      </c>
      <c r="G14" s="27"/>
      <c r="H14" s="27"/>
      <c r="I14" s="27"/>
      <c r="J14" s="27"/>
      <c r="K14" s="67">
        <f>SUM(K13-I13)</f>
        <v>691.4320000000298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19738326.197000001</v>
      </c>
      <c r="P14" s="39" t="str">
        <f t="shared" si="5"/>
        <v>합계</v>
      </c>
      <c r="Q14" s="69">
        <f>SUM(Q5:Q13)</f>
        <v>19738049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-277.19700000062585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114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166</v>
      </c>
      <c r="Q26" s="69">
        <f>SUM(Q19:Q25)</f>
        <v>41000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12890</v>
      </c>
      <c r="P29" s="107">
        <v>12898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28" sqref="R28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1112</v>
      </c>
      <c r="F1" s="27"/>
      <c r="G1" s="27"/>
      <c r="H1" s="27"/>
      <c r="I1" s="27"/>
      <c r="J1" s="27"/>
      <c r="K1" s="27"/>
      <c r="L1" s="31">
        <f>+ROUND(+O5*0.584/1000,3)</f>
        <v>5.9960000000000004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5.625</v>
      </c>
      <c r="M2" s="27" t="s">
        <v>7</v>
      </c>
      <c r="N2" s="117" t="s">
        <v>42</v>
      </c>
      <c r="O2" s="117"/>
      <c r="P2" s="117"/>
      <c r="Q2" s="117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11.25</v>
      </c>
      <c r="M3" s="27" t="s">
        <v>10</v>
      </c>
      <c r="N3" s="32"/>
      <c r="O3" s="32"/>
      <c r="P3" s="116" t="str">
        <f>+'(1)'!C1&amp;"년"&amp;'(1)'!E1&amp;"월"&amp;C1&amp;"일"</f>
        <v>2022년2월2일</v>
      </c>
      <c r="Q3" s="116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6217.884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4048.8890000000001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36467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290000</v>
      </c>
      <c r="L5" s="37"/>
      <c r="M5" s="86"/>
      <c r="N5" s="45" t="str">
        <f>+C4</f>
        <v>판매량</v>
      </c>
      <c r="O5" s="46">
        <f>SUM(D4+I4+D17+I17+D35+I35)</f>
        <v>10266.773000000001</v>
      </c>
      <c r="P5" s="47" t="str">
        <f>+E4</f>
        <v>입금액</v>
      </c>
      <c r="Q5" s="48">
        <f>SUM(F4+K4+F17+K17+F35+K35)</f>
        <v>0</v>
      </c>
      <c r="R5" s="49">
        <v>11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49">
        <v>1.7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6634422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10808979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10808979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62.52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44.965000000000003</v>
      </c>
      <c r="J10" s="42" t="str">
        <f t="shared" si="3"/>
        <v>OK케시백</v>
      </c>
      <c r="K10" s="44"/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-2188.2000000000003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-1573.7750000000001</v>
      </c>
      <c r="J11" s="42" t="str">
        <f t="shared" si="3"/>
        <v>모바일</v>
      </c>
      <c r="K11" s="44">
        <v>5000</v>
      </c>
      <c r="L11" s="37"/>
      <c r="M11" s="86"/>
      <c r="N11" s="51" t="str">
        <f t="shared" si="4"/>
        <v>고객우대</v>
      </c>
      <c r="O11" s="54">
        <f>SUM(D10+I10+D23+I23+D41+I41)</f>
        <v>107.48500000000001</v>
      </c>
      <c r="P11" s="51" t="str">
        <f t="shared" si="5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30000</v>
      </c>
      <c r="L12" s="37"/>
      <c r="M12" s="86"/>
      <c r="N12" s="51" t="str">
        <f t="shared" si="4"/>
        <v>-</v>
      </c>
      <c r="O12" s="52">
        <f>SUM(O11*-35)</f>
        <v>-3761.9750000000004</v>
      </c>
      <c r="P12" s="51" t="str">
        <f t="shared" si="5"/>
        <v>모바일</v>
      </c>
      <c r="Q12" s="53">
        <f>SUM(F11+K11+F24+K24+F42+K42)</f>
        <v>15000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6912098.8080000002</v>
      </c>
      <c r="E13" s="29" t="str">
        <f>+'(1)'!E13</f>
        <v>합계</v>
      </c>
      <c r="F13" s="61">
        <f>SUM(F4:F12)</f>
        <v>6911422</v>
      </c>
      <c r="G13" s="62"/>
      <c r="H13" s="29" t="str">
        <f t="shared" si="2"/>
        <v>합계</v>
      </c>
      <c r="I13" s="60">
        <f>SUM((I4-I5-I6-I7-I8-I9)*$E$1+I11)</f>
        <v>4500790.7929999996</v>
      </c>
      <c r="J13" s="29" t="str">
        <f t="shared" si="3"/>
        <v>합계</v>
      </c>
      <c r="K13" s="61">
        <f>IF(K8=0,0,SUM(K4:K12)-F8)</f>
        <v>4500557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-676.80800000019372</v>
      </c>
      <c r="G14" s="27"/>
      <c r="H14" s="27"/>
      <c r="I14" s="27"/>
      <c r="J14" s="27"/>
      <c r="K14" s="67">
        <f>SUM(K13-I13)</f>
        <v>-233.79299999959767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11412889.601000002</v>
      </c>
      <c r="P14" s="39" t="str">
        <f t="shared" si="5"/>
        <v>합계</v>
      </c>
      <c r="Q14" s="69">
        <f>SUM(Q5:Q13)</f>
        <v>11411979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-910.60099999979138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/>
      <c r="Q19" s="48"/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/>
      <c r="Q20" s="53"/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/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>
        <f>SUM(P22*1000)</f>
        <v>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/>
      <c r="Q23" s="53">
        <f>SUM(P23*1000)</f>
        <v>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>
        <v>0</v>
      </c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/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/>
      <c r="Q26" s="69">
        <f>SUM(Q19:Q25)</f>
        <v>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2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3"/>
      <c r="O29" s="106">
        <v>12801</v>
      </c>
      <c r="P29" s="107">
        <v>12801</v>
      </c>
      <c r="Q29" s="108">
        <f>P29-O29</f>
        <v>0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0" sqref="K1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1112</v>
      </c>
      <c r="F1" s="1"/>
      <c r="G1" s="1"/>
      <c r="H1" s="1"/>
      <c r="I1" s="1"/>
      <c r="J1" s="1"/>
      <c r="K1" s="1"/>
      <c r="L1" s="22">
        <f>+ROUND(+O5*0.584/1000,3)</f>
        <v>7.7409999999999997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10.242000000000001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204.84000000000003</v>
      </c>
      <c r="M3" s="18" t="s">
        <v>10</v>
      </c>
      <c r="N3" s="3"/>
      <c r="O3" s="3"/>
      <c r="P3" s="129" t="str">
        <f>+'(1)'!C1&amp;"년"&amp;'(1)'!E1&amp;"월"&amp;C1&amp;"일"</f>
        <v>2022년2월20일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8223.348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5032.3919999999998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29491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95000</v>
      </c>
      <c r="L5" s="2"/>
      <c r="M5" s="20"/>
      <c r="N5" s="45" t="str">
        <f>+C4</f>
        <v>판매량</v>
      </c>
      <c r="O5" s="46">
        <f>SUM(D4+I4+D17+I17+D35+I35)</f>
        <v>13255.74</v>
      </c>
      <c r="P5" s="47" t="str">
        <f>+E4</f>
        <v>입금액</v>
      </c>
      <c r="Q5" s="48">
        <f>SUM(F4+K4+F17+K17+F35+K35)</f>
        <v>0</v>
      </c>
      <c r="R5" s="7">
        <v>11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24.44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24.44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8698216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14199186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14199186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41606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41606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9117185.6959999986</v>
      </c>
      <c r="E13" s="29" t="str">
        <f>+'(1)'!E13</f>
        <v>합계</v>
      </c>
      <c r="F13" s="61">
        <f>SUM(F4:F12)</f>
        <v>9116822</v>
      </c>
      <c r="G13" s="62"/>
      <c r="H13" s="29" t="str">
        <f t="shared" si="2"/>
        <v>합계</v>
      </c>
      <c r="I13" s="60">
        <f>SUM((I4-I5-I6-I7-I8-I9)*$E$1+I11)</f>
        <v>5596019.9040000001</v>
      </c>
      <c r="J13" s="29" t="str">
        <f t="shared" si="3"/>
        <v>합계</v>
      </c>
      <c r="K13" s="61">
        <f>IF(K8=0,0,SUM(K4:K12)-F8)</f>
        <v>5595970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-363.69599999859929</v>
      </c>
      <c r="G14" s="27"/>
      <c r="H14" s="27"/>
      <c r="I14" s="27"/>
      <c r="J14" s="27"/>
      <c r="K14" s="67">
        <f>SUM(K13-I13)</f>
        <v>-49.904000000096858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14713205.6</v>
      </c>
      <c r="P14" s="39" t="str">
        <f t="shared" si="5"/>
        <v>합계</v>
      </c>
      <c r="Q14" s="69">
        <f>SUM(Q5:Q13)</f>
        <v>14712792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-413.59999999869615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36</v>
      </c>
      <c r="Q20" s="53">
        <f>SUM(P20*1000)</f>
        <v>36000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13</v>
      </c>
      <c r="Q23" s="53">
        <f>SUM(P23*1000)</f>
        <v>13000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148</v>
      </c>
      <c r="Q26" s="69">
        <f>SUM(Q19:Q25)</f>
        <v>66000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12898</v>
      </c>
      <c r="P29" s="107">
        <v>12905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1112</v>
      </c>
      <c r="F1" s="1"/>
      <c r="G1" s="1"/>
      <c r="H1" s="1"/>
      <c r="I1" s="1"/>
      <c r="J1" s="1"/>
      <c r="K1" s="1"/>
      <c r="L1" s="22">
        <f>+ROUND(+O5*0.584/1000,3)</f>
        <v>11.952999999999999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10.323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216.78300000000002</v>
      </c>
      <c r="M3" s="18" t="s">
        <v>10</v>
      </c>
      <c r="N3" s="3"/>
      <c r="O3" s="3"/>
      <c r="P3" s="129" t="str">
        <f>+'(1)'!C1&amp;"년"&amp;'(1)'!E1&amp;"월"&amp;C1&amp;"일"</f>
        <v>2022년2월21일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13367.483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7099.5730000000003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44818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20467.056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341.94400000000002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24.97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56783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366.91399999999999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13988971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21586576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56783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21586576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358.71800000000002</v>
      </c>
      <c r="E10" s="42" t="str">
        <f>+'(1)'!E10</f>
        <v>OK케시백</v>
      </c>
      <c r="F10" s="44">
        <v>54000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-12555.130000000001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358.71800000000002</v>
      </c>
      <c r="P11" s="51" t="str">
        <f t="shared" si="5"/>
        <v>OK케시백</v>
      </c>
      <c r="Q11" s="53">
        <f>SUM(F10+K10+F23+K23+F41+K41)</f>
        <v>54000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40313</v>
      </c>
      <c r="L12" s="2"/>
      <c r="M12" s="20"/>
      <c r="N12" s="51" t="str">
        <f t="shared" si="4"/>
        <v>-</v>
      </c>
      <c r="O12" s="55">
        <f>SUM(O11*-35)</f>
        <v>-12555.130000000001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14471844.238</v>
      </c>
      <c r="E13" s="29" t="str">
        <f>+'(1)'!E13</f>
        <v>합계</v>
      </c>
      <c r="F13" s="61">
        <f>SUM(F4:F12)</f>
        <v>14472754</v>
      </c>
      <c r="G13" s="62"/>
      <c r="H13" s="29" t="str">
        <f t="shared" si="2"/>
        <v>합계</v>
      </c>
      <c r="I13" s="60">
        <f>SUM((I4-I5-I6-I7-I8-I9)*$E$1+I11)</f>
        <v>7866958.5360000003</v>
      </c>
      <c r="J13" s="29" t="str">
        <f t="shared" si="3"/>
        <v>합계</v>
      </c>
      <c r="K13" s="61">
        <f>IF(K8=0,0,SUM(K4:K12)-F8)</f>
        <v>7866918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40313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909.76200000010431</v>
      </c>
      <c r="G14" s="27"/>
      <c r="H14" s="27"/>
      <c r="I14" s="27"/>
      <c r="J14" s="27"/>
      <c r="K14" s="67">
        <f>SUM(K13-I13)</f>
        <v>-40.536000000312924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22338802.774</v>
      </c>
      <c r="P14" s="39" t="str">
        <f t="shared" si="5"/>
        <v>합계</v>
      </c>
      <c r="Q14" s="69">
        <f>SUM(Q5:Q13)</f>
        <v>22339672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869.22599999979138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33</v>
      </c>
      <c r="Q19" s="48">
        <f>SUM(P19*1000)</f>
        <v>33000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54</v>
      </c>
      <c r="Q20" s="53">
        <f>SUM(P20*1000)</f>
        <v>54000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23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11</v>
      </c>
      <c r="Q22" s="53">
        <f>SUM(P22*1000)</f>
        <v>11000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239</v>
      </c>
      <c r="Q26" s="69">
        <f>SUM(Q19:Q25)</f>
        <v>120000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12905</v>
      </c>
      <c r="P29" s="107">
        <v>12916</v>
      </c>
      <c r="Q29" s="108">
        <f>P29-O29</f>
        <v>11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1112</v>
      </c>
      <c r="F1" s="1"/>
      <c r="G1" s="1"/>
      <c r="H1" s="1"/>
      <c r="I1" s="1"/>
      <c r="J1" s="1"/>
      <c r="K1" s="1"/>
      <c r="L1" s="22">
        <f>+ROUND(+O5*0.584/1000,3)</f>
        <v>12.324999999999999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10.414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229.108</v>
      </c>
      <c r="M3" s="18" t="s">
        <v>10</v>
      </c>
      <c r="N3" s="3"/>
      <c r="O3" s="3"/>
      <c r="P3" s="129" t="str">
        <f>+'(1)'!C1&amp;"년"&amp;'(1)'!E1&amp;"월"&amp;C1&amp;"일"</f>
        <v>2022년2월22일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13302.862999999999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7802.01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23491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120000</v>
      </c>
      <c r="L5" s="2"/>
      <c r="M5" s="20"/>
      <c r="N5" s="45" t="str">
        <f>+C4</f>
        <v>판매량</v>
      </c>
      <c r="O5" s="46">
        <f>SUM(D4+I4+D17+I17+D35+I35)</f>
        <v>21104.873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503.99200000000002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14.273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265000</v>
      </c>
      <c r="R6" s="7">
        <v>1.3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518.26499999999999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13968448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22505562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>
        <v>50000</v>
      </c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22505562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156.87700000000001</v>
      </c>
      <c r="E10" s="42" t="str">
        <f>+'(1)'!E10</f>
        <v>OK케시백</v>
      </c>
      <c r="F10" s="44">
        <v>12000</v>
      </c>
      <c r="G10" s="27"/>
      <c r="H10" s="42" t="str">
        <f t="shared" si="2"/>
        <v>고객우대</v>
      </c>
      <c r="I10" s="50">
        <v>55.731999999999999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-5490.6950000000006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-1950.62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212.60900000000001</v>
      </c>
      <c r="P11" s="51" t="str">
        <f t="shared" si="5"/>
        <v>OK케시백</v>
      </c>
      <c r="Q11" s="53">
        <f>SUM(F10+K10+F23+K23+F41+K41)</f>
        <v>12000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43470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-7441.3150000000005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14226853.856999999</v>
      </c>
      <c r="E13" s="29" t="str">
        <f>+'(1)'!E13</f>
        <v>합계</v>
      </c>
      <c r="F13" s="61">
        <f>SUM(F4:F12)</f>
        <v>14225918</v>
      </c>
      <c r="G13" s="62"/>
      <c r="H13" s="29" t="str">
        <f t="shared" si="2"/>
        <v>합계</v>
      </c>
      <c r="I13" s="60">
        <f>SUM((I4-I5-I6-I7-I8-I9)*$E$1+I11)</f>
        <v>8658012.9240000006</v>
      </c>
      <c r="J13" s="29" t="str">
        <f t="shared" si="3"/>
        <v>합계</v>
      </c>
      <c r="K13" s="61">
        <f>IF(K8=0,0,SUM(K4:K12)-F8)</f>
        <v>8658114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43470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-935.85699999891222</v>
      </c>
      <c r="G14" s="27"/>
      <c r="H14" s="27"/>
      <c r="I14" s="27"/>
      <c r="J14" s="27"/>
      <c r="K14" s="67">
        <f>SUM(K13-I13)</f>
        <v>101.07599999941885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22884866.780999999</v>
      </c>
      <c r="P14" s="39" t="str">
        <f t="shared" si="5"/>
        <v>합계</v>
      </c>
      <c r="Q14" s="69">
        <f>SUM(Q5:Q13)</f>
        <v>22884032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-834.78099999949336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6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142</v>
      </c>
      <c r="Q26" s="69">
        <f>SUM(Q19:Q25)</f>
        <v>46000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12916</v>
      </c>
      <c r="P29" s="107">
        <v>12923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30" sqref="P30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1112</v>
      </c>
      <c r="F1" s="1"/>
      <c r="G1" s="1"/>
      <c r="H1" s="1"/>
      <c r="I1" s="1"/>
      <c r="J1" s="1"/>
      <c r="K1" s="1"/>
      <c r="L1" s="22">
        <f>+ROUND(+O5*0.584/1000,3)</f>
        <v>11.867000000000001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10.477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240.971</v>
      </c>
      <c r="M3" s="18" t="s">
        <v>10</v>
      </c>
      <c r="N3" s="3"/>
      <c r="O3" s="3"/>
      <c r="P3" s="129" t="str">
        <f>+'(1)'!C1&amp;"년"&amp;'(1)'!E1&amp;"월"&amp;C1&amp;"일"</f>
        <v>2022년2월23일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12385.808999999999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7934.0280000000002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39269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380000</v>
      </c>
      <c r="L5" s="2"/>
      <c r="M5" s="20"/>
      <c r="N5" s="45" t="str">
        <f>+C4</f>
        <v>판매량</v>
      </c>
      <c r="O5" s="46">
        <f>SUM(D4+I4+D17+I17+D35+I35)</f>
        <v>20319.837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405.673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12.887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825000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418.56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12856646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21277089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21277089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120.819</v>
      </c>
      <c r="E10" s="42" t="str">
        <f>+'(1)'!E10</f>
        <v>OK케시백</v>
      </c>
      <c r="F10" s="44">
        <v>8000</v>
      </c>
      <c r="G10" s="27"/>
      <c r="H10" s="42" t="str">
        <f t="shared" si="2"/>
        <v>고객우대</v>
      </c>
      <c r="I10" s="50">
        <v>46.94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-4228.665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-1642.8999999999999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167.75900000000001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-5871.5650000000005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13317682.567</v>
      </c>
      <c r="E13" s="29" t="str">
        <f>+'(1)'!E13</f>
        <v>합계</v>
      </c>
      <c r="F13" s="61">
        <f>SUM(F4:F12)</f>
        <v>13317646</v>
      </c>
      <c r="G13" s="62"/>
      <c r="H13" s="29" t="str">
        <f t="shared" si="2"/>
        <v>합계</v>
      </c>
      <c r="I13" s="60">
        <f>SUM((I4-I5-I6-I7-I8-I9)*$E$1+I11)</f>
        <v>8806665.8920000009</v>
      </c>
      <c r="J13" s="29" t="str">
        <f t="shared" si="3"/>
        <v>합계</v>
      </c>
      <c r="K13" s="61">
        <f>IF(K8=0,0,SUM(K4:K12)-F8)</f>
        <v>8806443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-36.566999999806285</v>
      </c>
      <c r="G14" s="27"/>
      <c r="H14" s="27"/>
      <c r="I14" s="27"/>
      <c r="J14" s="27"/>
      <c r="K14" s="67">
        <f>SUM(K13-I13)</f>
        <v>-222.89200000092387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22124348.458999995</v>
      </c>
      <c r="P14" s="39" t="str">
        <f t="shared" si="5"/>
        <v>합계</v>
      </c>
      <c r="Q14" s="69">
        <f>SUM(Q5:Q13)</f>
        <v>22124089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-259.45900000073016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11</v>
      </c>
      <c r="Q23" s="53">
        <f>SUM(P23*1000)</f>
        <v>11000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135</v>
      </c>
      <c r="Q26" s="69">
        <f>SUM(Q19:Q25)</f>
        <v>42000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12923</v>
      </c>
      <c r="P29" s="107">
        <v>12925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1112</v>
      </c>
      <c r="F1" s="1"/>
      <c r="G1" s="1"/>
      <c r="H1" s="1"/>
      <c r="I1" s="1"/>
      <c r="J1" s="1"/>
      <c r="K1" s="1"/>
      <c r="L1" s="22">
        <f>+ROUND(+O5*0.584/1000,3)</f>
        <v>12.24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10.55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253.20000000000002</v>
      </c>
      <c r="M3" s="18" t="s">
        <v>10</v>
      </c>
      <c r="N3" s="3"/>
      <c r="O3" s="3"/>
      <c r="P3" s="129" t="str">
        <f>+'(1)'!C1&amp;"년"&amp;'(1)'!E1&amp;"월"&amp;C1&amp;"일"</f>
        <v>2022년2월24일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13106.118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7852.4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290000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20958.518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439.9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26.632000000000001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390000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466.53199999999998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13656702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22251010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22251010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236.50399999999999</v>
      </c>
      <c r="E10" s="42" t="str">
        <f>+'(1)'!E10</f>
        <v>OK케시백</v>
      </c>
      <c r="F10" s="44">
        <v>89709</v>
      </c>
      <c r="G10" s="27"/>
      <c r="H10" s="42" t="str">
        <f t="shared" si="2"/>
        <v>고객우대</v>
      </c>
      <c r="I10" s="50">
        <v>44.965000000000003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-8277.64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-1573.7750000000001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281.46899999999999</v>
      </c>
      <c r="P11" s="51" t="str">
        <f t="shared" si="5"/>
        <v>OK케시백</v>
      </c>
      <c r="Q11" s="53">
        <f>SUM(F10+K10+F23+K23+F41+K41)</f>
        <v>89709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-9851.4149999999991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14076556.776000001</v>
      </c>
      <c r="E13" s="29" t="str">
        <f>+'(1)'!E13</f>
        <v>합계</v>
      </c>
      <c r="F13" s="61">
        <f>SUM(F4:F12)</f>
        <v>14076411</v>
      </c>
      <c r="G13" s="62"/>
      <c r="H13" s="29" t="str">
        <f t="shared" si="2"/>
        <v>합계</v>
      </c>
      <c r="I13" s="60">
        <f>SUM((I4-I5-I6-I7-I8-I9)*$E$1+I11)</f>
        <v>8700680.2410000004</v>
      </c>
      <c r="J13" s="29" t="str">
        <f t="shared" si="3"/>
        <v>합계</v>
      </c>
      <c r="K13" s="61">
        <f>IF(K8=0,0,SUM(K4:K12)-F8)</f>
        <v>8700308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-145.77600000053644</v>
      </c>
      <c r="G14" s="27"/>
      <c r="H14" s="27"/>
      <c r="I14" s="27"/>
      <c r="J14" s="27"/>
      <c r="K14" s="67">
        <f>SUM(K13-I13)</f>
        <v>-372.24100000038743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22777237.017000001</v>
      </c>
      <c r="P14" s="39" t="str">
        <f t="shared" si="5"/>
        <v>합계</v>
      </c>
      <c r="Q14" s="69">
        <f>SUM(Q5:Q13)</f>
        <v>22776719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-518.01700000092387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102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189</v>
      </c>
      <c r="Q26" s="69">
        <f>SUM(Q19:Q25)</f>
        <v>57000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12925</v>
      </c>
      <c r="P29" s="107">
        <v>12933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1112</v>
      </c>
      <c r="F1" s="1"/>
      <c r="G1" s="1"/>
      <c r="H1" s="1"/>
      <c r="I1" s="1"/>
      <c r="J1" s="1"/>
      <c r="K1" s="1"/>
      <c r="L1" s="22">
        <f>+ROUND(+O5*0.584/1000,3)</f>
        <v>12.477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10.627000000000001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265.67500000000001</v>
      </c>
      <c r="M3" s="18" t="s">
        <v>10</v>
      </c>
      <c r="N3" s="3"/>
      <c r="O3" s="3"/>
      <c r="P3" s="129" t="str">
        <f>+'(1)'!C1&amp;"년"&amp;'(1)'!E1&amp;"월"&amp;C1&amp;"일"</f>
        <v>2022년2월25일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14272.813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7092.2309999999998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33248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21365.044000000002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298.91500000000002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32.103999999999999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525000</v>
      </c>
      <c r="R6" s="7">
        <v>1.9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50000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331.01900000000001</v>
      </c>
      <c r="P7" s="51" t="str">
        <f t="shared" ref="P7:P14" si="5">+E6</f>
        <v>천원권</v>
      </c>
      <c r="Q7" s="53">
        <f>SUM(F6+K6+F19+K19+F37+K37)</f>
        <v>2000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15156456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22773856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50000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22773856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119.72799999999999</v>
      </c>
      <c r="E10" s="42" t="str">
        <f>+'(1)'!E10</f>
        <v>OK케시백</v>
      </c>
      <c r="F10" s="44">
        <v>17000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2500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-4190.4799999999996</v>
      </c>
      <c r="E11" s="42" t="str">
        <f>+'(1)'!E11</f>
        <v>모바일</v>
      </c>
      <c r="F11" s="44">
        <v>9000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119.72799999999999</v>
      </c>
      <c r="P11" s="51" t="str">
        <f t="shared" si="5"/>
        <v>OK케시백</v>
      </c>
      <c r="Q11" s="53">
        <f>SUM(F10+K10+F23+K23+F41+K41)</f>
        <v>19500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-4190.4799999999996</v>
      </c>
      <c r="P12" s="51" t="str">
        <f t="shared" si="5"/>
        <v>모바일</v>
      </c>
      <c r="Q12" s="53">
        <f>SUM(F11+K11+F24+K24+F42+K42)</f>
        <v>14000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15534784.095999999</v>
      </c>
      <c r="E13" s="29" t="str">
        <f>+'(1)'!E13</f>
        <v>합계</v>
      </c>
      <c r="F13" s="61">
        <f>SUM(F4:F12)</f>
        <v>15534456</v>
      </c>
      <c r="G13" s="62"/>
      <c r="H13" s="29" t="str">
        <f t="shared" si="2"/>
        <v>합계</v>
      </c>
      <c r="I13" s="60">
        <f>SUM((I4-I5-I6-I7-I8-I9)*$E$1+I11)</f>
        <v>7850861.2239999995</v>
      </c>
      <c r="J13" s="29" t="str">
        <f t="shared" si="3"/>
        <v>합계</v>
      </c>
      <c r="K13" s="61">
        <f>IF(K8=0,0,SUM(K4:K12)-F8)</f>
        <v>7849900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-328.09599999897182</v>
      </c>
      <c r="G14" s="27"/>
      <c r="H14" s="27"/>
      <c r="I14" s="27"/>
      <c r="J14" s="27"/>
      <c r="K14" s="67">
        <f>SUM(K13-I13)</f>
        <v>-961.22399999946356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23385645.32</v>
      </c>
      <c r="P14" s="39" t="str">
        <f t="shared" si="5"/>
        <v>합계</v>
      </c>
      <c r="Q14" s="69">
        <f>SUM(Q5:Q13)</f>
        <v>23384356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-1289.3199999984354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10</v>
      </c>
      <c r="Q22" s="53">
        <f>SUM(P22*1000)</f>
        <v>10000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132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206</v>
      </c>
      <c r="Q26" s="69">
        <f>SUM(Q19:Q25)</f>
        <v>55000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12933</v>
      </c>
      <c r="P29" s="107">
        <v>12943</v>
      </c>
      <c r="Q29" s="108">
        <f>P29-O29</f>
        <v>10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1112</v>
      </c>
      <c r="F1" s="1"/>
      <c r="G1" s="1"/>
      <c r="H1" s="1"/>
      <c r="I1" s="1"/>
      <c r="J1" s="1"/>
      <c r="K1" s="1"/>
      <c r="L1" s="22">
        <f>+ROUND(+O5*0.584/1000,3)</f>
        <v>9.3309999999999995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10.577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275.00200000000001</v>
      </c>
      <c r="M3" s="18" t="s">
        <v>10</v>
      </c>
      <c r="N3" s="3"/>
      <c r="O3" s="3"/>
      <c r="P3" s="129" t="str">
        <f>+'(1)'!C1&amp;"년"&amp;'(1)'!E1&amp;"월"&amp;C1&amp;"일"</f>
        <v>2022년2월26일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10070.445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5907.2740000000003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16962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160000</v>
      </c>
      <c r="L5" s="2"/>
      <c r="M5" s="20"/>
      <c r="N5" s="45" t="str">
        <f>+C4</f>
        <v>판매량</v>
      </c>
      <c r="O5" s="46">
        <f>SUM(D4+I4+D17+I17+D35+I35)</f>
        <v>15977.719000000001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110.24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110.24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10713216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17119348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17119348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152.417</v>
      </c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-5334.5950000000003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152.417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-5334.5950000000003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11070413.364999998</v>
      </c>
      <c r="E13" s="29" t="str">
        <f>+'(1)'!E13</f>
        <v>합계</v>
      </c>
      <c r="F13" s="61">
        <f>SUM(F4:F12)</f>
        <v>11070216</v>
      </c>
      <c r="G13" s="62"/>
      <c r="H13" s="29" t="str">
        <f t="shared" si="2"/>
        <v>합계</v>
      </c>
      <c r="I13" s="60">
        <f>SUM((I4-I5-I6-I7-I8-I9)*$E$1+I11)</f>
        <v>6568888.6880000001</v>
      </c>
      <c r="J13" s="29" t="str">
        <f t="shared" si="3"/>
        <v>합계</v>
      </c>
      <c r="K13" s="61">
        <f>IF(K8=0,0,SUM(K4:K12)-F8)</f>
        <v>6568132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-197.36499999836087</v>
      </c>
      <c r="G14" s="27"/>
      <c r="H14" s="27"/>
      <c r="I14" s="27"/>
      <c r="J14" s="27"/>
      <c r="K14" s="67">
        <f>SUM(K13-I13)</f>
        <v>-756.68800000008196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17639302.053000003</v>
      </c>
      <c r="P14" s="39" t="str">
        <f t="shared" si="5"/>
        <v>합계</v>
      </c>
      <c r="Q14" s="69">
        <f>SUM(Q5:Q13)</f>
        <v>17638348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-954.05299999844283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6</v>
      </c>
      <c r="Q19" s="48">
        <f>SUM(P19*1000)</f>
        <v>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4</v>
      </c>
      <c r="Q20" s="53">
        <f>SUM(P20*1000)</f>
        <v>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59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89</v>
      </c>
      <c r="Q26" s="69">
        <f>SUM(Q19:Q25)</f>
        <v>19000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12943</v>
      </c>
      <c r="P29" s="107">
        <v>12945</v>
      </c>
      <c r="Q29" s="108">
        <f>P29-O29</f>
        <v>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1112</v>
      </c>
      <c r="F1" s="1"/>
      <c r="G1" s="1"/>
      <c r="H1" s="1"/>
      <c r="I1" s="1"/>
      <c r="J1" s="1"/>
      <c r="K1" s="1"/>
      <c r="L1" s="22">
        <f>+ROUND(+O5*0.584/1000,3)</f>
        <v>8.6129999999999995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10.504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283.608</v>
      </c>
      <c r="M3" s="18" t="s">
        <v>10</v>
      </c>
      <c r="N3" s="3"/>
      <c r="O3" s="3"/>
      <c r="P3" s="129" t="str">
        <f>+'(1)'!C1&amp;"년"&amp;'(1)'!E1&amp;"월"&amp;C1&amp;"일"</f>
        <v>2022년2월27일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9578.3389999999999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5169.6540000000005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38111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115000</v>
      </c>
      <c r="L5" s="2"/>
      <c r="M5" s="20"/>
      <c r="N5" s="45" t="str">
        <f>+C4</f>
        <v>판매량</v>
      </c>
      <c r="O5" s="46">
        <f>SUM(D4+I4+D17+I17+D35+I35)</f>
        <v>14747.993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445000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>
        <v>50000</v>
      </c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10185173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15781319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50000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15781319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9000</v>
      </c>
      <c r="G10" s="27"/>
      <c r="H10" s="42" t="str">
        <f t="shared" si="2"/>
        <v>고객우대</v>
      </c>
      <c r="I10" s="50">
        <v>55.863</v>
      </c>
      <c r="J10" s="42" t="str">
        <f t="shared" si="3"/>
        <v>OK케시백</v>
      </c>
      <c r="K10" s="44">
        <v>35437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-1955.2049999999999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55.863</v>
      </c>
      <c r="P11" s="51" t="str">
        <f t="shared" si="5"/>
        <v>OK케시백</v>
      </c>
      <c r="Q11" s="53">
        <f>SUM(F10+K10+F23+K23+F41+K41)</f>
        <v>44437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59590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-1955.2049999999999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10651112.968</v>
      </c>
      <c r="E13" s="29" t="str">
        <f>+'(1)'!E13</f>
        <v>합계</v>
      </c>
      <c r="F13" s="61">
        <f>SUM(F4:F12)</f>
        <v>10648763</v>
      </c>
      <c r="G13" s="62"/>
      <c r="H13" s="29" t="str">
        <f t="shared" si="2"/>
        <v>합계</v>
      </c>
      <c r="I13" s="60">
        <f>SUM((I4-I5-I6-I7-I8-I9)*$E$1+I11)</f>
        <v>5746700.0430000005</v>
      </c>
      <c r="J13" s="29" t="str">
        <f t="shared" si="3"/>
        <v>합계</v>
      </c>
      <c r="K13" s="61">
        <f>IF(K8=0,0,SUM(K4:K12)-F8)</f>
        <v>5746583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59590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-2349.9680000003427</v>
      </c>
      <c r="G14" s="27"/>
      <c r="H14" s="27"/>
      <c r="I14" s="27"/>
      <c r="J14" s="27"/>
      <c r="K14" s="67">
        <f>SUM(K13-I13)</f>
        <v>-117.04300000052899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16397813.011</v>
      </c>
      <c r="P14" s="39" t="str">
        <f t="shared" si="5"/>
        <v>합계</v>
      </c>
      <c r="Q14" s="69">
        <f>SUM(Q5:Q13)</f>
        <v>16395346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-2467.0110000008717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11</v>
      </c>
      <c r="Q22" s="53">
        <f>SUM(P22*1000)</f>
        <v>11000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23</v>
      </c>
      <c r="Q23" s="53">
        <f>SUM(P23*1000)</f>
        <v>23000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157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277</v>
      </c>
      <c r="Q26" s="69">
        <f>SUM(Q19:Q25)</f>
        <v>100000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12945</v>
      </c>
      <c r="P29" s="107">
        <v>12956</v>
      </c>
      <c r="Q29" s="108">
        <f>P29-O29</f>
        <v>11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L7" sqref="L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1112</v>
      </c>
      <c r="F1" s="1"/>
      <c r="G1" s="1"/>
      <c r="H1" s="1"/>
      <c r="I1" s="1"/>
      <c r="J1" s="1"/>
      <c r="K1" s="1"/>
      <c r="L1" s="22">
        <f>+ROUND(+O5*0.584/1000,3)</f>
        <v>8.532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10.433999999999999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292.15199999999999</v>
      </c>
      <c r="M3" s="18" t="s">
        <v>10</v>
      </c>
      <c r="N3" s="3"/>
      <c r="O3" s="3"/>
      <c r="P3" s="129" t="str">
        <f>+'(1)'!C1&amp;"년"&amp;'(1)'!E1&amp;"월"&amp;C1&amp;"일"</f>
        <v>2022년2월28일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12927.031999999999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1681.7170000000001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54354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130000</v>
      </c>
      <c r="L5" s="2"/>
      <c r="M5" s="20"/>
      <c r="N5" s="45" t="str">
        <f>+C4</f>
        <v>판매량</v>
      </c>
      <c r="O5" s="46">
        <f>SUM(D4+I4+D17+I17+D35+I35)</f>
        <v>14608.749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388.31099999999998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440000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388.31099999999998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13502210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15241043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15241043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119.29600000000001</v>
      </c>
      <c r="E10" s="42" t="str">
        <f>+'(1)'!E10</f>
        <v>OK케시백</v>
      </c>
      <c r="F10" s="44">
        <v>26337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-4175.3600000000006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119.29600000000001</v>
      </c>
      <c r="P11" s="51" t="str">
        <f t="shared" si="5"/>
        <v>OK케시백</v>
      </c>
      <c r="Q11" s="53">
        <f>SUM(F10+K10+F23+K23+F41+K41)</f>
        <v>26337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80874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-4175.3600000000006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13938882.392000001</v>
      </c>
      <c r="E13" s="29" t="str">
        <f>+'(1)'!E13</f>
        <v>합계</v>
      </c>
      <c r="F13" s="61">
        <f>SUM(F4:F12)</f>
        <v>13938421</v>
      </c>
      <c r="G13" s="62"/>
      <c r="H13" s="29" t="str">
        <f t="shared" si="2"/>
        <v>합계</v>
      </c>
      <c r="I13" s="60">
        <f>SUM((I4-I5-I6-I7-I8-I9)*$E$1+I11)</f>
        <v>1870069.304</v>
      </c>
      <c r="J13" s="29" t="str">
        <f t="shared" si="3"/>
        <v>합계</v>
      </c>
      <c r="K13" s="61">
        <f>IF(K8=0,0,SUM(K4:K12)-F8)</f>
        <v>1869833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80874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-461.39200000092387</v>
      </c>
      <c r="G14" s="27"/>
      <c r="H14" s="27"/>
      <c r="I14" s="27"/>
      <c r="J14" s="27"/>
      <c r="K14" s="67">
        <f>SUM(K13-I13)</f>
        <v>-236.30400000000373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15808951.696</v>
      </c>
      <c r="P14" s="39" t="str">
        <f t="shared" si="5"/>
        <v>합계</v>
      </c>
      <c r="Q14" s="69">
        <f>SUM(Q5:Q13)</f>
        <v>15808254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-697.6960000009276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32</v>
      </c>
      <c r="Q20" s="53">
        <f>SUM(P20*1000)</f>
        <v>32000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15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14</v>
      </c>
      <c r="Q22" s="53">
        <f>SUM(P22*1000)</f>
        <v>14000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21</v>
      </c>
      <c r="Q23" s="53">
        <f>SUM(P23*1000)</f>
        <v>21000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20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141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273</v>
      </c>
      <c r="Q26" s="69">
        <f>SUM(Q19:Q25)</f>
        <v>97000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12956</v>
      </c>
      <c r="P29" s="107">
        <v>12970</v>
      </c>
      <c r="Q29" s="108">
        <f>P29-O29</f>
        <v>14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12" sqref="R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1112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10.074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292.14600000000002</v>
      </c>
      <c r="M3" s="18" t="s">
        <v>10</v>
      </c>
      <c r="N3" s="3"/>
      <c r="O3" s="3"/>
      <c r="P3" s="129" t="str">
        <f>+'(1)'!C1&amp;"년"&amp;'(1)'!E1&amp;"월"&amp;C1&amp;"일"</f>
        <v>2022년2월29일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48660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7" sqref="P2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1112</v>
      </c>
      <c r="F1" s="1"/>
      <c r="G1" s="1"/>
      <c r="H1" s="1"/>
      <c r="I1" s="1"/>
      <c r="J1" s="1"/>
      <c r="K1" s="1"/>
      <c r="L1" s="21">
        <f>+ROUND(+O5*0.584/1000,3)</f>
        <v>11.05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7.4329999999999998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22.298999999999999</v>
      </c>
      <c r="M3" s="18" t="s">
        <v>10</v>
      </c>
      <c r="N3" s="3"/>
      <c r="O3" s="3"/>
      <c r="P3" s="129" t="str">
        <f>+'(1)'!C1&amp;"년"&amp;'(1)'!E1&amp;"월"&amp;C1&amp;"일"</f>
        <v>2022년2월3일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12376.905000000001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6543.6480000000001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17542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45000</v>
      </c>
      <c r="L5" s="2"/>
      <c r="M5" s="20"/>
      <c r="N5" s="45" t="str">
        <f>+C4</f>
        <v>판매량</v>
      </c>
      <c r="O5" s="46">
        <f>SUM(D4+I4+D17+I17+D35+I35)</f>
        <v>18920.553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226.495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475000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226.495</v>
      </c>
      <c r="P7" s="51" t="str">
        <f t="shared" ref="P7:P14" si="5">+E6</f>
        <v>천원권</v>
      </c>
      <c r="Q7" s="53">
        <f>SUM(F6+K6+F19+K19+F37+K37)</f>
        <v>3000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12995355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20226255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20226255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176.261</v>
      </c>
      <c r="E10" s="42" t="str">
        <f>+'(1)'!E10</f>
        <v>OK케시백</v>
      </c>
      <c r="F10" s="44">
        <v>21000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-6169.1350000000002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176.261</v>
      </c>
      <c r="P11" s="51" t="str">
        <f t="shared" si="5"/>
        <v>OK케시백</v>
      </c>
      <c r="Q11" s="53">
        <f>SUM(F10+K10+F23+K23+F41+K41)</f>
        <v>21000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41772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-6169.1350000000002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13505086.785</v>
      </c>
      <c r="E13" s="29" t="str">
        <f>+'(1)'!E13</f>
        <v>합계</v>
      </c>
      <c r="F13" s="61">
        <f>SUM(F4:F12)</f>
        <v>13505127</v>
      </c>
      <c r="G13" s="62"/>
      <c r="H13" s="29" t="str">
        <f t="shared" si="2"/>
        <v>합계</v>
      </c>
      <c r="I13" s="60">
        <f>SUM((I4-I5-I6-I7-I8-I9)*$E$1+I11)</f>
        <v>7276536.5760000004</v>
      </c>
      <c r="J13" s="29" t="str">
        <f t="shared" si="3"/>
        <v>합계</v>
      </c>
      <c r="K13" s="61">
        <f>IF(K8=0,0,SUM(K4:K12)-F8)</f>
        <v>7276900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41772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40.214999999850988</v>
      </c>
      <c r="G14" s="27"/>
      <c r="H14" s="27"/>
      <c r="I14" s="27"/>
      <c r="J14" s="27"/>
      <c r="K14" s="67">
        <f>SUM(K13-I13)</f>
        <v>363.42399999964982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20781623.360999998</v>
      </c>
      <c r="P14" s="39" t="str">
        <f t="shared" si="5"/>
        <v>합계</v>
      </c>
      <c r="Q14" s="69">
        <f>SUM(Q5:Q13)</f>
        <v>20782027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403.63899999950081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22</v>
      </c>
      <c r="Q23" s="53">
        <f>SUM(P23*1000)</f>
        <v>22000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12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80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166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12801</v>
      </c>
      <c r="P29" s="107">
        <v>12804</v>
      </c>
      <c r="Q29" s="108">
        <f>P29-O29</f>
        <v>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N18" sqref="N18:Q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1112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9.7379999999999995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292.14</v>
      </c>
      <c r="M3" s="18" t="s">
        <v>10</v>
      </c>
      <c r="N3" s="3"/>
      <c r="O3" s="3"/>
      <c r="P3" s="129" t="str">
        <f>+'(1)'!C1&amp;"년"&amp;'(1)'!E1&amp;"월"&amp;C1&amp;"일"</f>
        <v>2022년2월30일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N18" sqref="N18:Q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1112</v>
      </c>
      <c r="F1" s="1"/>
      <c r="G1" s="1"/>
      <c r="H1" s="1"/>
      <c r="I1" s="1"/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9.4239999999999995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292.14400000000001</v>
      </c>
      <c r="M3" s="18" t="s">
        <v>10</v>
      </c>
      <c r="N3" s="3"/>
      <c r="O3" s="3"/>
      <c r="P3" s="129" t="str">
        <f>+'(1)'!C1&amp;"년"&amp;'(1)'!E1&amp;"월"&amp;C1&amp;"일"</f>
        <v>2022년2월31일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+'(1)'!E4</f>
        <v>입금액</v>
      </c>
      <c r="F4" s="36"/>
      <c r="G4" s="27"/>
      <c r="H4" s="34" t="str">
        <f>+C4</f>
        <v>판매량</v>
      </c>
      <c r="I4" s="35"/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/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/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입금액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/>
      <c r="G8" s="27"/>
      <c r="H8" s="34" t="str">
        <f t="shared" si="2"/>
        <v>자가소비</v>
      </c>
      <c r="I8" s="50"/>
      <c r="J8" s="42" t="str">
        <f t="shared" si="3"/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0</v>
      </c>
      <c r="E13" s="29" t="str">
        <f>+'(1)'!E13</f>
        <v>합계</v>
      </c>
      <c r="F13" s="61">
        <f>SUM(F4:F12)</f>
        <v>0</v>
      </c>
      <c r="G13" s="62"/>
      <c r="H13" s="29" t="str">
        <f t="shared" si="2"/>
        <v>합계</v>
      </c>
      <c r="I13" s="60">
        <f>SUM((I4-I5-I6-I7-I8-I9)*$E$1+I11)</f>
        <v>0</v>
      </c>
      <c r="J13" s="29" t="str">
        <f t="shared" si="3"/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/>
      <c r="P29" s="107"/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1112</v>
      </c>
      <c r="F1" s="1"/>
      <c r="G1" s="1"/>
      <c r="H1" s="1"/>
      <c r="I1" s="1"/>
      <c r="J1" s="1"/>
      <c r="K1" s="1"/>
      <c r="L1" s="21">
        <f>+ROUND(+O5*0.584/1000,3)</f>
        <v>12.500999999999999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8.6999999999999993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34.799999999999997</v>
      </c>
      <c r="M3" s="18" t="s">
        <v>10</v>
      </c>
      <c r="N3" s="3"/>
      <c r="O3" s="3"/>
      <c r="P3" s="129" t="str">
        <f>+'(1)'!C1&amp;"년"&amp;'(1)'!E1&amp;"월"&amp;C1&amp;"일"</f>
        <v>2022년2월4일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13851.714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7553.4430000000002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32449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21405.156999999999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354.351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20.366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374.71699999999998</v>
      </c>
      <c r="P7" s="51" t="str">
        <f t="shared" ref="P7:P14" si="5">+E6</f>
        <v>천원권</v>
      </c>
      <c r="Q7" s="53">
        <f>SUM(F6+K6+F19+K19+F37+K37)</f>
        <v>1000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14841115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22963133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22963133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170.51900000000001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-5968.165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170.51900000000001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-5968.165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15003099.491</v>
      </c>
      <c r="E13" s="29" t="str">
        <f>+'(1)'!E13</f>
        <v>합계</v>
      </c>
      <c r="F13" s="61">
        <f>SUM(F4:F12)</f>
        <v>14992115</v>
      </c>
      <c r="G13" s="62"/>
      <c r="H13" s="29" t="str">
        <f t="shared" si="2"/>
        <v>합계</v>
      </c>
      <c r="I13" s="60">
        <f>SUM((I4-I5-I6-I7-I8-I9)*$E$1+I11)</f>
        <v>8376781.6239999998</v>
      </c>
      <c r="J13" s="29" t="str">
        <f t="shared" si="3"/>
        <v>합계</v>
      </c>
      <c r="K13" s="61">
        <f>IF(K8=0,0,SUM(K4:K12)-F8)</f>
        <v>8377018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-10984.491000000387</v>
      </c>
      <c r="G14" s="27"/>
      <c r="H14" s="27"/>
      <c r="I14" s="27"/>
      <c r="J14" s="27"/>
      <c r="K14" s="67">
        <f>SUM(K13-I13)</f>
        <v>236.37600000016391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23379881.114999998</v>
      </c>
      <c r="P14" s="39" t="str">
        <f t="shared" si="5"/>
        <v>합계</v>
      </c>
      <c r="Q14" s="69">
        <f>SUM(Q5:Q13)</f>
        <v>23369133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-10748.115000000224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15</v>
      </c>
      <c r="Q20" s="53">
        <f>SUM(P20*1000)</f>
        <v>15000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7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65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119</v>
      </c>
      <c r="Q26" s="69">
        <f>SUM(Q19:Q25)</f>
        <v>40000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12804</v>
      </c>
      <c r="P29" s="107">
        <v>12809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L13" sqref="L1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1112</v>
      </c>
      <c r="F1" s="1"/>
      <c r="G1" s="1"/>
      <c r="H1" s="1"/>
      <c r="I1" s="101"/>
      <c r="J1" s="1"/>
      <c r="K1" s="1"/>
      <c r="L1" s="21">
        <f>+ROUND(+O5*0.584/1000,3)</f>
        <v>9.2550000000000008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8.8109999999999999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44.055</v>
      </c>
      <c r="M3" s="18" t="s">
        <v>10</v>
      </c>
      <c r="N3" s="3"/>
      <c r="O3" s="3"/>
      <c r="P3" s="129" t="str">
        <f>+'(1)'!C1&amp;"년"&amp;'(1)'!E1&amp;"월"&amp;C1&amp;"일"</f>
        <v>2022년2월5일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9985.9860000000008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5861.558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51870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250000</v>
      </c>
      <c r="L5" s="2"/>
      <c r="M5" s="20"/>
      <c r="N5" s="45" t="str">
        <f>+C4</f>
        <v>판매량</v>
      </c>
      <c r="O5" s="46">
        <f>SUM(D4+I4+D17+I17+D35+I35)</f>
        <v>15847.544000000002</v>
      </c>
      <c r="P5" s="47" t="str">
        <f>+E4</f>
        <v>입금액</v>
      </c>
      <c r="Q5" s="48">
        <f>SUM(F4+K4+F17+K17+F35+K35)</f>
        <v>0</v>
      </c>
      <c r="R5" s="7">
        <v>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98.727999999999994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98.727999999999994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10656122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16866973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50000</v>
      </c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16866973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94.986000000000004</v>
      </c>
      <c r="E10" s="42" t="str">
        <f>+'(1)'!E10</f>
        <v>OK케시백</v>
      </c>
      <c r="F10" s="44">
        <v>50000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50000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-3324.51</v>
      </c>
      <c r="E11" s="42" t="str">
        <f>+'(1)'!E11</f>
        <v>모바일</v>
      </c>
      <c r="F11" s="44">
        <v>13000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94.986000000000004</v>
      </c>
      <c r="P11" s="51" t="str">
        <f t="shared" si="5"/>
        <v>OK케시백</v>
      </c>
      <c r="Q11" s="53">
        <f>SUM(F10+K10+F23+K23+F41+K41)</f>
        <v>50000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-3324.51</v>
      </c>
      <c r="P12" s="51" t="str">
        <f t="shared" si="5"/>
        <v>모바일</v>
      </c>
      <c r="Q12" s="53">
        <f>SUM(F11+K11+F24+K24+F42+K42)</f>
        <v>13000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10991306.386000002</v>
      </c>
      <c r="E13" s="29" t="str">
        <f>+'(1)'!E13</f>
        <v>합계</v>
      </c>
      <c r="F13" s="61">
        <f>SUM(F4:F12)</f>
        <v>10991122</v>
      </c>
      <c r="G13" s="62"/>
      <c r="H13" s="29" t="str">
        <f t="shared" si="2"/>
        <v>합계</v>
      </c>
      <c r="I13" s="60">
        <f>SUM((I4-I5-I6-I7-I8-I9)*$E$1+I11)</f>
        <v>6518052.4960000003</v>
      </c>
      <c r="J13" s="29" t="str">
        <f t="shared" si="3"/>
        <v>합계</v>
      </c>
      <c r="K13" s="61">
        <f>IF(K8=0,0,SUM(K4:K12)-F8)</f>
        <v>6513851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-184.38600000180304</v>
      </c>
      <c r="G14" s="27"/>
      <c r="H14" s="27"/>
      <c r="I14" s="27"/>
      <c r="J14" s="27"/>
      <c r="K14" s="67">
        <f>SUM(K13-I13)</f>
        <v>-4201.4960000002757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17509358.882000003</v>
      </c>
      <c r="P14" s="39" t="str">
        <f t="shared" si="5"/>
        <v>합계</v>
      </c>
      <c r="Q14" s="69">
        <f>SUM(Q5:Q13)</f>
        <v>17504973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-4385.8820000020787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5</v>
      </c>
      <c r="Q19" s="48">
        <f>SUM(P19*1000)</f>
        <v>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5</v>
      </c>
      <c r="Q23" s="53">
        <f>SUM(P23*1000)</f>
        <v>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55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93</v>
      </c>
      <c r="Q26" s="69">
        <f>SUM(Q19:Q25)</f>
        <v>28000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12809</v>
      </c>
      <c r="P29" s="107">
        <v>12814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1112</v>
      </c>
      <c r="F1" s="1"/>
      <c r="G1" s="1"/>
      <c r="H1" s="1"/>
      <c r="I1" s="1"/>
      <c r="J1" s="1"/>
      <c r="K1" s="1"/>
      <c r="L1" s="21">
        <f>+ROUND(+O5*0.584/1000,3)</f>
        <v>7.0860000000000003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8.5239999999999991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51.143999999999991</v>
      </c>
      <c r="M3" s="18" t="s">
        <v>10</v>
      </c>
      <c r="N3" s="3"/>
      <c r="O3" s="3"/>
      <c r="P3" s="129" t="str">
        <f>+'(1)'!C1&amp;"년"&amp;'(1)'!E1&amp;"월"&amp;C1&amp;"일"</f>
        <v>2022년2월6일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7830.143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4304.0810000000001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39871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12134.224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585000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1000</v>
      </c>
      <c r="R7" s="5" t="s">
        <v>60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8262520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12869162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12869162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64.984999999999999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54.307000000000002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-2274.4749999999999</v>
      </c>
      <c r="E11" s="42" t="str">
        <f>+'(1)'!E11</f>
        <v>모바일</v>
      </c>
      <c r="F11" s="44">
        <v>2000</v>
      </c>
      <c r="G11" s="27"/>
      <c r="H11" s="87" t="str">
        <f t="shared" si="2"/>
        <v>-</v>
      </c>
      <c r="I11" s="55">
        <f>SUM(I10*-35)</f>
        <v>-1900.7450000000001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119.292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30595</v>
      </c>
      <c r="L12" s="2"/>
      <c r="M12" s="20"/>
      <c r="N12" s="51" t="str">
        <f t="shared" si="4"/>
        <v>-</v>
      </c>
      <c r="O12" s="55">
        <f>SUM(O11*-35)</f>
        <v>-4175.22</v>
      </c>
      <c r="P12" s="51" t="str">
        <f t="shared" si="5"/>
        <v>모바일</v>
      </c>
      <c r="Q12" s="53">
        <f>SUM(F11+K11+F24+K24+F42+K42)</f>
        <v>2000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8704844.5410000011</v>
      </c>
      <c r="E13" s="29" t="str">
        <f>+'(1)'!E13</f>
        <v>합계</v>
      </c>
      <c r="F13" s="61">
        <f>SUM(F4:F12)</f>
        <v>8705520</v>
      </c>
      <c r="G13" s="62"/>
      <c r="H13" s="29" t="str">
        <f t="shared" si="2"/>
        <v>합계</v>
      </c>
      <c r="I13" s="60">
        <f>SUM((I4-I5-I6-I7-I8-I9)*$E$1+I11)</f>
        <v>4784237.3269999996</v>
      </c>
      <c r="J13" s="29" t="str">
        <f t="shared" si="3"/>
        <v>합계</v>
      </c>
      <c r="K13" s="61">
        <f>IF(K8=0,0,SUM(K4:K12)-F8)</f>
        <v>4782237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30595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675.45899999886751</v>
      </c>
      <c r="G14" s="27"/>
      <c r="H14" s="27"/>
      <c r="I14" s="27"/>
      <c r="J14" s="27"/>
      <c r="K14" s="67">
        <f>SUM(K13-I13)</f>
        <v>-2000.3269999995828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13489081.867999999</v>
      </c>
      <c r="P14" s="39" t="str">
        <f t="shared" si="5"/>
        <v>합계</v>
      </c>
      <c r="Q14" s="69">
        <f>SUM(Q5:Q13)</f>
        <v>13487757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-1324.8680000007153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19</v>
      </c>
      <c r="Q20" s="53">
        <f>SUM(P20*1000)</f>
        <v>19000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8</v>
      </c>
      <c r="Q22" s="53">
        <f>SUM(P22*1000)</f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110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157</v>
      </c>
      <c r="Q26" s="69">
        <f>SUM(Q19:Q25)</f>
        <v>38000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12814</v>
      </c>
      <c r="P29" s="107">
        <v>12822</v>
      </c>
      <c r="Q29" s="108">
        <f>P29-O29</f>
        <v>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1112</v>
      </c>
      <c r="F1" s="1"/>
      <c r="G1" s="1"/>
      <c r="H1" s="1"/>
      <c r="I1" s="1"/>
      <c r="J1" s="1"/>
      <c r="K1" s="1"/>
      <c r="L1" s="21">
        <f>+ROUND(+O5*0.584/1000,3)</f>
        <v>11.433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8.94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62.58</v>
      </c>
      <c r="M3" s="18" t="s">
        <v>10</v>
      </c>
      <c r="N3" s="3"/>
      <c r="O3" s="3"/>
      <c r="P3" s="129" t="str">
        <f>+'(1)'!C1&amp;"년"&amp;'(1)'!E1&amp;"월"&amp;C1&amp;"일"</f>
        <v>2022년2월7일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12367.978999999999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7209.7179999999998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20596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655000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95000</v>
      </c>
      <c r="L5" s="2"/>
      <c r="M5" s="20"/>
      <c r="N5" s="45" t="str">
        <f>+C4</f>
        <v>판매량</v>
      </c>
      <c r="O5" s="46">
        <f>SUM(D4+I4+D17+I17+D35+I35)</f>
        <v>19577.697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236.37200000000001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750000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236.37200000000001</v>
      </c>
      <c r="P7" s="51" t="str">
        <f t="shared" ref="P7:P14" si="5">+E6</f>
        <v>천원권</v>
      </c>
      <c r="Q7" s="53">
        <f>SUM(F6+K6+F19+K19+F37+K37)</f>
        <v>8000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12731604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20719507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20719507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281.012</v>
      </c>
      <c r="E10" s="42" t="str">
        <f>+'(1)'!E10</f>
        <v>OK케시백</v>
      </c>
      <c r="F10" s="44">
        <v>4000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-9835.42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281.012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-9835.42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13480511.563999999</v>
      </c>
      <c r="E13" s="29" t="str">
        <f>+'(1)'!E13</f>
        <v>합계</v>
      </c>
      <c r="F13" s="61">
        <f>SUM(F4:F12)</f>
        <v>13409604</v>
      </c>
      <c r="G13" s="62"/>
      <c r="H13" s="29" t="str">
        <f t="shared" si="2"/>
        <v>합계</v>
      </c>
      <c r="I13" s="60">
        <f>SUM((I4-I5-I6-I7-I8-I9)*$E$1+I11)</f>
        <v>8017206.4160000002</v>
      </c>
      <c r="J13" s="29" t="str">
        <f t="shared" si="3"/>
        <v>합계</v>
      </c>
      <c r="K13" s="61">
        <f>IF(K8=0,0,SUM(K4:K12)-F8)</f>
        <v>8086903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-70907.563999999315</v>
      </c>
      <c r="G14" s="27"/>
      <c r="H14" s="27"/>
      <c r="I14" s="27"/>
      <c r="J14" s="27"/>
      <c r="K14" s="67">
        <f>SUM(K13-I13)</f>
        <v>69696.583999999799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21497717.98</v>
      </c>
      <c r="P14" s="39" t="str">
        <f t="shared" si="5"/>
        <v>합계</v>
      </c>
      <c r="Q14" s="69">
        <f>SUM(Q5:Q13)</f>
        <v>21496507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-1210.9799999995157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21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79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179</v>
      </c>
      <c r="Q26" s="69">
        <f>SUM(Q19:Q25)</f>
        <v>61000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12822</v>
      </c>
      <c r="P29" s="107">
        <v>12827</v>
      </c>
      <c r="Q29" s="108">
        <f>P29-O29</f>
        <v>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6" sqref="P2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1112</v>
      </c>
      <c r="F1" s="1"/>
      <c r="G1" s="1"/>
      <c r="H1" s="1"/>
      <c r="I1" s="1"/>
      <c r="J1" s="1"/>
      <c r="K1" s="1"/>
      <c r="L1" s="22">
        <f>+ROUND(+O5*0.584/1000,3)</f>
        <v>11.077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9.2070000000000007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73.656000000000006</v>
      </c>
      <c r="M3" s="18" t="s">
        <v>10</v>
      </c>
      <c r="N3" s="3"/>
      <c r="O3" s="3"/>
      <c r="P3" s="129" t="str">
        <f>+'(1)'!C1&amp;"년"&amp;'(1)'!E1&amp;"월"&amp;C1&amp;"일"</f>
        <v>2022년2월8일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12172.288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6795.25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37480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175000</v>
      </c>
      <c r="L5" s="2"/>
      <c r="M5" s="20"/>
      <c r="N5" s="45" t="str">
        <f>+C4</f>
        <v>판매량</v>
      </c>
      <c r="O5" s="46">
        <f>SUM(D4+I4+D17+I17+D35+I35)</f>
        <v>18967.538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337.637</v>
      </c>
      <c r="E6" s="42" t="str">
        <f>+'(1)'!E6</f>
        <v>천원권</v>
      </c>
      <c r="F6" s="44">
        <v>8000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337.637</v>
      </c>
      <c r="P7" s="51" t="str">
        <f t="shared" ref="P7:P14" si="5">+E6</f>
        <v>천원권</v>
      </c>
      <c r="Q7" s="53">
        <f>SUM(F6+K6+F19+K19+F37+K37)</f>
        <v>10000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12750925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20130351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20130351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354.56900000000002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-12409.915000000001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354.56900000000002</v>
      </c>
      <c r="P11" s="51" t="str">
        <f t="shared" si="5"/>
        <v>OK케시백</v>
      </c>
      <c r="Q11" s="53">
        <f>SUM(F10+K10+F23+K23+F41+K41)</f>
        <v>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102858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-12409.915000000001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13147721.997000001</v>
      </c>
      <c r="E13" s="29" t="str">
        <f>+'(1)'!E13</f>
        <v>합계</v>
      </c>
      <c r="F13" s="61">
        <f>SUM(F4:F12)</f>
        <v>13147783</v>
      </c>
      <c r="G13" s="62"/>
      <c r="H13" s="29" t="str">
        <f t="shared" si="2"/>
        <v>합계</v>
      </c>
      <c r="I13" s="60">
        <f>SUM((I4-I5-I6-I7-I8-I9)*$E$1+I11)</f>
        <v>7556318</v>
      </c>
      <c r="J13" s="29" t="str">
        <f t="shared" si="3"/>
        <v>합계</v>
      </c>
      <c r="K13" s="61">
        <f>IF(K8=0,0,SUM(K4:K12)-F8)</f>
        <v>7556426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102858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61.002999998629093</v>
      </c>
      <c r="G14" s="27"/>
      <c r="H14" s="27"/>
      <c r="I14" s="27"/>
      <c r="J14" s="27"/>
      <c r="K14" s="67">
        <f>SUM(K13-I13)</f>
        <v>108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20704039.997000001</v>
      </c>
      <c r="P14" s="39" t="str">
        <f t="shared" si="5"/>
        <v>합계</v>
      </c>
      <c r="Q14" s="69">
        <f>SUM(Q5:Q13)</f>
        <v>20704209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169.00299999862909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12</v>
      </c>
      <c r="Q23" s="53">
        <f>SUM(P23*1000)</f>
        <v>12000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96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179</v>
      </c>
      <c r="Q26" s="69">
        <f>SUM(Q19:Q25)</f>
        <v>62000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12827</v>
      </c>
      <c r="P29" s="107">
        <v>12834</v>
      </c>
      <c r="Q29" s="108">
        <f>P29-O29</f>
        <v>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1112</v>
      </c>
      <c r="F1" s="1"/>
      <c r="G1" s="1"/>
      <c r="H1" s="1"/>
      <c r="I1" s="1"/>
      <c r="J1" s="1"/>
      <c r="K1" s="1"/>
      <c r="L1" s="22">
        <f>+ROUND(+O5*0.584/1000,3)</f>
        <v>11.99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9.516</v>
      </c>
      <c r="M2" s="18" t="s">
        <v>7</v>
      </c>
      <c r="N2" s="128" t="s">
        <v>1</v>
      </c>
      <c r="O2" s="128"/>
      <c r="P2" s="128"/>
      <c r="Q2" s="128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85.644000000000005</v>
      </c>
      <c r="M3" s="18" t="s">
        <v>10</v>
      </c>
      <c r="N3" s="3"/>
      <c r="O3" s="3"/>
      <c r="P3" s="129" t="str">
        <f>+'(1)'!C1&amp;"년"&amp;'(1)'!E1&amp;"월"&amp;C1&amp;"일"</f>
        <v>2022년2월9일</v>
      </c>
      <c r="Q3" s="129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12565.691999999999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7965.9030000000002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17024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335000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165000</v>
      </c>
      <c r="L5" s="2"/>
      <c r="M5" s="20"/>
      <c r="N5" s="45" t="str">
        <f>+C4</f>
        <v>판매량</v>
      </c>
      <c r="O5" s="46">
        <f>SUM(D4+I4+D17+I17+D35+I35)</f>
        <v>20531.595000000001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307.22699999999998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24.786000000000001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500000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서울페이</v>
      </c>
      <c r="F7" s="44"/>
      <c r="G7" s="27"/>
      <c r="H7" s="87" t="str">
        <f t="shared" si="2"/>
        <v>효신(업)</v>
      </c>
      <c r="I7" s="50"/>
      <c r="J7" s="42" t="str">
        <f t="shared" si="3"/>
        <v>서울페이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332.01299999999998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59.478999999999999</v>
      </c>
      <c r="E8" s="42" t="str">
        <f>+'(1)'!E8</f>
        <v>신용카드</v>
      </c>
      <c r="F8" s="44">
        <v>13165459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21809251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서울페이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>
        <v>14</v>
      </c>
      <c r="L9" s="2"/>
      <c r="M9" s="20"/>
      <c r="N9" s="51" t="str">
        <f t="shared" si="4"/>
        <v>자가소비</v>
      </c>
      <c r="O9" s="54">
        <f>SUM(D8+I8+D21+I21+D39+I39)</f>
        <v>59.478999999999999</v>
      </c>
      <c r="P9" s="51" t="str">
        <f t="shared" si="5"/>
        <v>신용카드</v>
      </c>
      <c r="Q9" s="53">
        <f>IF(K8=0,F8,IF(F21=0,K8,IF(K21=0,F21,K21)))</f>
        <v>21809251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204.202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159.369</v>
      </c>
      <c r="J10" s="42" t="str">
        <f t="shared" si="3"/>
        <v>OK케시백</v>
      </c>
      <c r="K10" s="44">
        <v>15000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14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-7147.07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-5577.915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363.57100000000003</v>
      </c>
      <c r="P11" s="51" t="str">
        <f t="shared" si="5"/>
        <v>OK케시백</v>
      </c>
      <c r="Q11" s="53">
        <f>SUM(F10+K10+F23+K23+F41+K41)</f>
        <v>15000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44945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-12724.985000000001</v>
      </c>
      <c r="P12" s="51" t="str">
        <f t="shared" si="5"/>
        <v>모바일</v>
      </c>
      <c r="Q12" s="53">
        <f>SUM(F11+K11+F24+K24+F42+K42)</f>
        <v>10000</v>
      </c>
      <c r="R12" s="109" t="s">
        <v>61</v>
      </c>
      <c r="S12" s="1">
        <v>18000</v>
      </c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13558125.361999998</v>
      </c>
      <c r="E13" s="29" t="str">
        <f>+'(1)'!E13</f>
        <v>합계</v>
      </c>
      <c r="F13" s="61">
        <f>SUM(F4:F12)</f>
        <v>13557404</v>
      </c>
      <c r="G13" s="62"/>
      <c r="H13" s="29" t="str">
        <f t="shared" si="2"/>
        <v>합계</v>
      </c>
      <c r="I13" s="60">
        <f>SUM((I4-I5-I6-I7-I8-I9)*$E$1+I11)</f>
        <v>8824944.1890000012</v>
      </c>
      <c r="J13" s="29" t="str">
        <f t="shared" si="3"/>
        <v>합계</v>
      </c>
      <c r="K13" s="61">
        <f>IF(K8=0,0,SUM(K4:K12)-F8)</f>
        <v>8824806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44945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-721.36199999786913</v>
      </c>
      <c r="G14" s="27"/>
      <c r="H14" s="27"/>
      <c r="I14" s="27"/>
      <c r="J14" s="27"/>
      <c r="K14" s="67">
        <f>SUM(K13-I13)</f>
        <v>-138.18900000117719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22383069.551000003</v>
      </c>
      <c r="P14" s="39" t="str">
        <f t="shared" si="5"/>
        <v>합계</v>
      </c>
      <c r="Q14" s="69">
        <f>SUM(Q5:Q13)</f>
        <v>22382210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-859.55099999904633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4" t="s">
        <v>34</v>
      </c>
      <c r="O18" s="127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8" t="s">
        <v>37</v>
      </c>
      <c r="O19" s="119"/>
      <c r="P19" s="73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서울페이</v>
      </c>
      <c r="F20" s="44"/>
      <c r="G20" s="27"/>
      <c r="H20" s="42" t="str">
        <f t="shared" si="10"/>
        <v>효신(업)</v>
      </c>
      <c r="I20" s="50"/>
      <c r="J20" s="42" t="str">
        <f t="shared" si="11"/>
        <v>서울페이</v>
      </c>
      <c r="K20" s="44"/>
      <c r="L20" s="2"/>
      <c r="M20" s="1"/>
      <c r="N20" s="124" t="s">
        <v>38</v>
      </c>
      <c r="O20" s="125"/>
      <c r="P20" s="74">
        <v>27</v>
      </c>
      <c r="Q20" s="53">
        <f>SUM(P20*1000)</f>
        <v>27000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4" t="s">
        <v>48</v>
      </c>
      <c r="O21" s="125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6" t="s">
        <v>53</v>
      </c>
      <c r="O22" s="121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20" t="s">
        <v>58</v>
      </c>
      <c r="O23" s="121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20" t="s">
        <v>52</v>
      </c>
      <c r="O24" s="121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2" t="s">
        <v>39</v>
      </c>
      <c r="O25" s="123"/>
      <c r="P25" s="75">
        <f>+P26-SUM(P19:P24)</f>
        <v>123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4" t="s">
        <v>40</v>
      </c>
      <c r="O26" s="115"/>
      <c r="P26" s="77">
        <v>207</v>
      </c>
      <c r="Q26" s="69">
        <f>SUM(Q19:Q25)</f>
        <v>60000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2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3"/>
      <c r="O29" s="106">
        <v>12834</v>
      </c>
      <c r="P29" s="107">
        <v>12840</v>
      </c>
      <c r="Q29" s="108">
        <f>P29-O29</f>
        <v>6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2022-03-02T00:26:23Z</dcterms:modified>
</cp:coreProperties>
</file>