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883" activeTab="29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D11" i="134" l="1"/>
  <c r="E4" i="134"/>
  <c r="E5" i="134"/>
  <c r="E6" i="134"/>
  <c r="E7" i="134"/>
  <c r="E8" i="134"/>
  <c r="E9" i="134"/>
  <c r="E10" i="134"/>
  <c r="E11" i="134"/>
  <c r="E12" i="134"/>
  <c r="D13" i="134"/>
  <c r="E13" i="134"/>
  <c r="F13" i="134"/>
  <c r="Q26" i="159" l="1"/>
  <c r="P25" i="159"/>
  <c r="Q23" i="159"/>
  <c r="Q22" i="159"/>
  <c r="Q21" i="159"/>
  <c r="Q20" i="159"/>
  <c r="Q19" i="159"/>
  <c r="P25" i="158"/>
  <c r="Q23" i="158"/>
  <c r="Q22" i="158"/>
  <c r="Q20" i="158"/>
  <c r="Q19" i="158"/>
  <c r="P25" i="157"/>
  <c r="Q23" i="157"/>
  <c r="Q22" i="157"/>
  <c r="Q20" i="157"/>
  <c r="Q19" i="157"/>
  <c r="P25" i="156"/>
  <c r="Q23" i="156"/>
  <c r="Q22" i="156"/>
  <c r="Q20" i="156"/>
  <c r="Q19" i="156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P25" i="152"/>
  <c r="Q23" i="152"/>
  <c r="Q22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26" i="148" s="1"/>
  <c r="Q19" i="148"/>
  <c r="P25" i="147"/>
  <c r="Q23" i="147"/>
  <c r="Q22" i="147"/>
  <c r="Q20" i="147"/>
  <c r="Q19" i="147"/>
  <c r="P25" i="146"/>
  <c r="Q23" i="146"/>
  <c r="Q22" i="146"/>
  <c r="Q19" i="146"/>
  <c r="P25" i="145"/>
  <c r="Q23" i="145"/>
  <c r="Q22" i="145"/>
  <c r="Q20" i="145"/>
  <c r="Q19" i="145"/>
  <c r="P25" i="144"/>
  <c r="Q23" i="144"/>
  <c r="Q22" i="144"/>
  <c r="Q20" i="144"/>
  <c r="Q19" i="144"/>
  <c r="P25" i="143"/>
  <c r="Q23" i="143"/>
  <c r="Q22" i="143"/>
  <c r="Q20" i="143"/>
  <c r="Q19" i="143"/>
  <c r="Q23" i="142"/>
  <c r="Q22" i="142"/>
  <c r="Q20" i="142"/>
  <c r="Q19" i="142"/>
  <c r="P25" i="141"/>
  <c r="Q23" i="141"/>
  <c r="Q22" i="141"/>
  <c r="Q20" i="141"/>
  <c r="Q19" i="141"/>
  <c r="P25" i="140"/>
  <c r="Q23" i="140"/>
  <c r="Q22" i="140"/>
  <c r="Q20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7"/>
  <c r="Q23" i="137"/>
  <c r="Q22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P25" i="134"/>
  <c r="Q23" i="134"/>
  <c r="Q22" i="134"/>
  <c r="Q20" i="134"/>
  <c r="Q19" i="134"/>
  <c r="Q26" i="134" s="1"/>
  <c r="P25" i="133"/>
  <c r="Q23" i="133"/>
  <c r="Q22" i="133"/>
  <c r="Q20" i="133"/>
  <c r="Q19" i="133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8" l="1"/>
  <c r="Q26" i="157"/>
  <c r="Q26" i="156"/>
  <c r="Q26" i="155"/>
  <c r="Q26" i="154"/>
  <c r="Q26" i="153"/>
  <c r="Q26" i="152"/>
  <c r="Q26" i="151"/>
  <c r="Q26" i="150"/>
  <c r="Q26" i="149"/>
  <c r="Q26" i="147"/>
  <c r="Q26" i="146"/>
  <c r="Q26" i="145"/>
  <c r="Q26" i="144"/>
  <c r="Q26" i="143"/>
  <c r="Q26" i="142"/>
  <c r="Q26" i="141"/>
  <c r="Q26" i="140"/>
  <c r="Q26" i="139"/>
  <c r="Q26" i="138"/>
  <c r="Q26" i="137"/>
  <c r="Q26" i="136"/>
  <c r="Q26" i="135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O12" i="159"/>
  <c r="I11" i="159"/>
  <c r="D11" i="159"/>
  <c r="I24" i="158"/>
  <c r="H24" i="158"/>
  <c r="E24" i="158"/>
  <c r="D24" i="158"/>
  <c r="O12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I24" i="133"/>
  <c r="H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J20" i="13"/>
  <c r="H20" i="13"/>
  <c r="E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J20" i="132"/>
  <c r="H20" i="132"/>
  <c r="E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J22" i="133"/>
  <c r="H22" i="133"/>
  <c r="C22" i="133"/>
  <c r="J21" i="133"/>
  <c r="H21" i="133"/>
  <c r="C21" i="133"/>
  <c r="J20" i="133"/>
  <c r="H20" i="133"/>
  <c r="C20" i="133"/>
  <c r="J19" i="133"/>
  <c r="H19" i="133"/>
  <c r="C19" i="133"/>
  <c r="J18" i="133"/>
  <c r="H18" i="133"/>
  <c r="C18" i="133"/>
  <c r="J17" i="133"/>
  <c r="H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J20" i="134"/>
  <c r="H20" i="134"/>
  <c r="E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J13" i="134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J20" i="135"/>
  <c r="H20" i="135"/>
  <c r="E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J20" i="136"/>
  <c r="H20" i="136"/>
  <c r="E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J20" i="137"/>
  <c r="H20" i="137"/>
  <c r="E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J20" i="138"/>
  <c r="H20" i="138"/>
  <c r="E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J20" i="139"/>
  <c r="H20" i="139"/>
  <c r="E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J20" i="140"/>
  <c r="H20" i="140"/>
  <c r="E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J20" i="141"/>
  <c r="H20" i="141"/>
  <c r="E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J20" i="142"/>
  <c r="H20" i="142"/>
  <c r="E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J20" i="143"/>
  <c r="H20" i="143"/>
  <c r="E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J20" i="144"/>
  <c r="H20" i="144"/>
  <c r="E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J20" i="145"/>
  <c r="H20" i="145"/>
  <c r="E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J20" i="147"/>
  <c r="H20" i="147"/>
  <c r="E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J20" i="148"/>
  <c r="H20" i="148"/>
  <c r="E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J20" i="149"/>
  <c r="H20" i="149"/>
  <c r="E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J20" i="150"/>
  <c r="H20" i="150"/>
  <c r="E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J20" i="151"/>
  <c r="H20" i="151"/>
  <c r="E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J20" i="152"/>
  <c r="H20" i="152"/>
  <c r="E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J20" i="153"/>
  <c r="H20" i="153"/>
  <c r="E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J20" i="154"/>
  <c r="H20" i="154"/>
  <c r="E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J20" i="155"/>
  <c r="H20" i="155"/>
  <c r="E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J20" i="156"/>
  <c r="H20" i="156"/>
  <c r="E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J20" i="157"/>
  <c r="H20" i="157"/>
  <c r="E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J20" i="158"/>
  <c r="H20" i="158"/>
  <c r="E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F14" i="134" l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Q14" i="159" s="1"/>
  <c r="O5" i="159"/>
  <c r="N5" i="159"/>
  <c r="Q13" i="158"/>
  <c r="Q12" i="158"/>
  <c r="Q11" i="158"/>
  <c r="O11" i="158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J7" i="137" s="1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C12" i="134"/>
  <c r="C11" i="134"/>
  <c r="C10" i="134"/>
  <c r="C9" i="134"/>
  <c r="C8" i="134"/>
  <c r="C7" i="134"/>
  <c r="C6" i="134"/>
  <c r="C5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J7" i="131" s="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P8" i="13"/>
  <c r="J12" i="13"/>
  <c r="E12" i="13"/>
  <c r="E11" i="13"/>
  <c r="E10" i="13"/>
  <c r="E9" i="13"/>
  <c r="P10" i="13" s="1"/>
  <c r="E8" i="13"/>
  <c r="P9" i="13" s="1"/>
  <c r="E7" i="13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6" l="1"/>
  <c r="Q14" i="146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F14" i="138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<sst xmlns="http://schemas.openxmlformats.org/spreadsheetml/2006/main" count="879" uniqueCount="69">
  <si>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</si>
  <si>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</si>
  <si>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</si>
  <si>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</si>
  <si>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</si>
  <si>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</si>
  <si>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</si>
  <si>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</si>
  <si>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</si>
  <si>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</si>
  <si>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</si>
  <si>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09:00~09:01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</si>
  <si>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</si>
  <si>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</si>
  <si>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</si>
  <si>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</si>
  <si>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</si>
  <si>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</si>
  <si>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</si>
  <si>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</si>
  <si>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</si>
  <si>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</si>
  <si>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</si>
  <si>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</si>
  <si>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</si>
  <si>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</si>
  <si>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</si>
  <si>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</si>
  <si>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</si>
  <si>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</si>
  <si>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</si>
  <si>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</si>
  <si>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</si>
  <si>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</si>
  <si>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</si>
  <si>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</si>
  <si>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</si>
  <si>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</si>
  <si>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</si>
  <si>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</si>
  <si>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</si>
  <si>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</si>
  <si>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</si>
  <si>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</si>
  <si>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</si>
  <si>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</si>
  <si>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</si>
  <si>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</si>
  <si>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</si>
  <si>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</si>
  <si>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</si>
  <si>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</si>
  <si>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</si>
  <si>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</si>
  <si>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</si>
  <si>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</si>
  <si>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</si>
  <si>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</si>
  <si>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</si>
  <si>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</si>
  <si>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</si>
  <si>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.</t>
    <phoneticPr fontId="1" type="noConversion"/>
  </si>
  <si>
    <r>
      <t>21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maigun ghodic"/>
        <family val="2"/>
      </rPr>
      <t xml:space="preserve"> </t>
    </r>
    <r>
      <rPr>
        <sz val="11"/>
        <color theme="1"/>
        <rFont val="돋움"/>
        <family val="3"/>
        <charset val="129"/>
      </rPr>
      <t>마감</t>
    </r>
    <phoneticPr fontId="1" type="noConversion"/>
  </si>
  <si>
    <r>
      <t>00</t>
    </r>
    <r>
      <rPr>
        <sz val="11"/>
        <color theme="1"/>
        <rFont val="돋움"/>
        <family val="3"/>
        <charset val="129"/>
      </rPr>
      <t>시마감</t>
    </r>
    <phoneticPr fontId="1" type="noConversion"/>
  </si>
  <si>
    <r>
      <t>00</t>
    </r>
    <r>
      <rPr>
        <sz val="11"/>
        <color rgb="FFFF0000"/>
        <rFont val="돋움"/>
        <family val="3"/>
        <charset val="129"/>
      </rPr>
      <t>시</t>
    </r>
    <r>
      <rPr>
        <sz val="11"/>
        <color rgb="FFFF0000"/>
        <rFont val="maigun ghodic"/>
        <family val="2"/>
      </rPr>
      <t xml:space="preserve"> </t>
    </r>
    <r>
      <rPr>
        <sz val="11"/>
        <color rgb="FFFF0000"/>
        <rFont val="돋움"/>
        <family val="3"/>
        <charset val="129"/>
      </rPr>
      <t>재고를</t>
    </r>
    <r>
      <rPr>
        <sz val="11"/>
        <color rgb="FFFF0000"/>
        <rFont val="maigun ghodic"/>
        <family val="2"/>
      </rPr>
      <t xml:space="preserve"> </t>
    </r>
    <r>
      <rPr>
        <sz val="11"/>
        <color rgb="FFFF0000"/>
        <rFont val="돋움"/>
        <family val="3"/>
        <charset val="129"/>
      </rPr>
      <t>써주세요</t>
    </r>
    <phoneticPr fontId="1" type="noConversion"/>
  </si>
  <si>
    <t>9시마감</t>
    <phoneticPr fontId="1" type="noConversion"/>
  </si>
  <si>
    <t>21시마감</t>
    <phoneticPr fontId="1" type="noConversion"/>
  </si>
  <si>
    <t>다음날아침9시</t>
    <phoneticPr fontId="1" type="noConversion"/>
  </si>
  <si>
    <t>09:00~00:00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</si>
</sst>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1" fillId="2" borderId="5" xfId="0" applyNumberFormat="1" applyFont="1" applyFill="1" applyBorder="1" applyAlignment="1" applyProtection="1">
      <alignment horizontal="right" vertical="center"/>
      <protection locked="0"/>
    </xf>
    <xf numFmtId="176" fontId="9" fillId="0" borderId="0" xfId="0" applyNumberFormat="1" applyFont="1" applyFill="1" applyAlignment="1" applyProtection="1">
      <alignment horizontal="center" vertical="center"/>
      <protection locked="0"/>
    </xf>
    <xf numFmtId="176" fontId="2" fillId="0" borderId="0" xfId="0" applyNumberFormat="1" applyFont="1" applyFill="1" applyAlignment="1" applyProtection="1">
      <alignment horizontal="left" vertical="center"/>
      <protection locked="0"/>
    </xf>
    <xf numFmtId="176" fontId="18" fillId="0" borderId="0" xfId="0" applyNumberFormat="1" applyFont="1" applyFill="1" applyAlignment="1" applyProtection="1">
      <alignment horizontal="center" vertical="center"/>
      <protection locked="0"/>
    </xf>
    <xf numFmtId="176" fontId="4" fillId="0" borderId="0" xfId="0" applyNumberFormat="1" applyFont="1" applyFill="1" applyAlignment="1" applyProtection="1">
      <alignment horizontal="center" vertical="center"/>
      <protection locked="0"/>
    </xf>
    <xf numFmtId="181" fontId="4" fillId="0" borderId="0" xfId="0" applyNumberFormat="1" applyFont="1" applyFill="1" applyAlignment="1" applyProtection="1">
      <alignment horizontal="right" vertical="center"/>
    </xf>
    <xf numFmtId="176" fontId="10" fillId="0" borderId="0" xfId="0" applyNumberFormat="1" applyFont="1" applyFill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horizontal="center" vertical="center"/>
    </xf>
    <xf numFmtId="176" fontId="15" fillId="0" borderId="3" xfId="0" applyNumberFormat="1" applyFont="1" applyFill="1" applyBorder="1" applyAlignment="1" applyProtection="1">
      <alignment horizontal="center" vertical="center"/>
      <protection locked="0"/>
    </xf>
    <xf numFmtId="176" fontId="11" fillId="0" borderId="0" xfId="0" applyNumberFormat="1" applyFont="1" applyFill="1" applyAlignment="1" applyProtection="1">
      <alignment horizontal="center" vertical="center"/>
      <protection locked="0"/>
    </xf>
    <xf numFmtId="182" fontId="4" fillId="0" borderId="0" xfId="0" applyNumberFormat="1" applyFont="1" applyFill="1" applyAlignment="1" applyProtection="1">
      <alignment horizontal="right"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8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15" fillId="0" borderId="10" xfId="0" applyNumberFormat="1" applyFont="1" applyFill="1" applyBorder="1" applyAlignment="1" applyProtection="1">
      <alignment horizontal="center" vertical="center"/>
      <protection locked="0"/>
    </xf>
    <xf numFmtId="177" fontId="11" fillId="0" borderId="6" xfId="0" applyNumberFormat="1" applyFont="1" applyFill="1" applyBorder="1" applyAlignment="1" applyProtection="1">
      <alignment horizontal="right" vertical="center"/>
      <protection locked="0"/>
    </xf>
    <xf numFmtId="176" fontId="11" fillId="0" borderId="7" xfId="0" applyNumberFormat="1" applyFont="1" applyFill="1" applyBorder="1" applyAlignment="1" applyProtection="1">
      <alignment horizontal="right" vertical="center"/>
      <protection locked="0"/>
    </xf>
    <xf numFmtId="176" fontId="4" fillId="0" borderId="0" xfId="0" applyNumberFormat="1" applyFont="1" applyFill="1" applyAlignment="1" applyProtection="1">
      <alignment horizontal="right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15" fillId="0" borderId="3" xfId="0" applyNumberFormat="1" applyFont="1" applyFill="1" applyBorder="1" applyAlignment="1" applyProtection="1">
      <alignment horizontal="center" vertical="center"/>
    </xf>
    <xf numFmtId="178" fontId="4" fillId="0" borderId="0" xfId="0" applyNumberFormat="1" applyFont="1" applyFill="1" applyBorder="1" applyAlignment="1" applyProtection="1">
      <alignment horizontal="right" vertical="center"/>
      <protection locked="0"/>
    </xf>
    <xf numFmtId="176" fontId="4" fillId="0" borderId="0" xfId="0" applyNumberFormat="1" applyFont="1" applyFill="1" applyAlignment="1" applyProtection="1">
      <alignment horizontal="left" vertical="center"/>
      <protection locked="0"/>
    </xf>
    <xf numFmtId="176" fontId="15" fillId="0" borderId="13" xfId="0" applyNumberFormat="1" applyFont="1" applyFill="1" applyBorder="1" applyAlignment="1" applyProtection="1">
      <alignment horizontal="center" vertical="center"/>
      <protection locked="0"/>
    </xf>
    <xf numFmtId="176" fontId="11" fillId="0" borderId="1" xfId="0" applyNumberFormat="1" applyFont="1" applyFill="1" applyBorder="1" applyAlignment="1" applyProtection="1">
      <alignment horizontal="right" vertical="center"/>
      <protection locked="0"/>
    </xf>
    <xf numFmtId="176" fontId="15" fillId="0" borderId="11" xfId="0" applyNumberFormat="1" applyFont="1" applyFill="1" applyBorder="1" applyAlignment="1" applyProtection="1">
      <alignment horizontal="center" vertical="center"/>
      <protection locked="0"/>
    </xf>
    <xf numFmtId="176" fontId="11" fillId="0" borderId="5" xfId="0" applyNumberFormat="1" applyFont="1" applyFill="1" applyBorder="1" applyAlignment="1" applyProtection="1">
      <alignment horizontal="right" vertical="center"/>
      <protection locked="0"/>
    </xf>
    <xf numFmtId="176" fontId="15" fillId="0" borderId="13" xfId="0" applyNumberFormat="1" applyFont="1" applyFill="1" applyBorder="1" applyAlignment="1" applyProtection="1">
      <alignment horizontal="center" vertical="center"/>
    </xf>
    <xf numFmtId="177" fontId="11" fillId="0" borderId="6" xfId="0" applyNumberFormat="1" applyFont="1" applyFill="1" applyBorder="1" applyAlignment="1" applyProtection="1">
      <alignment horizontal="right" vertical="center"/>
    </xf>
    <xf numFmtId="176" fontId="15" fillId="0" borderId="10" xfId="0" applyNumberFormat="1" applyFont="1" applyFill="1" applyBorder="1" applyAlignment="1" applyProtection="1">
      <alignment horizontal="center" vertical="center"/>
    </xf>
    <xf numFmtId="176" fontId="11" fillId="0" borderId="7" xfId="0" applyNumberFormat="1" applyFont="1" applyFill="1" applyBorder="1" applyAlignment="1" applyProtection="1">
      <alignment horizontal="right" vertical="center"/>
    </xf>
    <xf numFmtId="179" fontId="4" fillId="0" borderId="0" xfId="0" applyNumberFormat="1" applyFont="1" applyFill="1" applyBorder="1" applyAlignment="1" applyProtection="1">
      <alignment horizontal="right" vertical="center"/>
      <protection locked="0"/>
    </xf>
    <xf numFmtId="177" fontId="11" fillId="0" borderId="1" xfId="0" applyNumberFormat="1" applyFont="1" applyFill="1" applyBorder="1" applyAlignment="1" applyProtection="1">
      <alignment horizontal="right" vertical="center"/>
      <protection locked="0"/>
    </xf>
    <xf numFmtId="176" fontId="15" fillId="0" borderId="11" xfId="0" applyNumberFormat="1" applyFont="1" applyFill="1" applyBorder="1" applyAlignment="1" applyProtection="1">
      <alignment horizontal="center" vertical="center"/>
    </xf>
    <xf numFmtId="176" fontId="11" fillId="0" borderId="1" xfId="0" applyNumberFormat="1" applyFont="1" applyFill="1" applyBorder="1" applyAlignment="1" applyProtection="1">
      <alignment horizontal="right" vertical="center"/>
    </xf>
    <xf numFmtId="176" fontId="11" fillId="0" borderId="5" xfId="0" applyNumberFormat="1" applyFont="1" applyFill="1" applyBorder="1" applyAlignment="1" applyProtection="1">
      <alignment horizontal="right" vertical="center"/>
    </xf>
    <xf numFmtId="177" fontId="11" fillId="0" borderId="1" xfId="0" applyNumberFormat="1" applyFont="1" applyFill="1" applyBorder="1" applyAlignment="1" applyProtection="1">
      <alignment horizontal="right" vertical="center"/>
    </xf>
    <xf numFmtId="176" fontId="10" fillId="0" borderId="0" xfId="0" applyNumberFormat="1" applyFont="1" applyFill="1" applyAlignment="1" applyProtection="1">
      <alignment horizontal="left" vertical="center"/>
      <protection locked="0"/>
    </xf>
    <xf numFmtId="176" fontId="11" fillId="0" borderId="1" xfId="0" applyNumberFormat="1" applyFont="1" applyFill="1" applyBorder="1" applyAlignment="1" applyProtection="1">
      <alignment horizontal="right" vertical="center"/>
      <protection hidden="1"/>
    </xf>
    <xf numFmtId="176" fontId="15" fillId="0" borderId="29" xfId="0" applyNumberFormat="1" applyFont="1" applyFill="1" applyBorder="1" applyAlignment="1" applyProtection="1">
      <alignment horizontal="center" vertical="center"/>
      <protection locked="0"/>
    </xf>
    <xf numFmtId="176" fontId="11" fillId="0" borderId="15" xfId="0" applyNumberFormat="1" applyFont="1" applyFill="1" applyBorder="1" applyAlignment="1" applyProtection="1">
      <alignment horizontal="right" vertical="center"/>
      <protection locked="0"/>
    </xf>
    <xf numFmtId="176" fontId="15" fillId="0" borderId="14" xfId="0" applyNumberFormat="1" applyFont="1" applyFill="1" applyBorder="1" applyAlignment="1" applyProtection="1">
      <alignment horizontal="center" vertical="center"/>
      <protection locked="0"/>
    </xf>
    <xf numFmtId="176" fontId="11" fillId="0" borderId="16" xfId="0" applyNumberFormat="1" applyFont="1" applyFill="1" applyBorder="1" applyAlignment="1" applyProtection="1">
      <alignment horizontal="right" vertical="center"/>
      <protection locked="0"/>
    </xf>
    <xf numFmtId="176" fontId="11" fillId="0" borderId="8" xfId="0" applyNumberFormat="1" applyFont="1" applyFill="1" applyBorder="1" applyAlignment="1" applyProtection="1">
      <alignment horizontal="right" vertical="center"/>
      <protection hidden="1"/>
    </xf>
    <xf numFmtId="176" fontId="11" fillId="0" borderId="9" xfId="0" applyNumberFormat="1" applyFont="1" applyFill="1" applyBorder="1" applyAlignment="1" applyProtection="1">
      <alignment horizontal="right" vertical="center"/>
      <protection hidden="1"/>
    </xf>
    <xf numFmtId="176" fontId="11" fillId="0" borderId="0" xfId="0" applyNumberFormat="1" applyFont="1" applyFill="1" applyAlignment="1" applyProtection="1">
      <alignment horizontal="center" vertical="center"/>
      <protection hidden="1"/>
    </xf>
    <xf numFmtId="176" fontId="15" fillId="0" borderId="14" xfId="0" applyNumberFormat="1" applyFont="1" applyFill="1" applyBorder="1" applyAlignment="1" applyProtection="1">
      <alignment horizontal="center" vertical="center"/>
    </xf>
    <xf numFmtId="176" fontId="11" fillId="0" borderId="15" xfId="0" applyNumberFormat="1" applyFont="1" applyFill="1" applyBorder="1" applyAlignment="1" applyProtection="1">
      <alignment horizontal="right" vertical="center"/>
    </xf>
    <xf numFmtId="176" fontId="11" fillId="0" borderId="16" xfId="0" applyNumberFormat="1" applyFont="1" applyFill="1" applyBorder="1" applyAlignment="1" applyProtection="1">
      <alignment horizontal="right" vertical="center"/>
    </xf>
    <xf numFmtId="176" fontId="11" fillId="0" borderId="0" xfId="0" applyNumberFormat="1" applyFont="1" applyFill="1" applyAlignment="1" applyProtection="1">
      <alignment horizontal="right" vertical="center"/>
      <protection locked="0"/>
    </xf>
    <xf numFmtId="180" fontId="11" fillId="0" borderId="0" xfId="0" applyNumberFormat="1" applyFont="1" applyFill="1" applyAlignment="1" applyProtection="1">
      <alignment horizontal="right" vertical="center"/>
      <protection locked="0"/>
    </xf>
    <xf numFmtId="176" fontId="11" fillId="0" borderId="8" xfId="0" applyNumberFormat="1" applyFont="1" applyFill="1" applyBorder="1" applyAlignment="1" applyProtection="1">
      <alignment horizontal="right" vertical="center"/>
    </xf>
    <xf numFmtId="176" fontId="11" fillId="0" borderId="9" xfId="0" applyNumberFormat="1" applyFont="1" applyFill="1" applyBorder="1" applyAlignment="1" applyProtection="1">
      <alignment horizontal="right" vertical="center"/>
    </xf>
    <xf numFmtId="180" fontId="11" fillId="0" borderId="6" xfId="0" applyNumberFormat="1" applyFont="1" applyFill="1" applyBorder="1" applyAlignment="1" applyProtection="1">
      <alignment horizontal="right" vertical="center"/>
      <protection locked="0"/>
    </xf>
    <xf numFmtId="176" fontId="15" fillId="0" borderId="26" xfId="0" applyNumberFormat="1" applyFont="1" applyFill="1" applyBorder="1" applyAlignment="1" applyProtection="1">
      <alignment horizontal="center" vertical="center"/>
      <protection locked="0"/>
    </xf>
    <xf numFmtId="176" fontId="15" fillId="0" borderId="9" xfId="0" applyNumberFormat="1" applyFont="1" applyFill="1" applyBorder="1" applyAlignment="1" applyProtection="1">
      <alignment horizontal="center" vertical="center"/>
      <protection locked="0"/>
    </xf>
    <xf numFmtId="176" fontId="11" fillId="0" borderId="27" xfId="0" applyNumberFormat="1" applyFont="1" applyFill="1" applyBorder="1" applyAlignment="1" applyProtection="1">
      <alignment horizontal="center" vertical="center"/>
      <protection locked="0"/>
    </xf>
    <xf numFmtId="176" fontId="11" fillId="0" borderId="4" xfId="0" applyNumberFormat="1" applyFont="1" applyFill="1" applyBorder="1" applyAlignment="1" applyProtection="1">
      <alignment horizontal="center" vertical="center"/>
      <protection locked="0"/>
    </xf>
    <xf numFmtId="176" fontId="11" fillId="0" borderId="28" xfId="0" applyNumberFormat="1" applyFont="1" applyFill="1" applyBorder="1" applyAlignment="1" applyProtection="1">
      <alignment horizontal="center" vertical="center"/>
    </xf>
    <xf numFmtId="176" fontId="11" fillId="0" borderId="16" xfId="0" applyNumberFormat="1" applyFont="1" applyFill="1" applyBorder="1" applyAlignment="1" applyProtection="1">
      <alignment horizontal="center" vertical="center"/>
    </xf>
    <xf numFmtId="176" fontId="11" fillId="0" borderId="26" xfId="0" applyNumberFormat="1" applyFont="1" applyFill="1" applyBorder="1" applyAlignment="1" applyProtection="1">
      <alignment horizontal="center" vertical="center"/>
      <protection locked="0"/>
    </xf>
    <xf numFmtId="176" fontId="10" fillId="0" borderId="30" xfId="0" applyNumberFormat="1" applyFont="1" applyFill="1" applyBorder="1" applyAlignment="1" applyProtection="1">
      <alignment horizontal="center" vertical="center"/>
      <protection locked="0"/>
    </xf>
    <xf numFmtId="176" fontId="10" fillId="0" borderId="31" xfId="0" applyNumberFormat="1" applyFont="1" applyFill="1" applyBorder="1" applyAlignment="1" applyProtection="1">
      <alignment horizontal="center" vertical="center"/>
      <protection locked="0"/>
    </xf>
    <xf numFmtId="176" fontId="7" fillId="0" borderId="0" xfId="0" applyNumberFormat="1" applyFont="1" applyFill="1" applyBorder="1" applyAlignment="1" applyProtection="1">
      <alignment horizontal="center" vertical="center"/>
      <protection locked="0"/>
    </xf>
    <xf numFmtId="176" fontId="10" fillId="0" borderId="32" xfId="0" applyNumberFormat="1" applyFont="1" applyFill="1" applyBorder="1" applyAlignment="1" applyProtection="1">
      <alignment horizontal="center" vertical="center"/>
      <protection locked="0"/>
    </xf>
    <xf numFmtId="176" fontId="4" fillId="0" borderId="32" xfId="0" applyNumberFormat="1" applyFont="1" applyFill="1" applyBorder="1" applyAlignment="1" applyProtection="1">
      <alignment horizontal="center" vertical="center"/>
      <protection locked="0"/>
    </xf>
    <xf numFmtId="176" fontId="4" fillId="0" borderId="33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Border="1" applyAlignment="1" applyProtection="1">
      <alignment horizontal="right" vertical="center"/>
      <protection locked="0"/>
    </xf>
    <xf numFmtId="177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7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 applyProtection="1">
      <alignment horizontal="right" vertical="center"/>
      <protection locked="0"/>
    </xf>
    <xf numFmtId="176" fontId="4" fillId="2" borderId="0" xfId="0" applyNumberFormat="1" applyFont="1" applyFill="1" applyAlignment="1">
      <alignment horizontal="center" vertical="center"/>
    </xf>
    <xf numFmtId="178" fontId="4" fillId="2" borderId="0" xfId="0" applyNumberFormat="1" applyFont="1" applyFill="1" applyBorder="1" applyAlignment="1" applyProtection="1">
      <alignment horizontal="right" vertical="center"/>
      <protection locked="0"/>
    </xf>
    <xf numFmtId="179" fontId="4" fillId="2" borderId="0" xfId="0" applyNumberFormat="1" applyFont="1" applyFill="1" applyBorder="1" applyAlignment="1" applyProtection="1">
      <alignment horizontal="right" vertical="center"/>
      <protection locked="0"/>
    </xf>
    <xf numFmtId="178" fontId="17" fillId="0" borderId="0" xfId="0" applyNumberFormat="1" applyFont="1" applyBorder="1" applyAlignment="1" applyProtection="1">
      <alignment horizontal="left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  <xf numFmtId="176" fontId="10" fillId="0" borderId="34" xfId="0" applyNumberFormat="1" applyFont="1" applyFill="1" applyBorder="1" applyAlignment="1" applyProtection="1">
      <alignment horizontal="center" vertical="center"/>
      <protection locked="0"/>
    </xf>
    <xf numFmtId="176" fontId="10" fillId="0" borderId="35" xfId="0" applyNumberFormat="1" applyFont="1" applyFill="1" applyBorder="1" applyAlignment="1" applyProtection="1">
      <alignment horizontal="center" vertical="center"/>
      <protection locked="0"/>
    </xf>
    <xf numFmtId="176" fontId="15" fillId="0" borderId="4" xfId="0" applyNumberFormat="1" applyFont="1" applyFill="1" applyBorder="1" applyAlignment="1" applyProtection="1">
      <alignment horizontal="center" vertical="center"/>
      <protection locked="0"/>
    </xf>
    <xf numFmtId="176" fontId="15" fillId="0" borderId="21" xfId="0" applyNumberFormat="1" applyFont="1" applyFill="1" applyBorder="1" applyAlignment="1" applyProtection="1">
      <alignment horizontal="center" vertical="center"/>
      <protection locked="0"/>
    </xf>
    <xf numFmtId="176" fontId="5" fillId="0" borderId="0" xfId="0" applyNumberFormat="1" applyFont="1" applyFill="1" applyAlignment="1" applyProtection="1">
      <alignment horizontal="center" vertical="center"/>
      <protection locked="0"/>
    </xf>
    <xf numFmtId="176" fontId="7" fillId="0" borderId="2" xfId="0" applyNumberFormat="1" applyFont="1" applyFill="1" applyBorder="1" applyAlignment="1" applyProtection="1">
      <alignment horizontal="right" vertical="center"/>
      <protection hidden="1"/>
    </xf>
    <xf numFmtId="176" fontId="15" fillId="0" borderId="20" xfId="0" applyNumberFormat="1" applyFont="1" applyFill="1" applyBorder="1" applyAlignment="1" applyProtection="1">
      <alignment horizontal="center" vertical="center"/>
      <protection locked="0"/>
    </xf>
    <xf numFmtId="176" fontId="15" fillId="0" borderId="23" xfId="0" applyNumberFormat="1" applyFont="1" applyFill="1" applyBorder="1" applyAlignment="1" applyProtection="1">
      <alignment horizontal="center" vertical="center"/>
      <protection locked="0"/>
    </xf>
    <xf numFmtId="176" fontId="15" fillId="0" borderId="19" xfId="0" applyNumberFormat="1" applyFont="1" applyFill="1" applyBorder="1" applyAlignment="1" applyProtection="1">
      <alignment horizontal="center" vertical="center"/>
      <protection locked="0"/>
    </xf>
    <xf numFmtId="176" fontId="15" fillId="0" borderId="22" xfId="0" applyNumberFormat="1" applyFont="1" applyFill="1" applyBorder="1" applyAlignment="1" applyProtection="1">
      <alignment horizontal="center" vertical="center"/>
      <protection locked="0"/>
    </xf>
    <xf numFmtId="0" fontId="11" fillId="0" borderId="22" xfId="0" applyFont="1" applyFill="1" applyBorder="1" applyAlignment="1">
      <alignment horizontal="center" vertical="center"/>
    </xf>
    <xf numFmtId="176" fontId="15" fillId="0" borderId="17" xfId="0" applyNumberFormat="1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>
      <alignment horizontal="center" vertical="center"/>
    </xf>
    <xf numFmtId="176" fontId="15" fillId="0" borderId="17" xfId="0" quotePrefix="1" applyNumberFormat="1" applyFont="1" applyFill="1" applyBorder="1" applyAlignment="1" applyProtection="1">
      <alignment horizontal="center" vertical="center"/>
      <protection locked="0"/>
    </xf>
    <xf numFmtId="176" fontId="15" fillId="0" borderId="18" xfId="0" applyNumberFormat="1" applyFont="1" applyFill="1" applyBorder="1" applyAlignment="1" applyProtection="1">
      <alignment horizontal="center" vertical="center"/>
      <protection locked="0"/>
    </xf>
    <xf numFmtId="0" fontId="11" fillId="0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Y45"/>
  <sheetViews>
    <sheetView workbookViewId="0">
      <selection activeCell="K5" sqref="K5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2:25" ht="23.25" customHeight="1">
      <c r="C1" s="23">
        <v>2022</v>
      </c>
      <c r="D1" s="24" t="str">
        <f>IF(C1&lt;2000,"◀  년 입력","년")</f>
        <v>년</v>
      </c>
      <c r="E1" s="25">
        <v>4</v>
      </c>
      <c r="F1" s="24" t="str">
        <f>IF(E1&lt;1,"◀  월 입력","월")</f>
        <v>월</v>
      </c>
      <c r="G1" s="25"/>
      <c r="H1" s="26" t="s">
        <v>12</v>
      </c>
      <c r="I1" s="25">
        <v>1229</v>
      </c>
      <c r="J1" s="24" t="str">
        <f>IF(I1&lt;100,"◀  단가입력","원")</f>
        <v>원</v>
      </c>
      <c r="L1" s="28">
        <f>+ROUND(+O5*0.584/1000,3)</f>
        <v>15.641</v>
      </c>
      <c r="M1" s="27" t="s">
        <v>8</v>
      </c>
    </row>
    <row r="2" spans="2:25" ht="21" customHeight="1" thickBot="1">
      <c r="C2" s="27">
        <v>1</v>
      </c>
      <c r="H2" s="27">
        <v>2</v>
      </c>
      <c r="L2" s="28">
        <f>+L1</f>
        <v>15.641</v>
      </c>
      <c r="M2" s="27" t="s">
        <v>7</v>
      </c>
      <c r="N2" s="190" t="s">
        <v>13</v>
      </c>
      <c r="O2" s="190"/>
      <c r="P2" s="190"/>
      <c r="Q2" s="190"/>
    </row>
    <row r="3" spans="2:25" ht="16.5" customHeight="1" thickBot="1">
      <c r="C3" s="29" t="s">
        <v>14</v>
      </c>
      <c r="D3" s="29" t="s">
        <v>15</v>
      </c>
      <c r="E3" s="29" t="s">
        <v>14</v>
      </c>
      <c r="F3" s="30" t="s">
        <v>15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89" t="str">
        <f>+'(1)'!$C$1&amp;"년"&amp;'(1)'!$E$1&amp;"월"&amp;$G$1&amp;"일"</f>
        <v>2022년4월일</v>
      </c>
      <c r="Q3" s="189"/>
      <c r="R3" s="33"/>
    </row>
    <row r="4" spans="2:25" ht="16.5" customHeight="1" thickBot="1">
      <c r="B4" s="27" t="s">
        <v>65</v>
      </c>
      <c r="C4" s="34" t="s">
        <v>16</v>
      </c>
      <c r="D4" s="35">
        <v>5947.6729999999998</v>
      </c>
      <c r="E4" s="34" t="s">
        <v>17</v>
      </c>
      <c r="F4" s="36"/>
      <c r="H4" s="97" t="str">
        <f>+C4</f>
        <v>판매량</v>
      </c>
      <c r="I4" s="35">
        <v>12706.507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25911</v>
      </c>
      <c r="S4" s="41" t="s">
        <v>18</v>
      </c>
    </row>
    <row r="5" spans="2:25" ht="16.5" customHeight="1">
      <c r="C5" s="42" t="s">
        <v>19</v>
      </c>
      <c r="D5" s="43"/>
      <c r="E5" s="42" t="s">
        <v>20</v>
      </c>
      <c r="F5" s="44">
        <v>220000</v>
      </c>
      <c r="H5" s="98" t="str">
        <f>+C5</f>
        <v>법인전표</v>
      </c>
      <c r="I5" s="43"/>
      <c r="J5" s="42" t="str">
        <f>+E5</f>
        <v>고액권</v>
      </c>
      <c r="K5" s="44">
        <v>400000</v>
      </c>
      <c r="L5" s="37" t="s">
        <v>66</v>
      </c>
      <c r="M5" s="38"/>
      <c r="N5" s="45" t="str">
        <f>+C4</f>
        <v>판매량</v>
      </c>
      <c r="O5" s="46">
        <f>SUM(D4+I4+D17+I17+D35+I35)</f>
        <v>26782.409</v>
      </c>
      <c r="P5" s="47" t="str">
        <f>+E4</f>
        <v>입금액</v>
      </c>
      <c r="Q5" s="48">
        <f>SUM(F4+K4+F17+K17+F35+K35)</f>
        <v>0</v>
      </c>
      <c r="R5" s="49">
        <v>21</v>
      </c>
      <c r="S5" s="41" t="s">
        <v>21</v>
      </c>
    </row>
    <row r="6" spans="2:25" ht="16.5" customHeight="1">
      <c r="C6" s="42" t="s">
        <v>22</v>
      </c>
      <c r="D6" s="50">
        <v>10.212999999999999</v>
      </c>
      <c r="E6" s="42" t="s">
        <v>23</v>
      </c>
      <c r="F6" s="44">
        <v>5000</v>
      </c>
      <c r="H6" s="98" t="str">
        <f t="shared" ref="H6:H13" si="2">+C6</f>
        <v>외상전표</v>
      </c>
      <c r="I6" s="50">
        <v>291.00200000000001</v>
      </c>
      <c r="J6" s="42" t="str">
        <f t="shared" ref="J6:J13" si="3">+E6</f>
        <v>천원권</v>
      </c>
      <c r="K6" s="44">
        <v>1000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975000</v>
      </c>
      <c r="R6" s="49">
        <v>2.7</v>
      </c>
      <c r="S6" s="41" t="s">
        <v>24</v>
      </c>
    </row>
    <row r="7" spans="2:25" ht="16.5" customHeight="1">
      <c r="C7" s="42" t="s">
        <v>25</v>
      </c>
      <c r="D7" s="50"/>
      <c r="E7" s="42" t="s">
        <v>26</v>
      </c>
      <c r="F7" s="44"/>
      <c r="H7" s="98" t="str">
        <f t="shared" si="2"/>
        <v>효신(업)</v>
      </c>
      <c r="I7" s="50"/>
      <c r="J7" s="42" t="str">
        <f t="shared" si="3"/>
        <v>동전</v>
      </c>
      <c r="K7" s="44"/>
      <c r="M7" s="38"/>
      <c r="N7" s="51" t="str">
        <f t="shared" ref="N7:N14" si="4">+C6</f>
        <v>외상전표</v>
      </c>
      <c r="O7" s="54">
        <f>SUM(D6+I6+D19+I19+D37+I37)</f>
        <v>301.21500000000003</v>
      </c>
      <c r="P7" s="51" t="str">
        <f t="shared" ref="P7:P14" si="5">+E6</f>
        <v>천원권</v>
      </c>
      <c r="Q7" s="53">
        <f>SUM(F6+K6+F19+K19+F37+K37)</f>
        <v>10000</v>
      </c>
      <c r="R7" s="40" t="s">
        <v>50</v>
      </c>
      <c r="S7" s="41" t="s">
        <v>6</v>
      </c>
    </row>
    <row r="8" spans="2:25" ht="16.5" customHeight="1">
      <c r="C8" s="42" t="s">
        <v>27</v>
      </c>
      <c r="D8" s="50"/>
      <c r="E8" s="42" t="s">
        <v>28</v>
      </c>
      <c r="F8" s="44">
        <v>7061984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21860249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0"/>
    </row>
    <row r="9" spans="2:25" ht="16.5" customHeight="1">
      <c r="C9" s="42" t="s">
        <v>47</v>
      </c>
      <c r="D9" s="50"/>
      <c r="E9" s="42" t="s">
        <v>29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31488910</v>
      </c>
      <c r="R9" s="40"/>
    </row>
    <row r="10" spans="2:25" ht="16.5" customHeight="1">
      <c r="C10" s="42" t="s">
        <v>52</v>
      </c>
      <c r="D10" s="50">
        <v>2</v>
      </c>
      <c r="E10" s="42" t="s">
        <v>48</v>
      </c>
      <c r="F10" s="44"/>
      <c r="H10" s="98" t="str">
        <f t="shared" si="2"/>
        <v>고객우대</v>
      </c>
      <c r="I10" s="50">
        <v>225.916</v>
      </c>
      <c r="J10" s="42" t="str">
        <f t="shared" si="3"/>
        <v>OK케시백</v>
      </c>
      <c r="K10" s="109">
        <v>1000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2:25" ht="16.5" customHeight="1">
      <c r="C11" s="42" t="s">
        <v>47</v>
      </c>
      <c r="D11" s="55">
        <f>SUM(D10*-35)</f>
        <v>-70</v>
      </c>
      <c r="E11" s="42" t="s">
        <v>32</v>
      </c>
      <c r="F11" s="44">
        <v>10000</v>
      </c>
      <c r="H11" s="98" t="str">
        <f t="shared" si="2"/>
        <v>-</v>
      </c>
      <c r="I11" s="55">
        <f>SUM(I10*-35)</f>
        <v>-7907.0599999999995</v>
      </c>
      <c r="J11" s="42" t="str">
        <f t="shared" si="3"/>
        <v>모바일</v>
      </c>
      <c r="K11" s="109">
        <v>10000</v>
      </c>
      <c r="M11" s="38"/>
      <c r="N11" s="51" t="str">
        <f t="shared" si="4"/>
        <v>고객우대</v>
      </c>
      <c r="O11" s="54">
        <f>SUM(D10+I10+D23+I23+D41+I41)</f>
        <v>227.916</v>
      </c>
      <c r="P11" s="51" t="str">
        <f t="shared" si="5"/>
        <v>OK케시백</v>
      </c>
      <c r="Q11" s="53">
        <f>SUM(F10+K10+F23+K23+F41+K41)</f>
        <v>3000</v>
      </c>
      <c r="R11" s="49"/>
    </row>
    <row r="12" spans="2:25" ht="16.5" customHeight="1" thickBot="1">
      <c r="C12" s="56" t="s">
        <v>47</v>
      </c>
      <c r="D12" s="57"/>
      <c r="E12" s="56" t="s">
        <v>60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>
        <v>40000</v>
      </c>
      <c r="M12" s="38"/>
      <c r="N12" s="51" t="str">
        <f t="shared" si="4"/>
        <v>-</v>
      </c>
      <c r="O12" s="52">
        <f>SUM(O11*-35)</f>
        <v>-7977.0599999999995</v>
      </c>
      <c r="P12" s="51" t="str">
        <f t="shared" si="5"/>
        <v>모바일</v>
      </c>
      <c r="Q12" s="53">
        <f>SUM(F11+K11+F24+K24+F42+K42)</f>
        <v>20000</v>
      </c>
      <c r="R12" s="40"/>
    </row>
    <row r="13" spans="2:25" ht="16.5" customHeight="1" thickBot="1">
      <c r="C13" s="59" t="s">
        <v>34</v>
      </c>
      <c r="D13" s="60">
        <f>SUM((D4-D5-D6-D7-D8-D9)*$I$1+D11)</f>
        <v>7297068.3399999999</v>
      </c>
      <c r="E13" s="59" t="s">
        <v>34</v>
      </c>
      <c r="F13" s="61">
        <f>SUM(F4:F12)</f>
        <v>7296984</v>
      </c>
      <c r="G13" s="62"/>
      <c r="H13" s="96" t="str">
        <f t="shared" si="2"/>
        <v>합계</v>
      </c>
      <c r="I13" s="60">
        <f>SUM((I4-I5-I6-I7-I8-I9)*$I$1+I11)</f>
        <v>15250748.584999999</v>
      </c>
      <c r="J13" s="29" t="str">
        <f t="shared" si="3"/>
        <v>합계</v>
      </c>
      <c r="K13" s="61">
        <f>IF(K8=0,0,SUM(K4:K12)-F8)</f>
        <v>15250265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40"/>
      <c r="Y13" s="66"/>
    </row>
    <row r="14" spans="2:25" ht="16.5" customHeight="1" thickBot="1">
      <c r="C14" s="37"/>
      <c r="F14" s="67">
        <f>SUM(F13-D13)</f>
        <v>-84.339999999850988</v>
      </c>
      <c r="K14" s="67">
        <f>SUM(K13-I13)</f>
        <v>-483.58499999903142</v>
      </c>
      <c r="N14" s="39" t="str">
        <f t="shared" si="4"/>
        <v>합계</v>
      </c>
      <c r="O14" s="68">
        <f>SUM((O5-O6-O7-O8-O9-O10)*+$I$1+O12)</f>
        <v>32537410.366</v>
      </c>
      <c r="P14" s="39" t="str">
        <f t="shared" si="5"/>
        <v>합계</v>
      </c>
      <c r="Q14" s="69">
        <f>SUM(Q5:Q13)</f>
        <v>32536910</v>
      </c>
    </row>
    <row r="15" spans="2:25" ht="16.5" customHeight="1" thickBot="1">
      <c r="C15" s="27">
        <v>3</v>
      </c>
      <c r="H15" s="27">
        <v>4</v>
      </c>
      <c r="Q15" s="70">
        <f>SUM(F14+K14+F27+K27)</f>
        <v>-500.36599999852479</v>
      </c>
    </row>
    <row r="16" spans="2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2:19" ht="16.5" customHeight="1" thickBot="1">
      <c r="C17" s="97" t="str">
        <f>+C4</f>
        <v>판매량</v>
      </c>
      <c r="D17" s="35">
        <v>8128.2290000000003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2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355000</v>
      </c>
      <c r="H18" s="98" t="str">
        <f>+C5</f>
        <v>법인전표</v>
      </c>
      <c r="I18" s="43"/>
      <c r="J18" s="42" t="str">
        <f>+E5</f>
        <v>고액권</v>
      </c>
      <c r="K18" s="44"/>
      <c r="N18" s="187" t="s">
        <v>35</v>
      </c>
      <c r="O18" s="200"/>
      <c r="P18" s="71" t="s">
        <v>36</v>
      </c>
      <c r="Q18" s="72" t="s">
        <v>37</v>
      </c>
      <c r="R18" s="32"/>
      <c r="S18" s="32"/>
    </row>
    <row r="19" spans="2:19" ht="16.5" customHeight="1">
      <c r="B19" s="37" t="s">
        <v>67</v>
      </c>
      <c r="C19" s="98" t="str">
        <f t="shared" ref="C19:C26" si="7">+C6</f>
        <v>외상전표</v>
      </c>
      <c r="D19" s="50">
        <v>0</v>
      </c>
      <c r="E19" s="42" t="str">
        <f t="shared" ref="E19:E26" si="8">+E6</f>
        <v>천원권</v>
      </c>
      <c r="F19" s="44">
        <v>4000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91" t="s">
        <v>38</v>
      </c>
      <c r="O19" s="192"/>
      <c r="P19" s="73">
        <v>16</v>
      </c>
      <c r="Q19" s="48">
        <f>SUM(P19*1000)</f>
        <v>16000</v>
      </c>
      <c r="R19" s="32"/>
      <c r="S19" s="32"/>
    </row>
    <row r="20" spans="2:19" ht="16.5" customHeight="1">
      <c r="C20" s="98" t="str">
        <f t="shared" si="7"/>
        <v>효신(업)</v>
      </c>
      <c r="D20" s="50"/>
      <c r="E20" s="42" t="str">
        <f t="shared" si="8"/>
        <v>동전</v>
      </c>
      <c r="F20" s="44"/>
      <c r="H20" s="98" t="str">
        <f t="shared" si="9"/>
        <v>효신(업)</v>
      </c>
      <c r="I20" s="50"/>
      <c r="J20" s="42" t="str">
        <f t="shared" si="10"/>
        <v>동전</v>
      </c>
      <c r="K20" s="44"/>
      <c r="N20" s="197" t="s">
        <v>39</v>
      </c>
      <c r="O20" s="198"/>
      <c r="P20" s="74">
        <v>12</v>
      </c>
      <c r="Q20" s="53">
        <f>SUM(P20*1000)</f>
        <v>12000</v>
      </c>
      <c r="R20" s="32"/>
      <c r="S20" s="32"/>
    </row>
    <row r="21" spans="2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31488910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97" t="s">
        <v>49</v>
      </c>
      <c r="O21" s="198"/>
      <c r="P21" s="74">
        <v>14</v>
      </c>
      <c r="Q21" s="53" t="s">
        <v>61</v>
      </c>
      <c r="R21" s="32"/>
      <c r="S21" s="32"/>
    </row>
    <row r="22" spans="2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99" t="s">
        <v>54</v>
      </c>
      <c r="O22" s="194"/>
      <c r="P22" s="74">
        <v>2</v>
      </c>
      <c r="Q22" s="53">
        <f>SUM(P22*1000)</f>
        <v>2000</v>
      </c>
      <c r="R22" s="32"/>
      <c r="S22" s="32"/>
    </row>
    <row r="23" spans="2:19" ht="16.5" customHeight="1">
      <c r="C23" s="98" t="str">
        <f t="shared" si="7"/>
        <v>고객우대</v>
      </c>
      <c r="D23" s="50">
        <v>0</v>
      </c>
      <c r="E23" s="42" t="str">
        <f t="shared" si="8"/>
        <v>OK케시백</v>
      </c>
      <c r="F23" s="44">
        <v>2000</v>
      </c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93" t="s">
        <v>59</v>
      </c>
      <c r="O23" s="194"/>
      <c r="P23" s="74">
        <v>39</v>
      </c>
      <c r="Q23" s="53">
        <f>SUM(P23*1000)</f>
        <v>39000</v>
      </c>
      <c r="R23" s="32"/>
      <c r="S23" s="32"/>
    </row>
    <row r="24" spans="2:19" ht="16.5" customHeight="1">
      <c r="C24" s="98" t="str">
        <f t="shared" si="7"/>
        <v>-</v>
      </c>
      <c r="D24" s="55"/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93" t="s">
        <v>53</v>
      </c>
      <c r="O24" s="194"/>
      <c r="P24" s="74">
        <v>16</v>
      </c>
      <c r="Q24" s="53" t="s">
        <v>61</v>
      </c>
      <c r="R24" s="32"/>
      <c r="S24" s="32"/>
    </row>
    <row r="25" spans="2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95" t="s">
        <v>40</v>
      </c>
      <c r="O25" s="196"/>
      <c r="P25" s="75">
        <f>+P26-SUM(P19:P24)</f>
        <v>126</v>
      </c>
      <c r="Q25" s="76"/>
      <c r="R25" s="32"/>
      <c r="S25" s="32"/>
    </row>
    <row r="26" spans="2:19" ht="16.5" customHeight="1" thickBot="1">
      <c r="C26" s="96" t="str">
        <f t="shared" si="7"/>
        <v>합계</v>
      </c>
      <c r="D26" s="60">
        <f>SUM((D17-D18-D19-D20-D21-D22)*$I$1+D24)</f>
        <v>9989593.4409999996</v>
      </c>
      <c r="E26" s="29" t="str">
        <f t="shared" si="8"/>
        <v>합계</v>
      </c>
      <c r="F26" s="61">
        <f>IF(F21=0,0,SUM(F17:F25)-K8)</f>
        <v>9989661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87" t="s">
        <v>41</v>
      </c>
      <c r="O26" s="188"/>
      <c r="P26" s="77">
        <v>225</v>
      </c>
      <c r="Q26" s="69">
        <f>SUM(Q19:Q25)</f>
        <v>69000</v>
      </c>
      <c r="R26" s="32"/>
      <c r="S26" s="32"/>
    </row>
    <row r="27" spans="2:19" ht="15.75" customHeight="1" thickBot="1">
      <c r="F27" s="67">
        <f>SUM(F26-D26)</f>
        <v>67.559000000357628</v>
      </c>
      <c r="K27" s="67">
        <f>SUM(K26-I26)</f>
        <v>0</v>
      </c>
    </row>
    <row r="28" spans="2:19" ht="23.25" customHeight="1">
      <c r="F28" s="67"/>
      <c r="K28" s="67"/>
      <c r="N28" s="185" t="s">
        <v>55</v>
      </c>
      <c r="O28" s="104" t="s">
        <v>56</v>
      </c>
      <c r="P28" s="104" t="s">
        <v>57</v>
      </c>
      <c r="Q28" s="105" t="s">
        <v>58</v>
      </c>
    </row>
    <row r="29" spans="2:19" ht="21.75" customHeight="1" thickBot="1">
      <c r="F29" s="67"/>
      <c r="K29" s="67"/>
      <c r="N29" s="186"/>
      <c r="O29" s="106">
        <v>13127</v>
      </c>
      <c r="P29" s="107">
        <v>13174</v>
      </c>
      <c r="Q29" s="108">
        <f>P29-O29</f>
        <v>47</v>
      </c>
    </row>
    <row r="30" spans="2:19" ht="21.75" customHeight="1">
      <c r="F30" s="67"/>
      <c r="K30" s="67"/>
    </row>
    <row r="31" spans="2:19" ht="21.75" customHeight="1">
      <c r="F31" s="67"/>
      <c r="K31" s="67"/>
    </row>
    <row r="32" spans="2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14</v>
      </c>
      <c r="D34" s="29" t="s">
        <v>15</v>
      </c>
      <c r="E34" s="29" t="s">
        <v>14</v>
      </c>
      <c r="F34" s="30" t="s">
        <v>15</v>
      </c>
      <c r="H34" s="29" t="s">
        <v>14</v>
      </c>
      <c r="I34" s="29" t="s">
        <v>15</v>
      </c>
      <c r="J34" s="29" t="s">
        <v>14</v>
      </c>
      <c r="K34" s="30" t="s">
        <v>15</v>
      </c>
    </row>
    <row r="35" spans="3:11" ht="21.75" customHeight="1">
      <c r="C35" s="34" t="s">
        <v>16</v>
      </c>
      <c r="D35" s="78"/>
      <c r="E35" s="34" t="s">
        <v>17</v>
      </c>
      <c r="F35" s="36"/>
      <c r="H35" s="34" t="s">
        <v>16</v>
      </c>
      <c r="I35" s="78"/>
      <c r="J35" s="34" t="s">
        <v>17</v>
      </c>
      <c r="K35" s="36"/>
    </row>
    <row r="36" spans="3:11" ht="21.75" customHeight="1">
      <c r="C36" s="42" t="s">
        <v>19</v>
      </c>
      <c r="D36" s="79"/>
      <c r="E36" s="42" t="s">
        <v>20</v>
      </c>
      <c r="F36" s="44"/>
      <c r="H36" s="42" t="s">
        <v>19</v>
      </c>
      <c r="I36" s="79"/>
      <c r="J36" s="42" t="s">
        <v>20</v>
      </c>
      <c r="K36" s="44"/>
    </row>
    <row r="37" spans="3:11" ht="21.75" customHeight="1">
      <c r="C37" s="42" t="s">
        <v>22</v>
      </c>
      <c r="D37" s="80"/>
      <c r="E37" s="42" t="s">
        <v>23</v>
      </c>
      <c r="F37" s="44"/>
      <c r="H37" s="42" t="s">
        <v>22</v>
      </c>
      <c r="I37" s="80"/>
      <c r="J37" s="42" t="s">
        <v>23</v>
      </c>
      <c r="K37" s="44"/>
    </row>
    <row r="38" spans="3:11" ht="21.75" customHeight="1">
      <c r="C38" s="42" t="s">
        <v>25</v>
      </c>
      <c r="D38" s="80"/>
      <c r="E38" s="42" t="s">
        <v>26</v>
      </c>
      <c r="F38" s="44"/>
      <c r="H38" s="42" t="s">
        <v>25</v>
      </c>
      <c r="I38" s="80"/>
      <c r="J38" s="42" t="s">
        <v>26</v>
      </c>
      <c r="K38" s="44"/>
    </row>
    <row r="39" spans="3:11" ht="21.75" customHeight="1">
      <c r="C39" s="42" t="s">
        <v>27</v>
      </c>
      <c r="D39" s="80"/>
      <c r="E39" s="42" t="s">
        <v>28</v>
      </c>
      <c r="F39" s="44"/>
      <c r="H39" s="42" t="s">
        <v>27</v>
      </c>
      <c r="I39" s="80"/>
      <c r="J39" s="42" t="s">
        <v>28</v>
      </c>
      <c r="K39" s="44"/>
    </row>
    <row r="40" spans="3:11" ht="21.75" customHeight="1">
      <c r="C40" s="42"/>
      <c r="D40" s="80"/>
      <c r="E40" s="42" t="s">
        <v>29</v>
      </c>
      <c r="F40" s="44"/>
      <c r="H40" s="42"/>
      <c r="I40" s="80"/>
      <c r="J40" s="42" t="s">
        <v>29</v>
      </c>
      <c r="K40" s="44"/>
    </row>
    <row r="41" spans="3:11" ht="21.75" customHeight="1">
      <c r="C41" s="42" t="s">
        <v>30</v>
      </c>
      <c r="D41" s="80"/>
      <c r="E41" s="42" t="s">
        <v>31</v>
      </c>
      <c r="F41" s="44"/>
      <c r="H41" s="42" t="s">
        <v>30</v>
      </c>
      <c r="I41" s="80"/>
      <c r="J41" s="42" t="s">
        <v>31</v>
      </c>
      <c r="K41" s="44"/>
    </row>
    <row r="42" spans="3:11" ht="21.75" customHeight="1">
      <c r="C42" s="42"/>
      <c r="D42" s="81">
        <f>SUM(D41*-50)</f>
        <v>0</v>
      </c>
      <c r="E42" s="42" t="s">
        <v>32</v>
      </c>
      <c r="F42" s="44"/>
      <c r="H42" s="42"/>
      <c r="I42" s="81">
        <f>SUM(I41*-50)</f>
        <v>0</v>
      </c>
      <c r="J42" s="42" t="s">
        <v>32</v>
      </c>
      <c r="K42" s="44"/>
    </row>
    <row r="43" spans="3:11" ht="21.75" customHeight="1" thickBot="1">
      <c r="C43" s="56"/>
      <c r="D43" s="82"/>
      <c r="E43" s="56" t="s">
        <v>33</v>
      </c>
      <c r="F43" s="58"/>
      <c r="H43" s="56"/>
      <c r="I43" s="82"/>
      <c r="J43" s="56" t="s">
        <v>33</v>
      </c>
      <c r="K43" s="58"/>
    </row>
    <row r="44" spans="3:11" ht="21.75" customHeight="1" thickBot="1">
      <c r="C44" s="59" t="s">
        <v>34</v>
      </c>
      <c r="D44" s="83">
        <f>SUM((D35-D36-D37-D38-D39-D40)*I1+D42)</f>
        <v>0</v>
      </c>
      <c r="E44" s="59" t="s">
        <v>34</v>
      </c>
      <c r="F44" s="61">
        <f>SUM(F35:F43)</f>
        <v>0</v>
      </c>
      <c r="G44" s="62"/>
      <c r="H44" s="59" t="s">
        <v>34</v>
      </c>
      <c r="I44" s="83">
        <f>SUM((I35-I36-I37-I38-I39-I40)*I1+I42)</f>
        <v>0</v>
      </c>
      <c r="J44" s="59" t="s">
        <v>34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4" sqref="I14"/>
    </sheetView>
  </sheetViews>
  <sheetFormatPr defaultRowHeight="27.75" customHeight="1"/>
  <cols>
    <col min="1" max="2" width="9" style="116"/>
    <col min="3" max="3" width="9" style="116" bestFit="1" customWidth="1"/>
    <col min="4" max="4" width="11.375" style="116" customWidth="1"/>
    <col min="5" max="5" width="9" style="116" bestFit="1" customWidth="1"/>
    <col min="6" max="6" width="11.375" style="116" customWidth="1"/>
    <col min="7" max="7" width="5" style="116" customWidth="1"/>
    <col min="8" max="8" width="9" style="116"/>
    <col min="9" max="9" width="11.375" style="116" customWidth="1"/>
    <col min="10" max="10" width="9" style="116"/>
    <col min="11" max="11" width="11.375" style="116" customWidth="1"/>
    <col min="12" max="12" width="11.75" style="116" customWidth="1"/>
    <col min="13" max="13" width="9" style="116"/>
    <col min="14" max="14" width="9" style="116" bestFit="1" customWidth="1"/>
    <col min="15" max="15" width="12.375" style="116" bestFit="1" customWidth="1"/>
    <col min="16" max="16" width="9" style="116" bestFit="1" customWidth="1"/>
    <col min="17" max="18" width="12.375" style="116" bestFit="1" customWidth="1"/>
    <col min="19" max="16384" width="9" style="116"/>
  </cols>
  <sheetData>
    <row r="1" spans="3:22" ht="18.75" customHeight="1">
      <c r="C1" s="110">
        <v>10</v>
      </c>
      <c r="D1" s="111" t="s">
        <v>0</v>
      </c>
      <c r="E1" s="112">
        <f>+'(9)'!E1</f>
        <v>1229</v>
      </c>
      <c r="F1" s="113"/>
      <c r="G1" s="113"/>
      <c r="H1" s="113"/>
      <c r="I1" s="113"/>
      <c r="J1" s="113"/>
      <c r="K1" s="113"/>
      <c r="L1" s="114">
        <f>+ROUND(+O5*0.584/1000,3)</f>
        <v>8.4730000000000008</v>
      </c>
      <c r="M1" s="115" t="s">
        <v>8</v>
      </c>
      <c r="N1" s="113"/>
      <c r="O1" s="113"/>
      <c r="P1" s="113"/>
      <c r="Q1" s="113"/>
      <c r="R1" s="113"/>
      <c r="S1" s="113"/>
      <c r="T1" s="113"/>
      <c r="U1" s="113"/>
      <c r="V1" s="113"/>
    </row>
    <row r="2" spans="3:22" ht="18.75" customHeight="1" thickBot="1">
      <c r="C2" s="113">
        <v>1</v>
      </c>
      <c r="D2" s="113"/>
      <c r="E2" s="113"/>
      <c r="F2" s="113"/>
      <c r="G2" s="113"/>
      <c r="H2" s="113">
        <v>2</v>
      </c>
      <c r="I2" s="113"/>
      <c r="J2" s="113"/>
      <c r="K2" s="113"/>
      <c r="L2" s="114">
        <f>ROUND((+'(9)'!L2*(C1-1)+L1)/C1,3)</f>
        <v>11.368</v>
      </c>
      <c r="M2" s="115" t="s">
        <v>7</v>
      </c>
      <c r="N2" s="207" t="s">
        <v>1</v>
      </c>
      <c r="O2" s="207"/>
      <c r="P2" s="207"/>
      <c r="Q2" s="207"/>
      <c r="R2" s="113"/>
      <c r="S2" s="113"/>
      <c r="T2" s="113"/>
      <c r="U2" s="113"/>
      <c r="V2" s="113"/>
    </row>
    <row r="3" spans="3:22" ht="16.5" customHeight="1" thickBot="1">
      <c r="C3" s="117" t="str">
        <f>+'(1)'!C3</f>
        <v>제   목</v>
      </c>
      <c r="D3" s="117" t="str">
        <f>+'(1)'!D3</f>
        <v>수량 및 금액</v>
      </c>
      <c r="E3" s="117" t="str">
        <f>+'(1)'!E3</f>
        <v>제   목</v>
      </c>
      <c r="F3" s="117" t="str">
        <f>+'(1)'!F3</f>
        <v>수량 및 금액</v>
      </c>
      <c r="G3" s="118"/>
      <c r="H3" s="117" t="str">
        <f>+C3</f>
        <v>제   목</v>
      </c>
      <c r="I3" s="117" t="str">
        <f t="shared" ref="I3:K3" si="0">+D3</f>
        <v>수량 및 금액</v>
      </c>
      <c r="J3" s="117" t="str">
        <f t="shared" si="0"/>
        <v>제   목</v>
      </c>
      <c r="K3" s="117" t="str">
        <f t="shared" si="0"/>
        <v>수량 및 금액</v>
      </c>
      <c r="L3" s="119">
        <f>+L2*C1</f>
        <v>113.68</v>
      </c>
      <c r="M3" s="115" t="s">
        <v>10</v>
      </c>
      <c r="N3" s="120"/>
      <c r="O3" s="120"/>
      <c r="P3" s="208" t="str">
        <f>+'(1)'!C1&amp;"년"&amp;'(1)'!E1&amp;"월"&amp;C1&amp;"일"</f>
        <v>2022년4월10일</v>
      </c>
      <c r="Q3" s="208"/>
      <c r="R3" s="121"/>
      <c r="S3" s="113"/>
      <c r="T3" s="113"/>
      <c r="U3" s="113"/>
      <c r="V3" s="113"/>
    </row>
    <row r="4" spans="3:22" ht="16.5" customHeight="1" thickBot="1">
      <c r="C4" s="122" t="str">
        <f>+'(1)'!C4</f>
        <v>판매량</v>
      </c>
      <c r="D4" s="123">
        <v>8914.5409999999993</v>
      </c>
      <c r="E4" s="122" t="str">
        <f>+'(1)'!E4</f>
        <v>입금액</v>
      </c>
      <c r="F4" s="124"/>
      <c r="G4" s="118"/>
      <c r="H4" s="122" t="str">
        <f>+C4</f>
        <v>판매량</v>
      </c>
      <c r="I4" s="123">
        <v>5594.2690000000002</v>
      </c>
      <c r="J4" s="122" t="str">
        <f>+E4</f>
        <v>입금액</v>
      </c>
      <c r="K4" s="124"/>
      <c r="L4" s="125"/>
      <c r="M4" s="126"/>
      <c r="N4" s="127" t="str">
        <f>+C3</f>
        <v>제   목</v>
      </c>
      <c r="O4" s="127" t="str">
        <f t="shared" ref="O4:Q4" si="1">+D3</f>
        <v>수량 및 금액</v>
      </c>
      <c r="P4" s="127" t="str">
        <f t="shared" si="1"/>
        <v>제   목</v>
      </c>
      <c r="Q4" s="127" t="str">
        <f t="shared" si="1"/>
        <v>수량 및 금액</v>
      </c>
      <c r="R4" s="128">
        <v>34070</v>
      </c>
      <c r="S4" s="129" t="s">
        <v>2</v>
      </c>
      <c r="T4" s="113"/>
      <c r="U4" s="113"/>
      <c r="V4" s="113"/>
    </row>
    <row r="5" spans="3:22" ht="16.5" customHeight="1">
      <c r="C5" s="130" t="str">
        <f>+'(1)'!C5</f>
        <v>법인전표</v>
      </c>
      <c r="D5" s="131"/>
      <c r="E5" s="132" t="str">
        <f>+'(1)'!E5</f>
        <v>고액권</v>
      </c>
      <c r="F5" s="133">
        <v>90000</v>
      </c>
      <c r="G5" s="118"/>
      <c r="H5" s="132" t="str">
        <f t="shared" ref="H5:H13" si="2">+C5</f>
        <v>법인전표</v>
      </c>
      <c r="I5" s="131"/>
      <c r="J5" s="132" t="str">
        <f>+E5</f>
        <v>고액권</v>
      </c>
      <c r="K5" s="133">
        <v>260000</v>
      </c>
      <c r="L5" s="125"/>
      <c r="M5" s="126"/>
      <c r="N5" s="134" t="str">
        <f>+C4</f>
        <v>판매량</v>
      </c>
      <c r="O5" s="135">
        <f>SUM(D4+I4+D17+I17+D35+I35)</f>
        <v>14508.81</v>
      </c>
      <c r="P5" s="136" t="str">
        <f>+E4</f>
        <v>입금액</v>
      </c>
      <c r="Q5" s="137">
        <f>SUM(F4+K4+F17+K17+F35+K35)</f>
        <v>0</v>
      </c>
      <c r="R5" s="138">
        <v>19</v>
      </c>
      <c r="S5" s="129" t="s">
        <v>3</v>
      </c>
      <c r="T5" s="113"/>
      <c r="U5" s="113"/>
      <c r="V5" s="113"/>
    </row>
    <row r="6" spans="3:22" ht="16.5" customHeight="1">
      <c r="C6" s="130" t="str">
        <f>+'(1)'!C6</f>
        <v>외상전표</v>
      </c>
      <c r="D6" s="139">
        <v>35.814999999999998</v>
      </c>
      <c r="E6" s="132" t="str">
        <f>+'(1)'!E6</f>
        <v>천원권</v>
      </c>
      <c r="F6" s="133"/>
      <c r="G6" s="118"/>
      <c r="H6" s="132" t="str">
        <f t="shared" si="2"/>
        <v>외상전표</v>
      </c>
      <c r="I6" s="139">
        <v>31.518999999999998</v>
      </c>
      <c r="J6" s="132" t="str">
        <f t="shared" ref="J6:J13" si="3">+E6</f>
        <v>천원권</v>
      </c>
      <c r="K6" s="133"/>
      <c r="L6" s="125"/>
      <c r="M6" s="126"/>
      <c r="N6" s="140" t="str">
        <f>+C5</f>
        <v>법인전표</v>
      </c>
      <c r="O6" s="141">
        <f>SUM(D5+I5+D18+I18+D36+I36)</f>
        <v>0</v>
      </c>
      <c r="P6" s="140" t="str">
        <f>+E5</f>
        <v>고액권</v>
      </c>
      <c r="Q6" s="142">
        <f>SUM(F5+K5+F18+K18+F36+K36)</f>
        <v>350000</v>
      </c>
      <c r="R6" s="138">
        <v>1.3</v>
      </c>
      <c r="S6" s="129" t="s">
        <v>4</v>
      </c>
      <c r="T6" s="113"/>
      <c r="U6" s="113"/>
      <c r="V6" s="113"/>
    </row>
    <row r="7" spans="3:22" ht="16.5" customHeight="1" thickBot="1">
      <c r="C7" s="130" t="str">
        <f>+'(1)'!C7</f>
        <v>효신(업)</v>
      </c>
      <c r="D7" s="139"/>
      <c r="E7" s="132" t="str">
        <f>+'(1)'!E7</f>
        <v>동전</v>
      </c>
      <c r="F7" s="133"/>
      <c r="G7" s="118"/>
      <c r="H7" s="130" t="str">
        <f t="shared" si="2"/>
        <v>효신(업)</v>
      </c>
      <c r="I7" s="139"/>
      <c r="J7" s="132" t="str">
        <f t="shared" si="3"/>
        <v>동전</v>
      </c>
      <c r="K7" s="133"/>
      <c r="L7" s="125"/>
      <c r="M7" s="126"/>
      <c r="N7" s="140" t="str">
        <f t="shared" ref="N7:N14" si="4">+C6</f>
        <v>외상전표</v>
      </c>
      <c r="O7" s="143">
        <f>SUM(D6+I6+D19+I19+D37+I37)</f>
        <v>67.334000000000003</v>
      </c>
      <c r="P7" s="140" t="str">
        <f t="shared" ref="P7:P14" si="5">+E6</f>
        <v>천원권</v>
      </c>
      <c r="Q7" s="142">
        <f>SUM(F6+K6+F19+K19+F37+K37)</f>
        <v>0</v>
      </c>
      <c r="R7" s="128" t="s">
        <v>5</v>
      </c>
      <c r="S7" s="144" t="s">
        <v>6</v>
      </c>
      <c r="T7" s="113"/>
      <c r="U7" s="113"/>
      <c r="V7" s="113"/>
    </row>
    <row r="8" spans="3:22" ht="16.5" customHeight="1">
      <c r="C8" s="130" t="str">
        <f>+'(1)'!C8</f>
        <v>자가소비</v>
      </c>
      <c r="D8" s="139"/>
      <c r="E8" s="132" t="str">
        <f>+'(1)'!E8</f>
        <v>신용카드</v>
      </c>
      <c r="F8" s="133">
        <v>10744497</v>
      </c>
      <c r="G8" s="118"/>
      <c r="H8" s="122" t="str">
        <f t="shared" si="2"/>
        <v>자가소비</v>
      </c>
      <c r="I8" s="139"/>
      <c r="J8" s="132" t="str">
        <f t="shared" si="3"/>
        <v>신용카드</v>
      </c>
      <c r="K8" s="133">
        <v>17321269</v>
      </c>
      <c r="L8" s="125"/>
      <c r="M8" s="126"/>
      <c r="N8" s="140" t="str">
        <f t="shared" si="4"/>
        <v>효신(업)</v>
      </c>
      <c r="O8" s="141">
        <f>SUM(D7+I7+D20+I20+D38+I38)</f>
        <v>0</v>
      </c>
      <c r="P8" s="140" t="str">
        <f t="shared" si="5"/>
        <v>동전</v>
      </c>
      <c r="Q8" s="142">
        <f>SUM(F7+K7+F20+K20+F38+K38)</f>
        <v>0</v>
      </c>
      <c r="R8" s="138"/>
      <c r="S8" s="113"/>
      <c r="T8" s="113"/>
      <c r="U8" s="113"/>
      <c r="V8" s="113"/>
    </row>
    <row r="9" spans="3:22" ht="16.5" customHeight="1">
      <c r="C9" s="130" t="str">
        <f>+'(1)'!C9</f>
        <v>-</v>
      </c>
      <c r="D9" s="139"/>
      <c r="E9" s="132" t="str">
        <f>+'(1)'!E9</f>
        <v>상품권</v>
      </c>
      <c r="F9" s="133"/>
      <c r="G9" s="118"/>
      <c r="H9" s="132" t="str">
        <f t="shared" si="2"/>
        <v>-</v>
      </c>
      <c r="I9" s="139"/>
      <c r="J9" s="132" t="str">
        <f t="shared" si="3"/>
        <v>상품권</v>
      </c>
      <c r="K9" s="133"/>
      <c r="L9" s="125"/>
      <c r="M9" s="126"/>
      <c r="N9" s="140" t="str">
        <f t="shared" si="4"/>
        <v>자가소비</v>
      </c>
      <c r="O9" s="143">
        <f>SUM(D8+I8+D21+I21+D39+I39)</f>
        <v>0</v>
      </c>
      <c r="P9" s="140" t="str">
        <f t="shared" si="5"/>
        <v>신용카드</v>
      </c>
      <c r="Q9" s="142">
        <f>IF(K8=0,F8,IF(F21=0,K8,IF(K21=0,F21,K21)))</f>
        <v>17321269</v>
      </c>
      <c r="R9" s="128"/>
      <c r="S9" s="113"/>
      <c r="T9" s="113"/>
      <c r="U9" s="113"/>
      <c r="V9" s="113"/>
    </row>
    <row r="10" spans="3:22" ht="16.5" customHeight="1">
      <c r="C10" s="130" t="str">
        <f>+'(1)'!C10</f>
        <v>고객우대</v>
      </c>
      <c r="D10" s="139"/>
      <c r="E10" s="132" t="str">
        <f>+'(1)'!E10</f>
        <v>OK케시백</v>
      </c>
      <c r="F10" s="133"/>
      <c r="G10" s="118"/>
      <c r="H10" s="132" t="str">
        <f t="shared" si="2"/>
        <v>고객우대</v>
      </c>
      <c r="I10" s="139">
        <v>0</v>
      </c>
      <c r="J10" s="132" t="str">
        <f t="shared" si="3"/>
        <v>OK케시백</v>
      </c>
      <c r="K10" s="133"/>
      <c r="L10" s="125"/>
      <c r="M10" s="126"/>
      <c r="N10" s="140" t="str">
        <f t="shared" si="4"/>
        <v>-</v>
      </c>
      <c r="O10" s="143"/>
      <c r="P10" s="140" t="str">
        <f t="shared" si="5"/>
        <v>상품권</v>
      </c>
      <c r="Q10" s="142">
        <f>SUM(F9+K9+F22+K22+F40+K40)</f>
        <v>0</v>
      </c>
      <c r="R10" s="128"/>
      <c r="S10" s="113"/>
      <c r="T10" s="113"/>
      <c r="U10" s="113"/>
      <c r="V10" s="113"/>
    </row>
    <row r="11" spans="3:22" ht="16.5" customHeight="1">
      <c r="C11" s="130" t="str">
        <f>+'(1)'!C11</f>
        <v>-</v>
      </c>
      <c r="D11" s="145">
        <f>SUM(D10*-35)</f>
        <v>0</v>
      </c>
      <c r="E11" s="132" t="str">
        <f>+'(1)'!E11</f>
        <v>모바일</v>
      </c>
      <c r="F11" s="133">
        <v>25000</v>
      </c>
      <c r="G11" s="118"/>
      <c r="H11" s="130" t="str">
        <f t="shared" si="2"/>
        <v>-</v>
      </c>
      <c r="I11" s="145">
        <f>SUM(I10*-35)</f>
        <v>0</v>
      </c>
      <c r="J11" s="132" t="str">
        <f t="shared" si="3"/>
        <v>모바일</v>
      </c>
      <c r="K11" s="133"/>
      <c r="L11" s="125"/>
      <c r="M11" s="126"/>
      <c r="N11" s="140" t="str">
        <f t="shared" si="4"/>
        <v>고객우대</v>
      </c>
      <c r="O11" s="143">
        <f>SUM(D10+I10+D23+I23+D41+I41)</f>
        <v>0</v>
      </c>
      <c r="P11" s="140" t="str">
        <f t="shared" si="5"/>
        <v>OK케시백</v>
      </c>
      <c r="Q11" s="142">
        <f>SUM(F10+K10+F23+K23+F41+K41)</f>
        <v>0</v>
      </c>
      <c r="R11" s="128"/>
      <c r="S11" s="113"/>
      <c r="T11" s="113"/>
      <c r="U11" s="113"/>
      <c r="V11" s="113"/>
    </row>
    <row r="12" spans="3:22" ht="16.5" customHeight="1" thickBot="1">
      <c r="C12" s="146" t="str">
        <f>+'(1)'!C12</f>
        <v>-</v>
      </c>
      <c r="D12" s="147"/>
      <c r="E12" s="148" t="str">
        <f>+'(1)'!E12</f>
        <v>제로페이</v>
      </c>
      <c r="F12" s="149">
        <v>51878</v>
      </c>
      <c r="G12" s="118"/>
      <c r="H12" s="146" t="str">
        <f t="shared" si="2"/>
        <v>-</v>
      </c>
      <c r="I12" s="147"/>
      <c r="J12" s="148" t="str">
        <f t="shared" si="3"/>
        <v>제로페이</v>
      </c>
      <c r="K12" s="149"/>
      <c r="L12" s="125"/>
      <c r="M12" s="126"/>
      <c r="N12" s="140" t="str">
        <f t="shared" si="4"/>
        <v>-</v>
      </c>
      <c r="O12" s="145">
        <f>SUM(O11*-35)</f>
        <v>0</v>
      </c>
      <c r="P12" s="140" t="str">
        <f t="shared" si="5"/>
        <v>모바일</v>
      </c>
      <c r="Q12" s="142">
        <f>SUM(F11+K11+F24+K24+F42+K42)</f>
        <v>25000</v>
      </c>
      <c r="R12" s="128"/>
      <c r="S12" s="113"/>
      <c r="T12" s="113"/>
      <c r="U12" s="113"/>
      <c r="V12" s="113"/>
    </row>
    <row r="13" spans="3:22" ht="16.5" customHeight="1" thickBot="1">
      <c r="C13" s="117" t="str">
        <f>+'(1)'!C13</f>
        <v>합계</v>
      </c>
      <c r="D13" s="150"/>
      <c r="E13" s="117" t="str">
        <f>+'(1)'!E13</f>
        <v>합계</v>
      </c>
      <c r="F13" s="151"/>
      <c r="G13" s="152"/>
      <c r="H13" s="117" t="str">
        <f t="shared" si="2"/>
        <v>합계</v>
      </c>
      <c r="I13" s="150">
        <f>SUM((I4-I5-I6-I7-I8-I9)*$E$1+I11)</f>
        <v>6836619.75</v>
      </c>
      <c r="J13" s="117" t="str">
        <f t="shared" si="3"/>
        <v>합계</v>
      </c>
      <c r="K13" s="151">
        <f>IF(K8=0,0,SUM(K4:K12)-F8)</f>
        <v>6836772</v>
      </c>
      <c r="L13" s="125"/>
      <c r="M13" s="126"/>
      <c r="N13" s="153" t="str">
        <f t="shared" si="4"/>
        <v>-</v>
      </c>
      <c r="O13" s="154"/>
      <c r="P13" s="153" t="str">
        <f t="shared" si="5"/>
        <v>제로페이</v>
      </c>
      <c r="Q13" s="155">
        <f>SUM(F12+K12+F25+K25+F43+K43)</f>
        <v>51878</v>
      </c>
      <c r="R13" s="128"/>
      <c r="S13" s="113"/>
      <c r="T13" s="113"/>
      <c r="U13" s="113"/>
      <c r="V13" s="113"/>
    </row>
    <row r="14" spans="3:22" ht="16.5" customHeight="1" thickBot="1">
      <c r="C14" s="156"/>
      <c r="D14" s="118"/>
      <c r="E14" s="118"/>
      <c r="F14" s="157">
        <f>SUM(F13-D13)</f>
        <v>0</v>
      </c>
      <c r="G14" s="118"/>
      <c r="H14" s="118"/>
      <c r="I14" s="118"/>
      <c r="J14" s="118"/>
      <c r="K14" s="157">
        <f>SUM(K13-I13)</f>
        <v>152.25</v>
      </c>
      <c r="L14" s="125">
        <f>SUM(L4:L13)</f>
        <v>0</v>
      </c>
      <c r="M14" s="115" t="s">
        <v>9</v>
      </c>
      <c r="N14" s="127" t="str">
        <f t="shared" si="4"/>
        <v>합계</v>
      </c>
      <c r="O14" s="158">
        <f>SUM((O5-O6-O7-O8-O9-O10)*+E1+O12)</f>
        <v>17748574.003999997</v>
      </c>
      <c r="P14" s="127" t="str">
        <f t="shared" si="5"/>
        <v>합계</v>
      </c>
      <c r="Q14" s="159">
        <f>SUM(Q5:Q13)</f>
        <v>17748147</v>
      </c>
      <c r="R14" s="113"/>
      <c r="S14" s="113"/>
      <c r="T14" s="113"/>
      <c r="U14" s="113"/>
      <c r="V14" s="113"/>
    </row>
    <row r="15" spans="3:22" ht="16.5" customHeight="1" thickBot="1">
      <c r="C15" s="118">
        <v>3</v>
      </c>
      <c r="D15" s="118"/>
      <c r="E15" s="118"/>
      <c r="F15" s="118"/>
      <c r="G15" s="118"/>
      <c r="H15" s="118">
        <v>4</v>
      </c>
      <c r="I15" s="118"/>
      <c r="J15" s="118"/>
      <c r="K15" s="118"/>
      <c r="L15" s="125"/>
      <c r="M15" s="113"/>
      <c r="N15" s="118"/>
      <c r="O15" s="118"/>
      <c r="P15" s="118"/>
      <c r="Q15" s="160">
        <f>SUM(F14+K14+F27+K27)</f>
        <v>152.25</v>
      </c>
      <c r="R15" s="113"/>
      <c r="S15" s="113"/>
      <c r="T15" s="113"/>
      <c r="U15" s="113"/>
      <c r="V15" s="113"/>
    </row>
    <row r="16" spans="3:22" ht="16.5" customHeight="1" thickBot="1">
      <c r="C16" s="117" t="str">
        <f>+C3</f>
        <v>제   목</v>
      </c>
      <c r="D16" s="117" t="str">
        <f t="shared" ref="D16:F16" si="6">+D3</f>
        <v>수량 및 금액</v>
      </c>
      <c r="E16" s="117" t="str">
        <f t="shared" si="6"/>
        <v>제   목</v>
      </c>
      <c r="F16" s="117" t="str">
        <f t="shared" si="6"/>
        <v>수량 및 금액</v>
      </c>
      <c r="G16" s="118"/>
      <c r="H16" s="117" t="str">
        <f>+C3</f>
        <v>제   목</v>
      </c>
      <c r="I16" s="117" t="str">
        <f t="shared" ref="I16:K16" si="7">+D3</f>
        <v>수량 및 금액</v>
      </c>
      <c r="J16" s="117" t="str">
        <f t="shared" si="7"/>
        <v>제   목</v>
      </c>
      <c r="K16" s="117" t="str">
        <f t="shared" si="7"/>
        <v>수량 및 금액</v>
      </c>
      <c r="L16" s="125"/>
      <c r="M16" s="113"/>
      <c r="N16" s="118"/>
      <c r="O16" s="118"/>
      <c r="P16" s="118"/>
      <c r="Q16" s="118"/>
      <c r="R16" s="113"/>
      <c r="S16" s="113"/>
      <c r="T16" s="113"/>
      <c r="U16" s="113"/>
      <c r="V16" s="113"/>
    </row>
    <row r="17" spans="3:22" ht="16.5" customHeight="1" thickBot="1">
      <c r="C17" s="122" t="str">
        <f>+C4</f>
        <v>판매량</v>
      </c>
      <c r="D17" s="123">
        <v>0</v>
      </c>
      <c r="E17" s="122" t="str">
        <f>+E4</f>
        <v>입금액</v>
      </c>
      <c r="F17" s="124"/>
      <c r="G17" s="118"/>
      <c r="H17" s="122" t="str">
        <f>+C4</f>
        <v>판매량</v>
      </c>
      <c r="I17" s="123">
        <v>0</v>
      </c>
      <c r="J17" s="122" t="str">
        <f>+E4</f>
        <v>입금액</v>
      </c>
      <c r="K17" s="124"/>
      <c r="L17" s="125"/>
      <c r="M17" s="113"/>
      <c r="N17" s="118"/>
      <c r="O17" s="118"/>
      <c r="P17" s="118"/>
      <c r="Q17" s="118"/>
      <c r="R17" s="113"/>
      <c r="S17" s="113"/>
      <c r="T17" s="113"/>
      <c r="U17" s="113"/>
      <c r="V17" s="113"/>
    </row>
    <row r="18" spans="3:22" ht="16.5" customHeight="1" thickBot="1">
      <c r="C18" s="132" t="str">
        <f>+C5</f>
        <v>법인전표</v>
      </c>
      <c r="D18" s="131"/>
      <c r="E18" s="132" t="str">
        <f>+E5</f>
        <v>고액권</v>
      </c>
      <c r="F18" s="133"/>
      <c r="G18" s="118"/>
      <c r="H18" s="132" t="str">
        <f>+C5</f>
        <v>법인전표</v>
      </c>
      <c r="I18" s="131"/>
      <c r="J18" s="132" t="str">
        <f>+E5</f>
        <v>고액권</v>
      </c>
      <c r="K18" s="133"/>
      <c r="L18" s="125"/>
      <c r="M18" s="113"/>
      <c r="N18" s="211" t="s">
        <v>35</v>
      </c>
      <c r="O18" s="212"/>
      <c r="P18" s="161" t="s">
        <v>36</v>
      </c>
      <c r="Q18" s="162" t="s">
        <v>37</v>
      </c>
      <c r="R18" s="113"/>
      <c r="S18" s="113"/>
      <c r="T18" s="113"/>
      <c r="U18" s="113"/>
      <c r="V18" s="113"/>
    </row>
    <row r="19" spans="3:22" ht="16.5" customHeight="1">
      <c r="C19" s="132" t="str">
        <f t="shared" ref="C19:C26" si="8">+C6</f>
        <v>외상전표</v>
      </c>
      <c r="D19" s="139"/>
      <c r="E19" s="132" t="str">
        <f t="shared" ref="E19:E25" si="9">+E6</f>
        <v>천원권</v>
      </c>
      <c r="F19" s="133"/>
      <c r="G19" s="118"/>
      <c r="H19" s="132" t="str">
        <f t="shared" ref="H19:H25" si="10">+C6</f>
        <v>외상전표</v>
      </c>
      <c r="I19" s="139"/>
      <c r="J19" s="132" t="str">
        <f t="shared" ref="J19:J25" si="11">+E6</f>
        <v>천원권</v>
      </c>
      <c r="K19" s="133"/>
      <c r="L19" s="125"/>
      <c r="M19" s="113"/>
      <c r="N19" s="209" t="s">
        <v>38</v>
      </c>
      <c r="O19" s="210"/>
      <c r="P19" s="163">
        <v>12</v>
      </c>
      <c r="Q19" s="137">
        <f>SUM(P19*1000)</f>
        <v>12000</v>
      </c>
      <c r="R19" s="113"/>
      <c r="S19" s="120"/>
      <c r="T19" s="113"/>
      <c r="U19" s="113"/>
      <c r="V19" s="113"/>
    </row>
    <row r="20" spans="3:22" ht="16.5" customHeight="1">
      <c r="C20" s="132" t="str">
        <f t="shared" si="8"/>
        <v>효신(업)</v>
      </c>
      <c r="D20" s="139"/>
      <c r="E20" s="132" t="str">
        <f t="shared" si="9"/>
        <v>동전</v>
      </c>
      <c r="F20" s="133"/>
      <c r="G20" s="118"/>
      <c r="H20" s="132" t="str">
        <f t="shared" si="10"/>
        <v>효신(업)</v>
      </c>
      <c r="I20" s="139"/>
      <c r="J20" s="132" t="str">
        <f t="shared" si="11"/>
        <v>동전</v>
      </c>
      <c r="K20" s="133"/>
      <c r="L20" s="125"/>
      <c r="M20" s="113"/>
      <c r="N20" s="205" t="s">
        <v>39</v>
      </c>
      <c r="O20" s="206"/>
      <c r="P20" s="164">
        <v>81</v>
      </c>
      <c r="Q20" s="142">
        <f>SUM(P20*1000)</f>
        <v>81000</v>
      </c>
      <c r="R20" s="113"/>
      <c r="S20" s="113"/>
      <c r="T20" s="113"/>
      <c r="U20" s="113"/>
      <c r="V20" s="113"/>
    </row>
    <row r="21" spans="3:22" ht="16.5" customHeight="1">
      <c r="C21" s="132" t="str">
        <f t="shared" si="8"/>
        <v>자가소비</v>
      </c>
      <c r="D21" s="139"/>
      <c r="E21" s="132" t="str">
        <f t="shared" si="9"/>
        <v>신용카드</v>
      </c>
      <c r="F21" s="133"/>
      <c r="G21" s="118"/>
      <c r="H21" s="132" t="str">
        <f t="shared" si="10"/>
        <v>자가소비</v>
      </c>
      <c r="I21" s="139"/>
      <c r="J21" s="132" t="str">
        <f t="shared" si="11"/>
        <v>신용카드</v>
      </c>
      <c r="K21" s="133"/>
      <c r="L21" s="125"/>
      <c r="M21" s="113"/>
      <c r="N21" s="205" t="s">
        <v>49</v>
      </c>
      <c r="O21" s="206"/>
      <c r="P21" s="164">
        <v>2</v>
      </c>
      <c r="Q21" s="142"/>
      <c r="R21" s="113"/>
      <c r="S21" s="113"/>
      <c r="T21" s="113"/>
      <c r="U21" s="113"/>
      <c r="V21" s="113"/>
    </row>
    <row r="22" spans="3:22" ht="16.5" customHeight="1">
      <c r="C22" s="132" t="str">
        <f t="shared" si="8"/>
        <v>-</v>
      </c>
      <c r="D22" s="139"/>
      <c r="E22" s="132" t="str">
        <f t="shared" si="9"/>
        <v>상품권</v>
      </c>
      <c r="F22" s="133"/>
      <c r="G22" s="118"/>
      <c r="H22" s="132" t="str">
        <f t="shared" si="10"/>
        <v>-</v>
      </c>
      <c r="I22" s="139"/>
      <c r="J22" s="132" t="str">
        <f t="shared" si="11"/>
        <v>상품권</v>
      </c>
      <c r="K22" s="133"/>
      <c r="L22" s="125"/>
      <c r="M22" s="113"/>
      <c r="N22" s="214" t="s">
        <v>54</v>
      </c>
      <c r="O22" s="215"/>
      <c r="P22" s="164">
        <v>4</v>
      </c>
      <c r="Q22" s="142">
        <f>SUM(P22*1000)</f>
        <v>4000</v>
      </c>
      <c r="R22" s="113"/>
      <c r="S22" s="113"/>
      <c r="T22" s="113"/>
      <c r="U22" s="113"/>
      <c r="V22" s="113"/>
    </row>
    <row r="23" spans="3:22" ht="16.5" customHeight="1">
      <c r="C23" s="132" t="str">
        <f t="shared" si="8"/>
        <v>고객우대</v>
      </c>
      <c r="D23" s="139"/>
      <c r="E23" s="132" t="str">
        <f t="shared" si="9"/>
        <v>OK케시백</v>
      </c>
      <c r="F23" s="133"/>
      <c r="G23" s="118"/>
      <c r="H23" s="132" t="str">
        <f t="shared" si="10"/>
        <v>고객우대</v>
      </c>
      <c r="I23" s="139"/>
      <c r="J23" s="132" t="str">
        <f t="shared" si="11"/>
        <v>OK케시백</v>
      </c>
      <c r="K23" s="133"/>
      <c r="L23" s="125"/>
      <c r="M23" s="113"/>
      <c r="N23" s="216" t="s">
        <v>59</v>
      </c>
      <c r="O23" s="215"/>
      <c r="P23" s="164">
        <v>15</v>
      </c>
      <c r="Q23" s="142">
        <f>SUM(P23*1000)</f>
        <v>15000</v>
      </c>
      <c r="R23" s="113"/>
      <c r="S23" s="113"/>
      <c r="T23" s="113"/>
      <c r="U23" s="113"/>
      <c r="V23" s="113"/>
    </row>
    <row r="24" spans="3:22" ht="16.5" customHeight="1">
      <c r="C24" s="132" t="str">
        <f t="shared" si="8"/>
        <v>-</v>
      </c>
      <c r="D24" s="145">
        <f>SUM(D23*-35)</f>
        <v>0</v>
      </c>
      <c r="E24" s="132" t="str">
        <f>+'(1)'!E24</f>
        <v>모바일</v>
      </c>
      <c r="F24" s="133"/>
      <c r="G24" s="118"/>
      <c r="H24" s="130" t="str">
        <f t="shared" ref="H24" si="12">+C24</f>
        <v>-</v>
      </c>
      <c r="I24" s="145">
        <f>SUM(I23*-35)</f>
        <v>0</v>
      </c>
      <c r="J24" s="132" t="str">
        <f t="shared" si="11"/>
        <v>모바일</v>
      </c>
      <c r="K24" s="133"/>
      <c r="L24" s="125"/>
      <c r="M24" s="113"/>
      <c r="N24" s="216" t="s">
        <v>53</v>
      </c>
      <c r="O24" s="215"/>
      <c r="P24" s="164"/>
      <c r="Q24" s="142"/>
      <c r="R24" s="113"/>
      <c r="S24" s="113"/>
      <c r="T24" s="113"/>
      <c r="U24" s="113"/>
      <c r="V24" s="113"/>
    </row>
    <row r="25" spans="3:22" ht="16.5" customHeight="1" thickBot="1">
      <c r="C25" s="148" t="str">
        <f t="shared" si="8"/>
        <v>-</v>
      </c>
      <c r="D25" s="147"/>
      <c r="E25" s="148" t="str">
        <f t="shared" si="9"/>
        <v>제로페이</v>
      </c>
      <c r="F25" s="149"/>
      <c r="G25" s="118"/>
      <c r="H25" s="148" t="str">
        <f t="shared" si="10"/>
        <v>-</v>
      </c>
      <c r="I25" s="147"/>
      <c r="J25" s="148" t="str">
        <f t="shared" si="11"/>
        <v>제로페이</v>
      </c>
      <c r="K25" s="149"/>
      <c r="L25" s="125"/>
      <c r="M25" s="113"/>
      <c r="N25" s="217" t="s">
        <v>40</v>
      </c>
      <c r="O25" s="218"/>
      <c r="P25" s="165">
        <f>+P26-SUM(P19:P24)</f>
        <v>86</v>
      </c>
      <c r="Q25" s="166"/>
      <c r="R25" s="113"/>
      <c r="S25" s="113"/>
      <c r="T25" s="113"/>
      <c r="U25" s="113"/>
      <c r="V25" s="113"/>
    </row>
    <row r="26" spans="3:22" ht="16.5" customHeight="1" thickBot="1">
      <c r="C26" s="117" t="str">
        <f t="shared" si="8"/>
        <v>합계</v>
      </c>
      <c r="D26" s="150">
        <f>SUM((D17-D18-D19-D20-D21-D22)*$E$1+D24)</f>
        <v>0</v>
      </c>
      <c r="E26" s="117" t="str">
        <f>+'(1)'!E26</f>
        <v>합계</v>
      </c>
      <c r="F26" s="151">
        <f>SUM(F17:F25)</f>
        <v>0</v>
      </c>
      <c r="G26" s="152"/>
      <c r="H26" s="117" t="str">
        <f t="shared" ref="H26" si="13">+C26</f>
        <v>합계</v>
      </c>
      <c r="I26" s="150">
        <f>SUM((I17-I18-I19-I20-I21-I22)*$E$1+I24)</f>
        <v>0</v>
      </c>
      <c r="J26" s="117" t="str">
        <f t="shared" ref="J26" si="14">+E26</f>
        <v>합계</v>
      </c>
      <c r="K26" s="151">
        <f>IF(K21=0,0,SUM(K17:K25)-F21)</f>
        <v>0</v>
      </c>
      <c r="L26" s="125"/>
      <c r="M26" s="113"/>
      <c r="N26" s="211" t="s">
        <v>41</v>
      </c>
      <c r="O26" s="213"/>
      <c r="P26" s="167">
        <v>200</v>
      </c>
      <c r="Q26" s="159">
        <f>SUM(Q19:Q25)</f>
        <v>112000</v>
      </c>
      <c r="R26" s="113"/>
      <c r="S26" s="113"/>
      <c r="T26" s="113"/>
      <c r="U26" s="113"/>
      <c r="V26" s="113"/>
    </row>
    <row r="27" spans="3:22" ht="16.5" customHeight="1" thickBot="1">
      <c r="C27" s="118"/>
      <c r="D27" s="118"/>
      <c r="E27" s="118"/>
      <c r="F27" s="157">
        <f>SUM(F26-D26)</f>
        <v>0</v>
      </c>
      <c r="G27" s="118"/>
      <c r="H27" s="118"/>
      <c r="I27" s="118"/>
      <c r="J27" s="118"/>
      <c r="K27" s="157">
        <f>SUM(K26-I26)</f>
        <v>0</v>
      </c>
      <c r="L27" s="125"/>
      <c r="M27" s="113"/>
      <c r="N27" s="113"/>
      <c r="O27" s="113"/>
      <c r="P27" s="113"/>
      <c r="Q27" s="113"/>
      <c r="R27" s="113"/>
      <c r="S27" s="113"/>
      <c r="T27" s="113"/>
      <c r="U27" s="113"/>
      <c r="V27" s="113"/>
    </row>
    <row r="28" spans="3:22" ht="27.75" customHeight="1">
      <c r="C28" s="120"/>
      <c r="D28" s="120"/>
      <c r="E28" s="120"/>
      <c r="F28" s="120"/>
      <c r="G28" s="120"/>
      <c r="H28" s="120"/>
      <c r="I28" s="120"/>
      <c r="J28" s="120"/>
      <c r="K28" s="120"/>
      <c r="L28" s="113"/>
      <c r="M28" s="113"/>
      <c r="N28" s="203" t="s">
        <v>55</v>
      </c>
      <c r="O28" s="168" t="s">
        <v>56</v>
      </c>
      <c r="P28" s="168" t="s">
        <v>57</v>
      </c>
      <c r="Q28" s="169" t="s">
        <v>58</v>
      </c>
      <c r="R28" s="113"/>
      <c r="S28" s="113"/>
      <c r="T28" s="113"/>
      <c r="U28" s="113"/>
      <c r="V28" s="113"/>
    </row>
    <row r="29" spans="3:22" ht="27.75" customHeight="1" thickBot="1">
      <c r="C29" s="170"/>
      <c r="D29" s="170"/>
      <c r="E29" s="170"/>
      <c r="F29" s="170"/>
      <c r="G29" s="120"/>
      <c r="H29" s="170"/>
      <c r="I29" s="170"/>
      <c r="J29" s="170"/>
      <c r="K29" s="170"/>
      <c r="L29" s="113"/>
      <c r="M29" s="113"/>
      <c r="N29" s="204"/>
      <c r="O29" s="171">
        <v>13416</v>
      </c>
      <c r="P29" s="172">
        <v>13454</v>
      </c>
      <c r="Q29" s="173">
        <f>P29-O29</f>
        <v>38</v>
      </c>
      <c r="R29" s="113"/>
      <c r="S29" s="113"/>
      <c r="T29" s="113"/>
      <c r="U29" s="113"/>
      <c r="V29" s="113"/>
    </row>
    <row r="30" spans="3:22" ht="27.75" customHeight="1">
      <c r="C30" s="170"/>
      <c r="D30" s="120"/>
      <c r="E30" s="170"/>
      <c r="F30" s="174"/>
      <c r="G30" s="120"/>
      <c r="H30" s="170"/>
      <c r="I30" s="120"/>
      <c r="J30" s="170"/>
      <c r="K30" s="174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</row>
    <row r="31" spans="3:22" ht="27.75" customHeight="1">
      <c r="C31" s="170"/>
      <c r="D31" s="120"/>
      <c r="E31" s="170"/>
      <c r="F31" s="174"/>
      <c r="G31" s="120"/>
      <c r="H31" s="170"/>
      <c r="I31" s="120"/>
      <c r="J31" s="170"/>
      <c r="K31" s="174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3:22" ht="27.75" customHeight="1">
      <c r="C32" s="170"/>
      <c r="D32" s="175"/>
      <c r="E32" s="170"/>
      <c r="F32" s="174"/>
      <c r="G32" s="120"/>
      <c r="H32" s="170"/>
      <c r="I32" s="175"/>
      <c r="J32" s="170"/>
      <c r="K32" s="174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</row>
    <row r="33" spans="3:22" ht="27.75" customHeight="1">
      <c r="C33" s="170"/>
      <c r="D33" s="175"/>
      <c r="E33" s="170"/>
      <c r="F33" s="174"/>
      <c r="G33" s="120"/>
      <c r="H33" s="170"/>
      <c r="I33" s="175"/>
      <c r="J33" s="170"/>
      <c r="K33" s="174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</row>
    <row r="34" spans="3:22" ht="27.75" customHeight="1">
      <c r="C34" s="170"/>
      <c r="D34" s="175"/>
      <c r="E34" s="170"/>
      <c r="F34" s="174"/>
      <c r="G34" s="120"/>
      <c r="H34" s="170"/>
      <c r="I34" s="175"/>
      <c r="J34" s="170"/>
      <c r="K34" s="174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</row>
    <row r="35" spans="3:22" ht="27.75" customHeight="1">
      <c r="C35" s="170"/>
      <c r="D35" s="175"/>
      <c r="E35" s="170"/>
      <c r="F35" s="174"/>
      <c r="G35" s="120"/>
      <c r="H35" s="170"/>
      <c r="I35" s="175"/>
      <c r="J35" s="170"/>
      <c r="K35" s="174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</row>
    <row r="36" spans="3:22" ht="27.75" customHeight="1">
      <c r="C36" s="170"/>
      <c r="D36" s="175"/>
      <c r="E36" s="170"/>
      <c r="F36" s="174"/>
      <c r="G36" s="120"/>
      <c r="H36" s="170"/>
      <c r="I36" s="175"/>
      <c r="J36" s="170"/>
      <c r="K36" s="174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</row>
    <row r="37" spans="3:22" ht="27.75" customHeight="1">
      <c r="C37" s="170"/>
      <c r="D37" s="120"/>
      <c r="E37" s="170"/>
      <c r="F37" s="174"/>
      <c r="G37" s="120"/>
      <c r="H37" s="170"/>
      <c r="I37" s="120"/>
      <c r="J37" s="170"/>
      <c r="K37" s="174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</row>
    <row r="38" spans="3:22" ht="27.75" customHeight="1">
      <c r="C38" s="176"/>
      <c r="D38" s="177"/>
      <c r="E38" s="176"/>
      <c r="F38" s="178"/>
      <c r="G38" s="177"/>
      <c r="H38" s="176"/>
      <c r="I38" s="177"/>
      <c r="J38" s="176"/>
      <c r="K38" s="178"/>
    </row>
    <row r="39" spans="3:22" ht="27.75" customHeight="1">
      <c r="C39" s="176"/>
      <c r="D39" s="177"/>
      <c r="E39" s="176"/>
      <c r="F39" s="178"/>
      <c r="G39" s="177"/>
      <c r="H39" s="176"/>
      <c r="I39" s="177"/>
      <c r="J39" s="176"/>
      <c r="K39" s="178"/>
    </row>
    <row r="40" spans="3:22" ht="27.75" customHeight="1">
      <c r="F40" s="179"/>
      <c r="K40" s="179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0" sqref="P2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1229</v>
      </c>
      <c r="F1" s="1"/>
      <c r="G1" s="1"/>
      <c r="H1" s="1"/>
      <c r="I1" s="1"/>
      <c r="J1" s="1"/>
      <c r="K1" s="1"/>
      <c r="L1" s="22">
        <f>+ROUND(+O5*0.584/1000,3)</f>
        <v>11.9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11.416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125.57600000000001</v>
      </c>
      <c r="M3" s="18" t="s">
        <v>10</v>
      </c>
      <c r="N3" s="3"/>
      <c r="O3" s="3"/>
      <c r="P3" s="202" t="str">
        <f>+'(1)'!C1&amp;"년"&amp;'(1)'!E1&amp;"월"&amp;C1&amp;"일"</f>
        <v>2022년4월11일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12818.794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7558.6260000000002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12658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235000</v>
      </c>
      <c r="L5" s="2"/>
      <c r="M5" s="20"/>
      <c r="N5" s="45" t="str">
        <f>+C4</f>
        <v>판매량</v>
      </c>
      <c r="O5" s="46">
        <f>SUM(D4+I4+D17+I17+D35+I35)</f>
        <v>20377.419999999998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344.90800000000002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18.417000000000002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765000</v>
      </c>
      <c r="R6" s="7">
        <v>1.4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363.32500000000005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14683885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23711077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23711077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208.471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-7296.4850000000006</v>
      </c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208.471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76178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-7296.4850000000006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15323109.409000002</v>
      </c>
      <c r="E13" s="29" t="str">
        <f>+'(1)'!E13</f>
        <v>합계</v>
      </c>
      <c r="F13" s="61">
        <f>SUM(F4:F12)</f>
        <v>15323063</v>
      </c>
      <c r="G13" s="62"/>
      <c r="H13" s="29" t="str">
        <f t="shared" si="2"/>
        <v>합계</v>
      </c>
      <c r="I13" s="60">
        <f>SUM((I4-I5-I6-I7-I8-I9)*$E$1+I11)</f>
        <v>9266916.8609999996</v>
      </c>
      <c r="J13" s="29" t="str">
        <f t="shared" si="3"/>
        <v>합계</v>
      </c>
      <c r="K13" s="61">
        <f>IF(K8=0,0,SUM(K4:K12)-F8)</f>
        <v>9267192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76178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-46.409000001847744</v>
      </c>
      <c r="G14" s="27"/>
      <c r="H14" s="27"/>
      <c r="I14" s="27"/>
      <c r="J14" s="27"/>
      <c r="K14" s="67">
        <f>SUM(K13-I13)</f>
        <v>275.13900000043213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24590026.269999996</v>
      </c>
      <c r="P14" s="39" t="str">
        <f t="shared" si="5"/>
        <v>합계</v>
      </c>
      <c r="Q14" s="69">
        <f>SUM(Q5:Q13)</f>
        <v>24590255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228.72999999858439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47</v>
      </c>
      <c r="Q20" s="53">
        <f>SUM(P20*1000)</f>
        <v>47000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86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199</v>
      </c>
      <c r="Q26" s="69">
        <f>SUM(Q19:Q25)</f>
        <v>79000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13454</v>
      </c>
      <c r="P29" s="107">
        <v>13479</v>
      </c>
      <c r="Q29" s="108">
        <f>P29-O29</f>
        <v>25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B4" sqref="B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1229</v>
      </c>
      <c r="F1" s="1"/>
      <c r="G1" s="1"/>
      <c r="H1" s="1"/>
      <c r="I1" s="1"/>
      <c r="J1" s="1"/>
      <c r="K1" s="1"/>
      <c r="L1" s="22">
        <f>+ROUND(+O5*0.584/1000,3)</f>
        <v>10.597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11.348000000000001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136.17600000000002</v>
      </c>
      <c r="M3" s="18" t="s">
        <v>10</v>
      </c>
      <c r="N3" s="3"/>
      <c r="O3" s="3"/>
      <c r="P3" s="202" t="str">
        <f>+'(1)'!C1&amp;"년"&amp;'(1)'!E1&amp;"월"&amp;C1&amp;"일"</f>
        <v>2022년4월12일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10775.451999999999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7369.6220000000003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30154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210000</v>
      </c>
      <c r="L5" s="2"/>
      <c r="M5" s="20"/>
      <c r="N5" s="45" t="str">
        <f>+C4</f>
        <v>판매량</v>
      </c>
      <c r="O5" s="46">
        <f>SUM(D4+I4+D17+I17+D35+I35)</f>
        <v>18145.074000000001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348.096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17.422999999999998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560000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365.51900000000001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12449869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21270440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21270440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174.72300000000001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45.284999999999997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-6115.3050000000003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-1584.9749999999999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220.00800000000001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-7700.2800000000007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12809105.219000001</v>
      </c>
      <c r="E13" s="29" t="str">
        <f>+'(1)'!E13</f>
        <v>합계</v>
      </c>
      <c r="F13" s="61">
        <f>SUM(F4:F12)</f>
        <v>12809869</v>
      </c>
      <c r="G13" s="62"/>
      <c r="H13" s="29" t="str">
        <f t="shared" si="2"/>
        <v>합계</v>
      </c>
      <c r="I13" s="60">
        <f>SUM((I4-I5-I6-I7-I8-I9)*$E$1+I11)</f>
        <v>9034267.5960000008</v>
      </c>
      <c r="J13" s="29" t="str">
        <f t="shared" si="3"/>
        <v>합계</v>
      </c>
      <c r="K13" s="61">
        <f>IF(K8=0,0,SUM(K4:K12)-F8)</f>
        <v>9033571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763.78099999949336</v>
      </c>
      <c r="G14" s="27"/>
      <c r="H14" s="27"/>
      <c r="I14" s="27"/>
      <c r="J14" s="27"/>
      <c r="K14" s="67">
        <f>SUM(K13-I13)</f>
        <v>-696.59600000083447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21843372.814999998</v>
      </c>
      <c r="P14" s="39" t="str">
        <f t="shared" si="5"/>
        <v>합계</v>
      </c>
      <c r="Q14" s="69">
        <f>SUM(Q5:Q13)</f>
        <v>21843440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67.184999998658895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49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123</v>
      </c>
      <c r="Q26" s="69">
        <f>SUM(Q19:Q25)</f>
        <v>45000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13479</v>
      </c>
      <c r="P29" s="107">
        <v>13492</v>
      </c>
      <c r="Q29" s="108">
        <f>P29-O29</f>
        <v>13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1229</v>
      </c>
      <c r="F1" s="1"/>
      <c r="G1" s="1"/>
      <c r="H1" s="1"/>
      <c r="I1" s="1"/>
      <c r="J1" s="1"/>
      <c r="K1" s="1"/>
      <c r="L1" s="22">
        <f>+ROUND(+O5*0.584/1000,3)</f>
        <v>11.433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11.355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147.61500000000001</v>
      </c>
      <c r="M3" s="18" t="s">
        <v>10</v>
      </c>
      <c r="N3" s="3"/>
      <c r="O3" s="3"/>
      <c r="P3" s="202" t="str">
        <f>+'(1)'!C1&amp;"년"&amp;'(1)'!E1&amp;"월"&amp;C1&amp;"일"</f>
        <v>2022년4월13일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11434.156999999999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8142.9009999999998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45087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115000</v>
      </c>
      <c r="L5" s="2"/>
      <c r="M5" s="20"/>
      <c r="N5" s="45" t="str">
        <f>+C4</f>
        <v>판매량</v>
      </c>
      <c r="O5" s="46">
        <f>SUM(D4+I4+D17+I17+D35+I35)</f>
        <v>19577.057999999997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359.452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18.22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255000</v>
      </c>
      <c r="R6" s="7">
        <v>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377.67200000000003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13435329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23300629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23300629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326.351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63.331000000000003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-11422.285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-2216.585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389.68200000000002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-13638.87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13599390.16</v>
      </c>
      <c r="E13" s="29" t="str">
        <f>+'(1)'!E13</f>
        <v>합계</v>
      </c>
      <c r="F13" s="61">
        <f>SUM(F4:F12)</f>
        <v>13598329</v>
      </c>
      <c r="G13" s="62"/>
      <c r="H13" s="29" t="str">
        <f t="shared" si="2"/>
        <v>합계</v>
      </c>
      <c r="I13" s="60">
        <f>SUM((I4-I5-I6-I7-I8-I9)*$E$1+I11)</f>
        <v>9983016.3639999982</v>
      </c>
      <c r="J13" s="29" t="str">
        <f t="shared" si="3"/>
        <v>합계</v>
      </c>
      <c r="K13" s="61">
        <f>IF(K8=0,0,SUM(K4:K12)-F8)</f>
        <v>9982300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-1061.160000000149</v>
      </c>
      <c r="G14" s="27"/>
      <c r="H14" s="27"/>
      <c r="I14" s="27"/>
      <c r="J14" s="27"/>
      <c r="K14" s="67">
        <f>SUM(K13-I13)</f>
        <v>-716.36399999819696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23582406.523999996</v>
      </c>
      <c r="P14" s="39" t="str">
        <f t="shared" si="5"/>
        <v>합계</v>
      </c>
      <c r="Q14" s="69">
        <f>SUM(Q5:Q13)</f>
        <v>23580629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-1777.523999998346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32</v>
      </c>
      <c r="Q23" s="53">
        <f>SUM(P23*1000)</f>
        <v>32000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73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200</v>
      </c>
      <c r="Q26" s="69">
        <f>SUM(Q19:Q25)</f>
        <v>89000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13492</v>
      </c>
      <c r="P29" s="107">
        <v>13512</v>
      </c>
      <c r="Q29" s="108">
        <f>P29-O29</f>
        <v>20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D6" sqref="D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1229</v>
      </c>
      <c r="F1" s="1"/>
      <c r="G1" s="1"/>
      <c r="H1" s="1"/>
      <c r="I1" s="1"/>
      <c r="J1" s="1"/>
      <c r="K1" s="1"/>
      <c r="L1" s="22">
        <f>+ROUND(+O5*0.584/1000,3)</f>
        <v>12.253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11.419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159.86600000000001</v>
      </c>
      <c r="M3" s="18" t="s">
        <v>10</v>
      </c>
      <c r="N3" s="3"/>
      <c r="O3" s="3"/>
      <c r="P3" s="202" t="str">
        <f>+'(1)'!C1&amp;"년"&amp;'(1)'!E1&amp;"월"&amp;C1&amp;"일"</f>
        <v>2022년4월14일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12197.352999999999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8783.91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23936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395000</v>
      </c>
      <c r="L5" s="2"/>
      <c r="M5" s="20"/>
      <c r="N5" s="45" t="str">
        <f>+C4</f>
        <v>판매량</v>
      </c>
      <c r="O5" s="46">
        <f>SUM(D4+I4+D17+I17+D35+I35)</f>
        <v>20981.262999999999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301.70800000000003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46.033999999999999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655000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347.74200000000002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14284293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24620609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24620609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227.30699999999999</v>
      </c>
      <c r="E10" s="42" t="str">
        <f>+'(1)'!E10</f>
        <v>OK케시백</v>
      </c>
      <c r="F10" s="44">
        <v>64590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-7955.7449999999999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227.30699999999999</v>
      </c>
      <c r="P11" s="51" t="str">
        <f t="shared" si="5"/>
        <v>OK케시백</v>
      </c>
      <c r="Q11" s="53">
        <f>SUM(F10+K10+F23+K23+F41+K41)</f>
        <v>69590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-7955.7449999999999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14611791.959999999</v>
      </c>
      <c r="E13" s="29" t="str">
        <f>+'(1)'!E13</f>
        <v>합계</v>
      </c>
      <c r="F13" s="61">
        <f>SUM(F4:F12)</f>
        <v>14611883</v>
      </c>
      <c r="G13" s="62"/>
      <c r="H13" s="29" t="str">
        <f t="shared" si="2"/>
        <v>합계</v>
      </c>
      <c r="I13" s="60">
        <f>SUM((I4-I5-I6-I7-I8-I9)*$E$1+I11)</f>
        <v>10738849.604</v>
      </c>
      <c r="J13" s="29" t="str">
        <f t="shared" si="3"/>
        <v>합계</v>
      </c>
      <c r="K13" s="61">
        <f>IF(K8=0,0,SUM(K4:K12)-F8)</f>
        <v>10738316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91.040000000968575</v>
      </c>
      <c r="G14" s="27"/>
      <c r="H14" s="27"/>
      <c r="I14" s="27"/>
      <c r="J14" s="27"/>
      <c r="K14" s="67">
        <f>SUM(K13-I13)</f>
        <v>-533.60400000028312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25350641.563999999</v>
      </c>
      <c r="P14" s="39" t="str">
        <f t="shared" si="5"/>
        <v>합계</v>
      </c>
      <c r="Q14" s="69">
        <f>SUM(Q5:Q13)</f>
        <v>25350199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-442.56399999931455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v>108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213</v>
      </c>
      <c r="Q26" s="69">
        <f>SUM(Q19:Q25)</f>
        <v>72000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13512</v>
      </c>
      <c r="P29" s="107">
        <v>13543</v>
      </c>
      <c r="Q29" s="108">
        <f>P29-O29</f>
        <v>31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1229</v>
      </c>
      <c r="F1" s="1"/>
      <c r="G1" s="1"/>
      <c r="H1" s="1"/>
      <c r="I1" s="1"/>
      <c r="J1" s="1"/>
      <c r="K1" s="1"/>
      <c r="L1" s="22">
        <f>+ROUND(+O5*0.584/1000,3)</f>
        <v>12.41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11.484999999999999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172.27499999999998</v>
      </c>
      <c r="M3" s="18" t="s">
        <v>10</v>
      </c>
      <c r="N3" s="3"/>
      <c r="O3" s="3"/>
      <c r="P3" s="202" t="str">
        <f>+'(1)'!C1&amp;"년"&amp;'(1)'!E1&amp;"월"&amp;C1&amp;"일"</f>
        <v>2022년4월15일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12878.788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8370.7749999999996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37796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21249.563000000002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216.50299999999999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13.315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620000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229.81799999999998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15030946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24997684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24997684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301.21699999999998</v>
      </c>
      <c r="E10" s="42" t="str">
        <f>+'(1)'!E10</f>
        <v>OK케시백</v>
      </c>
      <c r="F10" s="44">
        <v>24600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-10542.594999999999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301.21699999999998</v>
      </c>
      <c r="P11" s="51" t="str">
        <f t="shared" si="5"/>
        <v>OK케시백</v>
      </c>
      <c r="Q11" s="53">
        <f>SUM(F10+K10+F23+K23+F41+K41)</f>
        <v>24600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63147</v>
      </c>
      <c r="L12" s="2"/>
      <c r="M12" s="20"/>
      <c r="N12" s="51" t="str">
        <f t="shared" si="4"/>
        <v>-</v>
      </c>
      <c r="O12" s="55">
        <f>SUM(O11*-35)</f>
        <v>-10542.594999999999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15551405.67</v>
      </c>
      <c r="E13" s="29" t="str">
        <f>+'(1)'!E13</f>
        <v>합계</v>
      </c>
      <c r="F13" s="61">
        <f>SUM(F4:F12)</f>
        <v>15551546</v>
      </c>
      <c r="G13" s="62"/>
      <c r="H13" s="29" t="str">
        <f t="shared" si="2"/>
        <v>합계</v>
      </c>
      <c r="I13" s="60">
        <f>SUM((I4-I5-I6-I7-I8-I9)*$E$1+I11)</f>
        <v>10271318.34</v>
      </c>
      <c r="J13" s="29" t="str">
        <f t="shared" si="3"/>
        <v>합계</v>
      </c>
      <c r="K13" s="61">
        <f>IF(K8=0,0,SUM(K4:K12)-F8)</f>
        <v>10270885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113147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140.33000000007451</v>
      </c>
      <c r="G14" s="27"/>
      <c r="H14" s="27"/>
      <c r="I14" s="27"/>
      <c r="J14" s="27"/>
      <c r="K14" s="67">
        <f>SUM(K13-I13)</f>
        <v>-433.33999999985099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25822724.010000005</v>
      </c>
      <c r="P14" s="39" t="str">
        <f t="shared" si="5"/>
        <v>합계</v>
      </c>
      <c r="Q14" s="69">
        <f>SUM(Q5:Q13)</f>
        <v>25822431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-293.00999999977648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9</v>
      </c>
      <c r="Q22" s="53">
        <f>SUM(P22*1000)</f>
        <v>9000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82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139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13543</v>
      </c>
      <c r="P29" s="107">
        <v>13579</v>
      </c>
      <c r="Q29" s="108">
        <f>P29-O29</f>
        <v>36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1229</v>
      </c>
      <c r="F1" s="1"/>
      <c r="G1" s="1"/>
      <c r="H1" s="1"/>
      <c r="I1" s="1"/>
      <c r="J1" s="1"/>
      <c r="K1" s="1"/>
      <c r="L1" s="22">
        <f>+ROUND(+O5*0.584/1000,3)</f>
        <v>11.215999999999999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11.468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183.488</v>
      </c>
      <c r="M3" s="18" t="s">
        <v>10</v>
      </c>
      <c r="N3" s="3"/>
      <c r="O3" s="3"/>
      <c r="P3" s="202" t="str">
        <f>+'(1)'!C1&amp;"년"&amp;'(1)'!E1&amp;"월"&amp;C1&amp;"일"</f>
        <v>2022년4월16일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11993.189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7211.509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17859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180000</v>
      </c>
      <c r="L5" s="2"/>
      <c r="M5" s="20"/>
      <c r="N5" s="45" t="str">
        <f>+C4</f>
        <v>판매량</v>
      </c>
      <c r="O5" s="46">
        <f>SUM(D4+I4+D17+I17+D35+I35)</f>
        <v>19204.698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168.32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168.32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14119295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22797349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22797349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61.832999999999998</v>
      </c>
      <c r="E10" s="42" t="str">
        <f>+'(1)'!E10</f>
        <v>OK케시백</v>
      </c>
      <c r="F10" s="44">
        <v>3000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-2164.1549999999997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61.832999999999998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-2164.1549999999997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14530599.846000001</v>
      </c>
      <c r="E13" s="29" t="str">
        <f>+'(1)'!E13</f>
        <v>합계</v>
      </c>
      <c r="F13" s="61">
        <f>SUM(F4:F12)</f>
        <v>14530295</v>
      </c>
      <c r="G13" s="62"/>
      <c r="H13" s="29" t="str">
        <f t="shared" si="2"/>
        <v>합계</v>
      </c>
      <c r="I13" s="60">
        <f>SUM((I4-I5-I6-I7-I8-I9)*$E$1+I11)</f>
        <v>8862944.5610000007</v>
      </c>
      <c r="J13" s="29" t="str">
        <f t="shared" si="3"/>
        <v>합계</v>
      </c>
      <c r="K13" s="61">
        <f>IF(K8=0,0,SUM(K4:K12)-F8)</f>
        <v>8863054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-304.84600000083447</v>
      </c>
      <c r="G14" s="27"/>
      <c r="H14" s="27"/>
      <c r="I14" s="27"/>
      <c r="J14" s="27"/>
      <c r="K14" s="67">
        <f>SUM(K13-I13)</f>
        <v>109.43899999931455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23393544.406999998</v>
      </c>
      <c r="P14" s="39" t="str">
        <f t="shared" si="5"/>
        <v>합계</v>
      </c>
      <c r="Q14" s="69">
        <f>SUM(Q5:Q13)</f>
        <v>23393349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-195.40700000151992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36</v>
      </c>
      <c r="Q20" s="53">
        <f>SUM(P20*1000)</f>
        <v>36000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118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212</v>
      </c>
      <c r="Q26" s="69">
        <f>SUM(Q19:Q25)</f>
        <v>72000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13579</v>
      </c>
      <c r="P29" s="107">
        <v>13623</v>
      </c>
      <c r="Q29" s="108">
        <f>P29-O29</f>
        <v>44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1229</v>
      </c>
      <c r="F1" s="1"/>
      <c r="G1" s="1"/>
      <c r="H1" s="1"/>
      <c r="I1" s="1"/>
      <c r="J1" s="1"/>
      <c r="K1" s="1"/>
      <c r="L1" s="22">
        <f>+ROUND(+O5*0.584/1000,3)</f>
        <v>7.9450000000000003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11.260999999999999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191.43699999999998</v>
      </c>
      <c r="M3" s="18" t="s">
        <v>10</v>
      </c>
      <c r="N3" s="3"/>
      <c r="O3" s="3"/>
      <c r="P3" s="202" t="str">
        <f>+'(1)'!C1&amp;"년"&amp;'(1)'!E1&amp;"월"&amp;C1&amp;"일"</f>
        <v>2022년4월17일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8475.2150000000001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5128.8890000000001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39715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325000</v>
      </c>
      <c r="L5" s="2"/>
      <c r="M5" s="20"/>
      <c r="N5" s="45" t="str">
        <f>+C4</f>
        <v>판매량</v>
      </c>
      <c r="O5" s="46">
        <f>SUM(D4+I4+D17+I17+D35+I35)</f>
        <v>13604.103999999999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720000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9970792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15919589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15919589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42.783999999999999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-1497.44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42.783999999999999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36554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-1497.44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10414541.795</v>
      </c>
      <c r="E13" s="29" t="str">
        <f>+'(1)'!E13</f>
        <v>합계</v>
      </c>
      <c r="F13" s="61">
        <f>SUM(F4:F12)</f>
        <v>10414346</v>
      </c>
      <c r="G13" s="62"/>
      <c r="H13" s="29" t="str">
        <f t="shared" si="2"/>
        <v>합계</v>
      </c>
      <c r="I13" s="60">
        <f>SUM((I4-I5-I6-I7-I8-I9)*$E$1+I11)</f>
        <v>6303404.5810000002</v>
      </c>
      <c r="J13" s="29" t="str">
        <f t="shared" si="3"/>
        <v>합계</v>
      </c>
      <c r="K13" s="61">
        <f>IF(K8=0,0,SUM(K4:K12)-F8)</f>
        <v>6302797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56554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-195.79499999992549</v>
      </c>
      <c r="G14" s="27"/>
      <c r="H14" s="27"/>
      <c r="I14" s="27"/>
      <c r="J14" s="27"/>
      <c r="K14" s="67">
        <f>SUM(K13-I13)</f>
        <v>-607.58100000023842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16717946.376</v>
      </c>
      <c r="P14" s="39" t="str">
        <f t="shared" si="5"/>
        <v>합계</v>
      </c>
      <c r="Q14" s="69">
        <f>SUM(Q5:Q13)</f>
        <v>16717143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-803.37600000016391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42</v>
      </c>
      <c r="Q20" s="53">
        <f>SUM(P20*1000)</f>
        <v>42000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98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177</v>
      </c>
      <c r="Q26" s="69">
        <f>SUM(Q19:Q25)</f>
        <v>73000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13623</v>
      </c>
      <c r="P29" s="107">
        <v>13669</v>
      </c>
      <c r="Q29" s="108">
        <f>P29-O29</f>
        <v>46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1229</v>
      </c>
      <c r="F1" s="1"/>
      <c r="G1" s="1"/>
      <c r="H1" s="1"/>
      <c r="I1" s="1"/>
      <c r="J1" s="1"/>
      <c r="K1" s="1"/>
      <c r="L1" s="22">
        <f>+ROUND(+O5*0.584/1000,3)</f>
        <v>11.65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11.282999999999999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203.09399999999999</v>
      </c>
      <c r="M3" s="18" t="s">
        <v>10</v>
      </c>
      <c r="N3" s="3"/>
      <c r="O3" s="3"/>
      <c r="P3" s="202" t="str">
        <f>+'(1)'!C1&amp;"년"&amp;'(1)'!E1&amp;"월"&amp;C1&amp;"일"</f>
        <v>2022년4월18일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12510.236000000001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7438.451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19072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255000</v>
      </c>
      <c r="L5" s="2"/>
      <c r="M5" s="20"/>
      <c r="N5" s="45" t="str">
        <f>+C4</f>
        <v>판매량</v>
      </c>
      <c r="O5" s="46">
        <f>SUM(D4+I4+D17+I17+D35+I35)</f>
        <v>19948.687000000002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376.99299999999999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20.922000000000001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555000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397.91500000000002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14405617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23263192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23263192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123.38800000000001</v>
      </c>
      <c r="E10" s="42" t="str">
        <f>+'(1)'!E10</f>
        <v>OK케시백</v>
      </c>
      <c r="F10" s="44">
        <v>51580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-4318.58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123.38800000000001</v>
      </c>
      <c r="P11" s="51" t="str">
        <f t="shared" si="5"/>
        <v>OK케시백</v>
      </c>
      <c r="Q11" s="53">
        <f>SUM(F10+K10+F23+K23+F41+K41)</f>
        <v>54580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140513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-4318.58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14907437.067</v>
      </c>
      <c r="E13" s="29" t="str">
        <f>+'(1)'!E13</f>
        <v>합계</v>
      </c>
      <c r="F13" s="61">
        <f>SUM(F4:F12)</f>
        <v>14907710</v>
      </c>
      <c r="G13" s="62"/>
      <c r="H13" s="29" t="str">
        <f t="shared" si="2"/>
        <v>합계</v>
      </c>
      <c r="I13" s="60">
        <f>SUM((I4-I5-I6-I7-I8-I9)*$E$1+I11)</f>
        <v>9116143.1410000008</v>
      </c>
      <c r="J13" s="29" t="str">
        <f t="shared" si="3"/>
        <v>합계</v>
      </c>
      <c r="K13" s="61">
        <f>IF(K8=0,0,SUM(K4:K12)-F8)</f>
        <v>9115575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140513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272.93300000019372</v>
      </c>
      <c r="G14" s="27"/>
      <c r="H14" s="27"/>
      <c r="I14" s="27"/>
      <c r="J14" s="27"/>
      <c r="K14" s="67">
        <f>SUM(K13-I13)</f>
        <v>-568.14100000075996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24023580.208000004</v>
      </c>
      <c r="P14" s="39" t="str">
        <f t="shared" si="5"/>
        <v>합계</v>
      </c>
      <c r="Q14" s="69">
        <f>SUM(Q5:Q13)</f>
        <v>24023285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-295.20800000056624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34</v>
      </c>
      <c r="Q20" s="53">
        <v>34000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83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170</v>
      </c>
      <c r="Q26" s="69">
        <f>SUM(Q19:Q25)</f>
        <v>63000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13669</v>
      </c>
      <c r="P29" s="107">
        <v>13704</v>
      </c>
      <c r="Q29" s="108">
        <f>P29-O29</f>
        <v>35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/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1229</v>
      </c>
      <c r="F1" s="1"/>
      <c r="G1" s="1"/>
      <c r="H1" s="1"/>
      <c r="I1" s="1"/>
      <c r="J1" s="1"/>
      <c r="K1" s="1"/>
      <c r="L1" s="22">
        <f>+ROUND(+O5*0.584/1000,3)</f>
        <v>12.170999999999999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11.33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215.27</v>
      </c>
      <c r="M3" s="18" t="s">
        <v>10</v>
      </c>
      <c r="N3" s="3"/>
      <c r="O3" s="3"/>
      <c r="P3" s="202" t="str">
        <f>+'(1)'!C1&amp;"년"&amp;'(1)'!E1&amp;"월"&amp;C1&amp;"일"</f>
        <v>2022년4월19일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12871.217000000001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7969.7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34070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320000</v>
      </c>
      <c r="L5" s="2"/>
      <c r="M5" s="20"/>
      <c r="N5" s="45" t="str">
        <f>+C4</f>
        <v>판매량</v>
      </c>
      <c r="O5" s="46">
        <f>SUM(D4+I4+D17+I17+D35+I35)</f>
        <v>20840.917000000001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344.26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31.733000000000001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675000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375.99299999999999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14986160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24405206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24405206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282.82600000000002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101.672</v>
      </c>
      <c r="J10" s="42" t="str">
        <f t="shared" si="3"/>
        <v>OK케시백</v>
      </c>
      <c r="K10" s="44">
        <v>12618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-9898.91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-3558.52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384.49800000000005</v>
      </c>
      <c r="P11" s="51" t="str">
        <f t="shared" si="5"/>
        <v>OK케시백</v>
      </c>
      <c r="Q11" s="53">
        <f>SUM(F10+K10+F23+K23+F41+K41)</f>
        <v>12618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-13457.430000000002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15385731.243000001</v>
      </c>
      <c r="E13" s="29" t="str">
        <f>+'(1)'!E13</f>
        <v>합계</v>
      </c>
      <c r="F13" s="61">
        <f>SUM(F4:F12)</f>
        <v>15385160</v>
      </c>
      <c r="G13" s="62"/>
      <c r="H13" s="29" t="str">
        <f t="shared" si="2"/>
        <v>합계</v>
      </c>
      <c r="I13" s="60">
        <f>SUM((I4-I5-I6-I7-I8-I9)*$E$1+I11)</f>
        <v>9752202.9230000004</v>
      </c>
      <c r="J13" s="29" t="str">
        <f t="shared" si="3"/>
        <v>합계</v>
      </c>
      <c r="K13" s="61">
        <f>IF(K8=0,0,SUM(K4:K12)-F8)</f>
        <v>9752664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-571.24300000071526</v>
      </c>
      <c r="G14" s="27"/>
      <c r="H14" s="27"/>
      <c r="I14" s="27"/>
      <c r="J14" s="27"/>
      <c r="K14" s="67">
        <f>SUM(K13-I13)</f>
        <v>461.07699999958277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25137934.166000005</v>
      </c>
      <c r="P14" s="39" t="str">
        <f t="shared" si="5"/>
        <v>합계</v>
      </c>
      <c r="Q14" s="69">
        <f>SUM(Q5:Q13)</f>
        <v>25137824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-110.16600000113249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116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230</v>
      </c>
      <c r="Q26" s="69">
        <f>SUM(Q19:Q25)</f>
        <v>82000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13704</v>
      </c>
      <c r="P29" s="107">
        <v>13741</v>
      </c>
      <c r="Q29" s="108">
        <f>P29-O29</f>
        <v>37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5" sqref="I5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42</v>
      </c>
      <c r="E1" s="103">
        <f>+'(1)'!I1</f>
        <v>1229</v>
      </c>
      <c r="F1" s="27"/>
      <c r="G1" s="27"/>
      <c r="H1" s="27"/>
      <c r="I1" s="27"/>
      <c r="J1" s="27"/>
      <c r="K1" s="27"/>
      <c r="L1" s="31">
        <f>+ROUND(+O5*0.584/1000,3)</f>
        <v>10.829000000000001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13.234999999999999</v>
      </c>
      <c r="M2" s="27" t="s">
        <v>7</v>
      </c>
      <c r="N2" s="190" t="s">
        <v>43</v>
      </c>
      <c r="O2" s="190"/>
      <c r="P2" s="190"/>
      <c r="Q2" s="190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26.47</v>
      </c>
      <c r="M3" s="27" t="s">
        <v>10</v>
      </c>
      <c r="N3" s="32"/>
      <c r="O3" s="32"/>
      <c r="P3" s="189" t="str">
        <f>+'(1)'!C1&amp;"년"&amp;'(1)'!E1&amp;"월"&amp;C1&amp;"일"</f>
        <v>2022년4월2일</v>
      </c>
      <c r="Q3" s="189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11315.116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7228.3919999999998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45046</v>
      </c>
      <c r="S4" s="41" t="s">
        <v>44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37"/>
      <c r="M5" s="86"/>
      <c r="N5" s="45" t="str">
        <f>+C4</f>
        <v>판매량</v>
      </c>
      <c r="O5" s="46">
        <f>SUM(D4+I4+D17+I17+D35+I35)</f>
        <v>18543.508000000002</v>
      </c>
      <c r="P5" s="47" t="str">
        <f>+E4</f>
        <v>입금액</v>
      </c>
      <c r="Q5" s="48">
        <f>SUM(F4+K4+F17+K17+F35+K35)</f>
        <v>0</v>
      </c>
      <c r="R5" s="49">
        <v>19</v>
      </c>
      <c r="S5" s="41" t="s">
        <v>45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234.553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220000</v>
      </c>
      <c r="R6" s="49">
        <v>2.5</v>
      </c>
      <c r="S6" s="41" t="s">
        <v>46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234.553</v>
      </c>
      <c r="P7" s="51" t="str">
        <f t="shared" ref="P7:P14" si="5">+E6</f>
        <v>천원권</v>
      </c>
      <c r="Q7" s="53">
        <f>SUM(F6+K6+F19+K19+F37+K37)</f>
        <v>7000</v>
      </c>
      <c r="R7" s="40" t="s">
        <v>51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13451530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22181053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22181053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106.935</v>
      </c>
      <c r="E10" s="42" t="str">
        <f>+'(1)'!E10</f>
        <v>OK케시백</v>
      </c>
      <c r="F10" s="44">
        <v>68749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-3742.7249999999999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37"/>
      <c r="M11" s="86"/>
      <c r="N11" s="51" t="str">
        <f t="shared" si="4"/>
        <v>고객우대</v>
      </c>
      <c r="O11" s="54">
        <f>SUM(D10+I10+D23+I23+D41+I41)</f>
        <v>106.935</v>
      </c>
      <c r="P11" s="51" t="str">
        <f t="shared" si="5"/>
        <v>OK케시백</v>
      </c>
      <c r="Q11" s="53">
        <f>SUM(F10+K10+F23+K23+F41+K41)</f>
        <v>68749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-3742.7249999999999</v>
      </c>
      <c r="P12" s="51" t="str">
        <f t="shared" si="5"/>
        <v>모바일</v>
      </c>
      <c r="Q12" s="53">
        <f>SUM(F11+K11+F24+K24+F42+K42)</f>
        <v>20000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13614269.202</v>
      </c>
      <c r="E13" s="29" t="str">
        <f>+'(1)'!E13</f>
        <v>합계</v>
      </c>
      <c r="F13" s="61">
        <f>SUM(F4:F12)</f>
        <v>13613279</v>
      </c>
      <c r="G13" s="62"/>
      <c r="H13" s="29" t="str">
        <f t="shared" si="2"/>
        <v>합계</v>
      </c>
      <c r="I13" s="60">
        <f>SUM((I4-I5-I6-I7-I8-I9)*$E$1+I11)</f>
        <v>8883693.7679999992</v>
      </c>
      <c r="J13" s="29" t="str">
        <f t="shared" si="3"/>
        <v>합계</v>
      </c>
      <c r="K13" s="61">
        <f>IF(K8=0,0,SUM(K4:K12)-F8)</f>
        <v>8883523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-990.20199999958277</v>
      </c>
      <c r="G14" s="27"/>
      <c r="H14" s="27"/>
      <c r="I14" s="27"/>
      <c r="J14" s="27"/>
      <c r="K14" s="67">
        <f>SUM(K13-I13)</f>
        <v>-170.76799999922514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22497962.969999999</v>
      </c>
      <c r="P14" s="39" t="str">
        <f t="shared" si="5"/>
        <v>합계</v>
      </c>
      <c r="Q14" s="69">
        <f>SUM(Q5:Q13)</f>
        <v>22496802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-1160.9699999988079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10</v>
      </c>
      <c r="Q19" s="48">
        <f>SUM(P19*1000)</f>
        <v>10000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29</v>
      </c>
      <c r="Q20" s="53">
        <f>SUM(P20*1000)</f>
        <v>29000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8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1</v>
      </c>
      <c r="Q22" s="53">
        <f>SUM(P22*1000)</f>
        <v>1000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7</v>
      </c>
      <c r="Q23" s="53">
        <f>SUM(P23*1000)</f>
        <v>7000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11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119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185</v>
      </c>
      <c r="Q26" s="69">
        <f>SUM(Q19:Q25)</f>
        <v>47000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85" t="s">
        <v>55</v>
      </c>
      <c r="O28" s="104" t="s">
        <v>56</v>
      </c>
      <c r="P28" s="104" t="s">
        <v>57</v>
      </c>
      <c r="Q28" s="105" t="s">
        <v>58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86"/>
      <c r="O29" s="106">
        <v>13174</v>
      </c>
      <c r="P29" s="107">
        <v>13209</v>
      </c>
      <c r="Q29" s="108">
        <f>P29-O29</f>
        <v>35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1229</v>
      </c>
      <c r="F1" s="1"/>
      <c r="G1" s="1"/>
      <c r="H1" s="1"/>
      <c r="I1" s="1"/>
      <c r="J1" s="1"/>
      <c r="K1" s="1"/>
      <c r="L1" s="22">
        <f>+ROUND(+O5*0.584/1000,3)</f>
        <v>11.66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11.347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226.94</v>
      </c>
      <c r="M3" s="18" t="s">
        <v>10</v>
      </c>
      <c r="N3" s="3"/>
      <c r="O3" s="3"/>
      <c r="P3" s="202" t="str">
        <f>+'(1)'!C1&amp;"년"&amp;'(1)'!E1&amp;"월"&amp;C1&amp;"일"</f>
        <v>2022년4월20일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11536.84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8429.6980000000003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48875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19966.538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206.42099999999999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720000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206.42099999999999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13454231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23525534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23525534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152.67500000000001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-5343.625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152.67500000000001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-5343.625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13919741.325999999</v>
      </c>
      <c r="E13" s="29" t="str">
        <f>+'(1)'!E13</f>
        <v>합계</v>
      </c>
      <c r="F13" s="61">
        <f>SUM(F4:F12)</f>
        <v>13919231</v>
      </c>
      <c r="G13" s="62"/>
      <c r="H13" s="29" t="str">
        <f t="shared" si="2"/>
        <v>합계</v>
      </c>
      <c r="I13" s="60">
        <f>SUM((I4-I5-I6-I7-I8-I9)*$E$1+I11)</f>
        <v>10360098.842</v>
      </c>
      <c r="J13" s="29" t="str">
        <f t="shared" si="3"/>
        <v>합계</v>
      </c>
      <c r="K13" s="61">
        <f>IF(K8=0,0,SUM(K4:K12)-F8)</f>
        <v>10360303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-510.32599999941885</v>
      </c>
      <c r="G14" s="27"/>
      <c r="H14" s="27"/>
      <c r="I14" s="27"/>
      <c r="J14" s="27"/>
      <c r="K14" s="67">
        <f>SUM(K13-I13)</f>
        <v>204.15799999982119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24279840.168000001</v>
      </c>
      <c r="P14" s="39" t="str">
        <f t="shared" si="5"/>
        <v>합계</v>
      </c>
      <c r="Q14" s="69">
        <f>SUM(Q5:Q13)</f>
        <v>24279534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-306.16799999959767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107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195</v>
      </c>
      <c r="Q26" s="69">
        <f>SUM(Q19:Q25)</f>
        <v>66000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13741</v>
      </c>
      <c r="P29" s="107">
        <v>13769</v>
      </c>
      <c r="Q29" s="108">
        <f>P29-O29</f>
        <v>28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O14" sqref="O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1229</v>
      </c>
      <c r="F1" s="1"/>
      <c r="G1" s="1"/>
      <c r="H1" s="1"/>
      <c r="I1" s="1"/>
      <c r="J1" s="1"/>
      <c r="K1" s="1"/>
      <c r="L1" s="22">
        <f>+ROUND(+O5*0.584/1000,3)</f>
        <v>12.292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11.391999999999999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239.232</v>
      </c>
      <c r="M3" s="18" t="s">
        <v>10</v>
      </c>
      <c r="N3" s="3"/>
      <c r="O3" s="3"/>
      <c r="P3" s="202" t="str">
        <f>+'(1)'!C1&amp;"년"&amp;'(1)'!E1&amp;"월"&amp;C1&amp;"일"</f>
        <v>2022년4월21일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12283.813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8764.1730000000007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27533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410000</v>
      </c>
      <c r="L5" s="2"/>
      <c r="M5" s="20"/>
      <c r="N5" s="45" t="str">
        <f>+C4</f>
        <v>판매량</v>
      </c>
      <c r="O5" s="46">
        <f>SUM(D4+I4+D17+I17+D35+I35)</f>
        <v>21047.986000000001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413.59500000000003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25.635999999999999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865000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439.23100000000005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13964660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24293376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24293376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341.15899999999999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-11940.565000000001</v>
      </c>
      <c r="E11" s="42" t="str">
        <f>+'(1)'!E11</f>
        <v>모바일</v>
      </c>
      <c r="F11" s="44">
        <v>50000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341.15899999999999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-11940.565000000001</v>
      </c>
      <c r="P12" s="51" t="str">
        <f t="shared" si="5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14576557.357000001</v>
      </c>
      <c r="E13" s="29" t="str">
        <f>+'(1)'!E13</f>
        <v>합계</v>
      </c>
      <c r="F13" s="61">
        <f>SUM(F4:F12)</f>
        <v>14575660</v>
      </c>
      <c r="G13" s="62"/>
      <c r="H13" s="29" t="str">
        <f t="shared" si="2"/>
        <v>합계</v>
      </c>
      <c r="I13" s="60">
        <f>SUM((I4-I5-I6-I7-I8-I9)*$E$1+I11)</f>
        <v>10739661.973000001</v>
      </c>
      <c r="J13" s="29" t="str">
        <f t="shared" si="3"/>
        <v>합계</v>
      </c>
      <c r="K13" s="61">
        <f>IF(K8=0,0,SUM(K4:K12)-F8)</f>
        <v>10739716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-897.35700000077486</v>
      </c>
      <c r="G14" s="27"/>
      <c r="H14" s="27"/>
      <c r="I14" s="27"/>
      <c r="J14" s="27"/>
      <c r="K14" s="67">
        <f>SUM(K13-I13)</f>
        <v>54.026999998837709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25316219.329999998</v>
      </c>
      <c r="P14" s="39" t="str">
        <f t="shared" si="5"/>
        <v>합계</v>
      </c>
      <c r="Q14" s="69">
        <f>SUM(Q5:Q13)</f>
        <v>25315376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-843.33000000193715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110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185</v>
      </c>
      <c r="Q26" s="69">
        <f>SUM(Q19:Q25)</f>
        <v>51000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13769</v>
      </c>
      <c r="P29" s="107">
        <v>13807</v>
      </c>
      <c r="Q29" s="108">
        <f>P29-O29</f>
        <v>38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1229</v>
      </c>
      <c r="F1" s="1"/>
      <c r="G1" s="1"/>
      <c r="H1" s="1"/>
      <c r="I1" s="1"/>
      <c r="J1" s="1"/>
      <c r="K1" s="1"/>
      <c r="L1" s="22">
        <f>+ROUND(+O5*0.584/1000,3)</f>
        <v>12.907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11.461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252.142</v>
      </c>
      <c r="M3" s="18" t="s">
        <v>10</v>
      </c>
      <c r="N3" s="3"/>
      <c r="O3" s="3"/>
      <c r="P3" s="202" t="str">
        <f>+'(1)'!C1&amp;"년"&amp;'(1)'!E1&amp;"월"&amp;C1&amp;"일"</f>
        <v>2022년4월22일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12668.493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9432.6650000000009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39915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455000</v>
      </c>
      <c r="L5" s="2"/>
      <c r="M5" s="20"/>
      <c r="N5" s="45" t="str">
        <f>+C4</f>
        <v>판매량</v>
      </c>
      <c r="O5" s="46">
        <f>SUM(D4+I4+D17+I17+D35+I35)</f>
        <v>22101.158000000003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310.66500000000002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310.66500000000002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15034159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26169298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26169298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173.91499999999999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-6087.0249999999996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173.91499999999999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-6087.0249999999996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15181683.586999999</v>
      </c>
      <c r="E13" s="29" t="str">
        <f>+'(1)'!E13</f>
        <v>합계</v>
      </c>
      <c r="F13" s="61">
        <f>SUM(F4:F12)</f>
        <v>15182159</v>
      </c>
      <c r="G13" s="62"/>
      <c r="H13" s="29" t="str">
        <f t="shared" si="2"/>
        <v>합계</v>
      </c>
      <c r="I13" s="60">
        <f>SUM((I4-I5-I6-I7-I8-I9)*$E$1+I11)</f>
        <v>11592745.285</v>
      </c>
      <c r="J13" s="29" t="str">
        <f t="shared" si="3"/>
        <v>합계</v>
      </c>
      <c r="K13" s="61">
        <f>IF(K8=0,0,SUM(K4:K12)-F8)</f>
        <v>11592139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475.41300000064075</v>
      </c>
      <c r="G14" s="27"/>
      <c r="H14" s="27"/>
      <c r="I14" s="27"/>
      <c r="J14" s="27"/>
      <c r="K14" s="67">
        <f>SUM(K13-I13)</f>
        <v>-606.28500000014901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26774428.872000005</v>
      </c>
      <c r="P14" s="39" t="str">
        <f t="shared" si="5"/>
        <v>합계</v>
      </c>
      <c r="Q14" s="69">
        <f>SUM(Q5:Q13)</f>
        <v>26774298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-130.87199999950826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148</v>
      </c>
      <c r="Q26" s="69">
        <f>SUM(Q19:Q25)</f>
        <v>44000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13807</v>
      </c>
      <c r="P29" s="107">
        <v>13832</v>
      </c>
      <c r="Q29" s="108">
        <f>P29-O29</f>
        <v>25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1229</v>
      </c>
      <c r="F1" s="1"/>
      <c r="G1" s="1"/>
      <c r="H1" s="1"/>
      <c r="I1" s="1"/>
      <c r="J1" s="1"/>
      <c r="K1" s="1"/>
      <c r="L1" s="22">
        <f>+ROUND(+O5*0.584/1000,3)</f>
        <v>10.648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11.426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262.798</v>
      </c>
      <c r="M3" s="18" t="s">
        <v>10</v>
      </c>
      <c r="N3" s="3"/>
      <c r="O3" s="3"/>
      <c r="P3" s="202" t="str">
        <f>+'(1)'!C1&amp;"년"&amp;'(1)'!E1&amp;"월"&amp;C1&amp;"일"</f>
        <v>2022년4월23일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10487.905000000001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7745.598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21309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425000</v>
      </c>
      <c r="L5" s="2"/>
      <c r="M5" s="20"/>
      <c r="N5" s="45" t="str">
        <f>+C4</f>
        <v>판매량</v>
      </c>
      <c r="O5" s="46">
        <f>SUM(D4+I4+D17+I17+D35+I35)</f>
        <v>18233.503000000001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89.257000000000005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89.257000000000005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12442221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21530476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21530476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157.56</v>
      </c>
      <c r="E10" s="42" t="str">
        <f>+'(1)'!E10</f>
        <v>OK케시백</v>
      </c>
      <c r="F10" s="44">
        <v>42728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-5514.6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157.56</v>
      </c>
      <c r="P11" s="51" t="str">
        <f t="shared" si="5"/>
        <v>OK케시백</v>
      </c>
      <c r="Q11" s="53">
        <f>SUM(F10+K10+F23+K23+F41+K41)</f>
        <v>42728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62627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-5514.6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12774423.792000001</v>
      </c>
      <c r="E13" s="29" t="str">
        <f>+'(1)'!E13</f>
        <v>합계</v>
      </c>
      <c r="F13" s="61">
        <f>SUM(F4:F12)</f>
        <v>12774576</v>
      </c>
      <c r="G13" s="62"/>
      <c r="H13" s="29" t="str">
        <f t="shared" si="2"/>
        <v>합계</v>
      </c>
      <c r="I13" s="60">
        <f>SUM((I4-I5-I6-I7-I8-I9)*$E$1+I11)</f>
        <v>9519339.9419999998</v>
      </c>
      <c r="J13" s="29" t="str">
        <f t="shared" si="3"/>
        <v>합계</v>
      </c>
      <c r="K13" s="61">
        <f>IF(K8=0,0,SUM(K4:K12)-F8)</f>
        <v>9519255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62627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152.2079999987036</v>
      </c>
      <c r="G14" s="27"/>
      <c r="H14" s="27"/>
      <c r="I14" s="27"/>
      <c r="J14" s="27"/>
      <c r="K14" s="67">
        <f>SUM(K13-I13)</f>
        <v>-84.941999999806285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22293763.733999997</v>
      </c>
      <c r="P14" s="39" t="str">
        <f t="shared" si="5"/>
        <v>합계</v>
      </c>
      <c r="Q14" s="69">
        <f>SUM(Q5:Q13)</f>
        <v>22293831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67.265999998897314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45</v>
      </c>
      <c r="Q20" s="53">
        <f>SUM(P20*1000)</f>
        <v>45000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100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204</v>
      </c>
      <c r="Q26" s="69">
        <f>SUM(Q19:Q25)</f>
        <v>86000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13832</v>
      </c>
      <c r="P29" s="107">
        <v>13871</v>
      </c>
      <c r="Q29" s="108">
        <f>P29-O29</f>
        <v>39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N22" sqref="N22:O22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1229</v>
      </c>
      <c r="F1" s="1"/>
      <c r="G1" s="1"/>
      <c r="H1" s="1"/>
      <c r="I1" s="1"/>
      <c r="J1" s="1"/>
      <c r="K1" s="1"/>
      <c r="L1" s="22">
        <f>+ROUND(+O5*0.584/1000,3)</f>
        <v>8.44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11.302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271.24799999999999</v>
      </c>
      <c r="M3" s="18" t="s">
        <v>10</v>
      </c>
      <c r="N3" s="3"/>
      <c r="O3" s="3"/>
      <c r="P3" s="202" t="str">
        <f>+'(1)'!C1&amp;"년"&amp;'(1)'!E1&amp;"월"&amp;C1&amp;"일"</f>
        <v>2022년4월24일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8587.8860000000004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5864.2349999999997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42505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14452.120999999999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30.04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18.946000000000002</v>
      </c>
      <c r="J6" s="42" t="str">
        <f t="shared" ref="J6:J13" si="3">+E6</f>
        <v>천원권</v>
      </c>
      <c r="K6" s="44">
        <v>5000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770000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48.986000000000004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9915624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16837590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16837590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50.591999999999999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54.93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-1770.72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-1922.55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105.52199999999999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72098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-3693.2699999999995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10515822.013999999</v>
      </c>
      <c r="E13" s="29" t="str">
        <f>+'(1)'!E13</f>
        <v>합계</v>
      </c>
      <c r="F13" s="61">
        <f>SUM(F4:F12)</f>
        <v>10514722</v>
      </c>
      <c r="G13" s="62"/>
      <c r="H13" s="29" t="str">
        <f t="shared" si="2"/>
        <v>합계</v>
      </c>
      <c r="I13" s="60">
        <f>SUM((I4-I5-I6-I7-I8-I9)*$E$1+I11)</f>
        <v>7181937.6310000001</v>
      </c>
      <c r="J13" s="29" t="str">
        <f t="shared" si="3"/>
        <v>합계</v>
      </c>
      <c r="K13" s="61">
        <f>IF(K8=0,0,SUM(K4:K12)-F8)</f>
        <v>7181966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72098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-1100.0139999985695</v>
      </c>
      <c r="G14" s="27"/>
      <c r="H14" s="27"/>
      <c r="I14" s="27"/>
      <c r="J14" s="27"/>
      <c r="K14" s="67">
        <f>SUM(K13-I13)</f>
        <v>28.368999999947846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17697759.645</v>
      </c>
      <c r="P14" s="39" t="str">
        <f t="shared" si="5"/>
        <v>합계</v>
      </c>
      <c r="Q14" s="69">
        <f>SUM(Q5:Q13)</f>
        <v>17696688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-1071.6449999986216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48</v>
      </c>
      <c r="Q20" s="53">
        <f>SUM(P20*1000)</f>
        <v>48000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80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164</v>
      </c>
      <c r="Q26" s="69">
        <f>SUM(Q19:Q25)</f>
        <v>76000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13871</v>
      </c>
      <c r="P29" s="107">
        <v>13909</v>
      </c>
      <c r="Q29" s="108">
        <f>P29-O29</f>
        <v>38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O11" sqref="O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1229</v>
      </c>
      <c r="F1" s="1"/>
      <c r="G1" s="1"/>
      <c r="H1" s="1"/>
      <c r="I1" s="1"/>
      <c r="J1" s="1"/>
      <c r="K1" s="1"/>
      <c r="L1" s="22">
        <f>+ROUND(+O5*0.584/1000,3)</f>
        <v>11.646000000000001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11.316000000000001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282.90000000000003</v>
      </c>
      <c r="M3" s="18" t="s">
        <v>10</v>
      </c>
      <c r="N3" s="3"/>
      <c r="O3" s="3"/>
      <c r="P3" s="202" t="str">
        <f>+'(1)'!C1&amp;"년"&amp;'(1)'!E1&amp;"월"&amp;C1&amp;"일"</f>
        <v>2022년4월25일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12149.648999999999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7791.6379999999999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21554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220000</v>
      </c>
      <c r="L5" s="2"/>
      <c r="M5" s="20"/>
      <c r="N5" s="45" t="str">
        <f>+C4</f>
        <v>판매량</v>
      </c>
      <c r="O5" s="46">
        <f>SUM(D4+I4+D17+I17+D35+I35)</f>
        <v>19941.287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336.755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22.126999999999999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358.88200000000001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14112460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23437234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70000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23437234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238.667</v>
      </c>
      <c r="E10" s="42" t="str">
        <f>+'(1)'!E10</f>
        <v>OK케시백</v>
      </c>
      <c r="F10" s="44">
        <v>4297</v>
      </c>
      <c r="G10" s="27"/>
      <c r="H10" s="42" t="str">
        <f t="shared" si="2"/>
        <v>고객우대</v>
      </c>
      <c r="I10" s="50">
        <v>56.094000000000001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70000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-8353.3449999999993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-1963.29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294.76100000000002</v>
      </c>
      <c r="P11" s="51" t="str">
        <f t="shared" si="5"/>
        <v>OK케시백</v>
      </c>
      <c r="Q11" s="53">
        <f>SUM(F10+K10+F23+K23+F41+K41)</f>
        <v>4297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-10316.635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14509693.380999999</v>
      </c>
      <c r="E13" s="29" t="str">
        <f>+'(1)'!E13</f>
        <v>합계</v>
      </c>
      <c r="F13" s="61">
        <f>SUM(F4:F12)</f>
        <v>14508757</v>
      </c>
      <c r="G13" s="62"/>
      <c r="H13" s="29" t="str">
        <f t="shared" si="2"/>
        <v>합계</v>
      </c>
      <c r="I13" s="60">
        <f>SUM((I4-I5-I6-I7-I8-I9)*$E$1+I11)</f>
        <v>9546765.7290000003</v>
      </c>
      <c r="J13" s="29" t="str">
        <f t="shared" si="3"/>
        <v>합계</v>
      </c>
      <c r="K13" s="61">
        <f>IF(K8=0,0,SUM(K4:K12)-F8)</f>
        <v>9547774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-936.38099999912083</v>
      </c>
      <c r="G14" s="27"/>
      <c r="H14" s="27"/>
      <c r="I14" s="27"/>
      <c r="J14" s="27"/>
      <c r="K14" s="67">
        <f>SUM(K13-I13)</f>
        <v>1008.2709999997169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24056459.109999996</v>
      </c>
      <c r="P14" s="39" t="str">
        <f t="shared" si="5"/>
        <v>합계</v>
      </c>
      <c r="Q14" s="69">
        <f>SUM(Q5:Q13)</f>
        <v>24056531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71.890000000596046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26</v>
      </c>
      <c r="Q19" s="48">
        <f>SUM(P19*1000)</f>
        <v>26000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27</v>
      </c>
      <c r="Q23" s="53">
        <f>SUM(P23*1000)</f>
        <v>27000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77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204</v>
      </c>
      <c r="Q26" s="69">
        <f>SUM(Q19:Q25)</f>
        <v>90000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13909</v>
      </c>
      <c r="P29" s="107">
        <v>13930</v>
      </c>
      <c r="Q29" s="108">
        <f>P29-O29</f>
        <v>21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1229</v>
      </c>
      <c r="F1" s="1"/>
      <c r="G1" s="1"/>
      <c r="H1" s="1"/>
      <c r="I1" s="1"/>
      <c r="J1" s="1"/>
      <c r="K1" s="1"/>
      <c r="L1" s="22">
        <f>+ROUND(+O5*0.584/1000,3)</f>
        <v>12.254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11.352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295.15199999999999</v>
      </c>
      <c r="M3" s="18" t="s">
        <v>10</v>
      </c>
      <c r="N3" s="3"/>
      <c r="O3" s="3"/>
      <c r="P3" s="202" t="str">
        <f>+'(1)'!C1&amp;"년"&amp;'(1)'!E1&amp;"월"&amp;C1&amp;"일"</f>
        <v>2022년4월26일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12865.776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8116.6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36332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20982.376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362.56099999999998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24.831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455000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387.392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15055587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24713449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24713449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218.95400000000001</v>
      </c>
      <c r="E10" s="42" t="str">
        <f>+'(1)'!E10</f>
        <v>OK케시백</v>
      </c>
      <c r="F10" s="44">
        <v>3290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-7663.39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218.95400000000001</v>
      </c>
      <c r="P11" s="51" t="str">
        <f t="shared" si="5"/>
        <v>OK케시백</v>
      </c>
      <c r="Q11" s="53">
        <f>SUM(F10+K10+F23+K23+F41+K41)</f>
        <v>5290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51320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-7663.39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15358787.844999999</v>
      </c>
      <c r="E13" s="29" t="str">
        <f>+'(1)'!E13</f>
        <v>합계</v>
      </c>
      <c r="F13" s="61">
        <f>SUM(F4:F12)</f>
        <v>15358197</v>
      </c>
      <c r="G13" s="62"/>
      <c r="H13" s="29" t="str">
        <f t="shared" si="2"/>
        <v>합계</v>
      </c>
      <c r="I13" s="60">
        <f>SUM((I4-I5-I6-I7-I8-I9)*$E$1+I11)</f>
        <v>9944784.1009999998</v>
      </c>
      <c r="J13" s="29" t="str">
        <f t="shared" si="3"/>
        <v>합계</v>
      </c>
      <c r="K13" s="61">
        <f>IF(K8=0,0,SUM(K4:K12)-F8)</f>
        <v>9944862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51320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-590.84499999880791</v>
      </c>
      <c r="G14" s="27"/>
      <c r="H14" s="27"/>
      <c r="I14" s="27"/>
      <c r="J14" s="27"/>
      <c r="K14" s="67">
        <f>SUM(K13-I13)</f>
        <v>77.899000000208616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25303571.945999999</v>
      </c>
      <c r="P14" s="39" t="str">
        <f t="shared" si="5"/>
        <v>합계</v>
      </c>
      <c r="Q14" s="69">
        <f>SUM(Q5:Q13)</f>
        <v>25303059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-512.94599999859929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32</v>
      </c>
      <c r="Q19" s="48">
        <f>SUM(P19*1000)</f>
        <v>32000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82</v>
      </c>
      <c r="Q20" s="53">
        <f>SUM(P20*1000)</f>
        <v>82000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34</v>
      </c>
      <c r="Q23" s="53">
        <f>SUM(P23*1000)</f>
        <v>34000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118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307</v>
      </c>
      <c r="Q26" s="69">
        <f>SUM(Q19:Q25)</f>
        <v>156000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13930</v>
      </c>
      <c r="P29" s="107">
        <v>13966</v>
      </c>
      <c r="Q29" s="108">
        <f>P29-O29</f>
        <v>36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12" sqref="K1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1229</v>
      </c>
      <c r="F1" s="1"/>
      <c r="G1" s="1"/>
      <c r="H1" s="1"/>
      <c r="I1" s="1"/>
      <c r="J1" s="1"/>
      <c r="K1" s="1"/>
      <c r="L1" s="22">
        <f>+ROUND(+O5*0.584/1000,3)</f>
        <v>12.388999999999999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11.39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307.53000000000003</v>
      </c>
      <c r="M3" s="18" t="s">
        <v>10</v>
      </c>
      <c r="N3" s="3"/>
      <c r="O3" s="3"/>
      <c r="P3" s="202" t="str">
        <f>+'(1)'!C1&amp;"년"&amp;'(1)'!E1&amp;"월"&amp;C1&amp;"일"</f>
        <v>2022년4월27일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13143.315000000001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8070.01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49422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21213.325000000001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214.86199999999999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40.270000000000003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255.13200000000001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15391902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24994477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30000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24994477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282.024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41.314999999999998</v>
      </c>
      <c r="J10" s="42" t="str">
        <f t="shared" si="3"/>
        <v>OK케시백</v>
      </c>
      <c r="K10" s="44">
        <v>28252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-9870.84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-1446.0249999999999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323.339</v>
      </c>
      <c r="P11" s="51" t="str">
        <f t="shared" si="5"/>
        <v>OK케시백</v>
      </c>
      <c r="Q11" s="53">
        <f>SUM(F10+K10+F23+K23+F41+K41)</f>
        <v>30252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68388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-11316.865</v>
      </c>
      <c r="P12" s="51" t="str">
        <f t="shared" si="5"/>
        <v>모바일</v>
      </c>
      <c r="Q12" s="53">
        <f>SUM(F11+K11+F24+K24+F42+K42)</f>
        <v>39000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15879197.897000002</v>
      </c>
      <c r="E13" s="29" t="str">
        <f>+'(1)'!E13</f>
        <v>합계</v>
      </c>
      <c r="F13" s="61">
        <f>SUM(F4:F12)</f>
        <v>15879290</v>
      </c>
      <c r="G13" s="62"/>
      <c r="H13" s="29" t="str">
        <f t="shared" si="2"/>
        <v>합계</v>
      </c>
      <c r="I13" s="60">
        <f>SUM((I4-I5-I6-I7-I8-I9)*$E$1+I11)</f>
        <v>9867104.4349999987</v>
      </c>
      <c r="J13" s="29" t="str">
        <f t="shared" si="3"/>
        <v>합계</v>
      </c>
      <c r="K13" s="61">
        <f>IF(K8=0,0,SUM(K4:K12)-F8)</f>
        <v>9866827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68388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92.102999998256564</v>
      </c>
      <c r="G14" s="27"/>
      <c r="H14" s="27"/>
      <c r="I14" s="27"/>
      <c r="J14" s="27"/>
      <c r="K14" s="67">
        <f>SUM(K13-I13)</f>
        <v>-277.4349999986589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25746302.332000002</v>
      </c>
      <c r="P14" s="39" t="str">
        <f t="shared" si="5"/>
        <v>합계</v>
      </c>
      <c r="Q14" s="69">
        <f>SUM(Q5:Q13)</f>
        <v>25746117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-185.33200000040233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56</v>
      </c>
      <c r="Q20" s="53">
        <f>SUM(P20*1000)</f>
        <v>56000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115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235</v>
      </c>
      <c r="Q26" s="69">
        <f>SUM(Q19:Q25)</f>
        <v>95000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13966</v>
      </c>
      <c r="P29" s="107">
        <v>14000</v>
      </c>
      <c r="Q29" s="108">
        <f>P29-O29</f>
        <v>34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1229</v>
      </c>
      <c r="F1" s="1"/>
      <c r="G1" s="1"/>
      <c r="H1" s="1"/>
      <c r="I1" s="1"/>
      <c r="J1" s="1"/>
      <c r="K1" s="1"/>
      <c r="L1" s="22">
        <f>+ROUND(+O5*0.584/1000,3)</f>
        <v>12.337999999999999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11.423999999999999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319.87199999999996</v>
      </c>
      <c r="M3" s="18" t="s">
        <v>10</v>
      </c>
      <c r="N3" s="3"/>
      <c r="O3" s="3"/>
      <c r="P3" s="202" t="str">
        <f>+'(1)'!C1&amp;"년"&amp;'(1)'!E1&amp;"월"&amp;C1&amp;"일"</f>
        <v>2022년4월28일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12855.215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8270.7710000000006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28235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390000</v>
      </c>
      <c r="L5" s="2"/>
      <c r="M5" s="20"/>
      <c r="N5" s="45" t="str">
        <f>+C4</f>
        <v>판매량</v>
      </c>
      <c r="O5" s="46">
        <f>SUM(D4+I4+D17+I17+D35+I35)</f>
        <v>21125.986000000001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368.67399999999998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820000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368.67399999999998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14837034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24550501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24550501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157.071</v>
      </c>
      <c r="E10" s="42" t="str">
        <f>+'(1)'!E10</f>
        <v>OK케시백</v>
      </c>
      <c r="F10" s="44">
        <v>9000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-5497.4849999999997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157.071</v>
      </c>
      <c r="P11" s="51" t="str">
        <f t="shared" si="5"/>
        <v>OK케시백</v>
      </c>
      <c r="Q11" s="53">
        <f>SUM(F10+K10+F23+K23+F41+K41)</f>
        <v>9000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60508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-5497.4849999999997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15340461.404000001</v>
      </c>
      <c r="E13" s="29" t="str">
        <f>+'(1)'!E13</f>
        <v>합계</v>
      </c>
      <c r="F13" s="61">
        <f>SUM(F4:F12)</f>
        <v>15340542</v>
      </c>
      <c r="G13" s="62"/>
      <c r="H13" s="29" t="str">
        <f t="shared" si="2"/>
        <v>합계</v>
      </c>
      <c r="I13" s="60">
        <f>SUM((I4-I5-I6-I7-I8-I9)*$E$1+I11)</f>
        <v>10164777.559</v>
      </c>
      <c r="J13" s="29" t="str">
        <f t="shared" si="3"/>
        <v>합계</v>
      </c>
      <c r="K13" s="61">
        <f>IF(K8=0,0,SUM(K4:K12)-F8)</f>
        <v>10164467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60508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80.59599999897182</v>
      </c>
      <c r="G14" s="27"/>
      <c r="H14" s="27"/>
      <c r="I14" s="27"/>
      <c r="J14" s="27"/>
      <c r="K14" s="67">
        <f>SUM(K13-I13)</f>
        <v>-310.55900000035763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25505238.963000003</v>
      </c>
      <c r="P14" s="39" t="str">
        <f t="shared" si="5"/>
        <v>합계</v>
      </c>
      <c r="Q14" s="69">
        <f>SUM(Q5:Q13)</f>
        <v>25505009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-229.96300000138581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94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191</v>
      </c>
      <c r="Q26" s="69">
        <f>SUM(Q19:Q25)</f>
        <v>73000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14000</v>
      </c>
      <c r="P29" s="107">
        <v>14035</v>
      </c>
      <c r="Q29" s="108">
        <f>P29-O29</f>
        <v>35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D5" sqref="D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1229</v>
      </c>
      <c r="F1" s="1"/>
      <c r="G1" s="1"/>
      <c r="H1" s="1"/>
      <c r="I1" s="1"/>
      <c r="J1" s="1"/>
      <c r="K1" s="1"/>
      <c r="L1" s="22">
        <f>+ROUND(+O5*0.584/1000,3)</f>
        <v>11.977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11.443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331.84699999999998</v>
      </c>
      <c r="M3" s="18" t="s">
        <v>10</v>
      </c>
      <c r="N3" s="3"/>
      <c r="O3" s="3"/>
      <c r="P3" s="202" t="str">
        <f>+'(1)'!C1&amp;"년"&amp;'(1)'!E1&amp;"월"&amp;C1&amp;"일"</f>
        <v>2022년4월29일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11657.062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8851.2450000000008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33408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485000</v>
      </c>
      <c r="L5" s="2"/>
      <c r="M5" s="20"/>
      <c r="N5" s="45" t="str">
        <f>+C4</f>
        <v>판매량</v>
      </c>
      <c r="O5" s="46">
        <f>SUM(D4+I4+D17+I17+D35+I35)</f>
        <v>20508.307000000001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328.76600000000002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49.204999999999998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575000</v>
      </c>
      <c r="R6" s="7">
        <v>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377.971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13685602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24014456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24014456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48.749000000000002</v>
      </c>
      <c r="E10" s="42" t="str">
        <f>+'(1)'!E10</f>
        <v>OK케시백</v>
      </c>
      <c r="F10" s="44">
        <v>102363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-1706.2150000000001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48.749000000000002</v>
      </c>
      <c r="P11" s="51" t="str">
        <f t="shared" si="5"/>
        <v>OK케시백</v>
      </c>
      <c r="Q11" s="53">
        <f>SUM(F10+K10+F23+K23+F41+K41)</f>
        <v>102363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-1706.2150000000001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13920769.569</v>
      </c>
      <c r="E13" s="29" t="str">
        <f>+'(1)'!E13</f>
        <v>합계</v>
      </c>
      <c r="F13" s="61">
        <f>SUM(F4:F12)</f>
        <v>13920965</v>
      </c>
      <c r="G13" s="62"/>
      <c r="H13" s="29" t="str">
        <f t="shared" si="2"/>
        <v>합계</v>
      </c>
      <c r="I13" s="60">
        <f>SUM((I4-I5-I6-I7-I8-I9)*$E$1+I11)</f>
        <v>10817707.16</v>
      </c>
      <c r="J13" s="29" t="str">
        <f t="shared" si="3"/>
        <v>합계</v>
      </c>
      <c r="K13" s="61">
        <f>IF(K8=0,0,SUM(K4:K12)-F8)</f>
        <v>10817854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195.43099999986589</v>
      </c>
      <c r="G14" s="27"/>
      <c r="H14" s="27"/>
      <c r="I14" s="27"/>
      <c r="J14" s="27"/>
      <c r="K14" s="67">
        <f>SUM(K13-I13)</f>
        <v>146.83999999985099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24738476.728999998</v>
      </c>
      <c r="P14" s="39" t="str">
        <f t="shared" si="5"/>
        <v>합계</v>
      </c>
      <c r="Q14" s="69">
        <f>SUM(Q5:Q13)</f>
        <v>24738819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342.27099999971688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63</v>
      </c>
      <c r="Q20" s="53">
        <f>SUM(P20*1000)</f>
        <v>63000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37</v>
      </c>
      <c r="Q23" s="53">
        <f>SUM(P23*1000)</f>
        <v>37000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91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244</v>
      </c>
      <c r="Q26" s="69">
        <f>SUM(Q19:Q25)</f>
        <v>120000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14035</v>
      </c>
      <c r="P29" s="107">
        <v>14062</v>
      </c>
      <c r="Q29" s="108">
        <f>P29-O29</f>
        <v>27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1229</v>
      </c>
      <c r="F1" s="1"/>
      <c r="G1" s="1"/>
      <c r="H1" s="1"/>
      <c r="I1" s="1"/>
      <c r="J1" s="1"/>
      <c r="K1" s="1"/>
      <c r="L1" s="21">
        <f>+ROUND(+O5*0.584/1000,3)</f>
        <v>7.8609999999999998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11.444000000000001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34.332000000000001</v>
      </c>
      <c r="M3" s="18" t="s">
        <v>10</v>
      </c>
      <c r="N3" s="3"/>
      <c r="O3" s="3"/>
      <c r="P3" s="202" t="str">
        <f>+'(1)'!C1&amp;"년"&amp;'(1)'!E1&amp;"월"&amp;C1&amp;"일"</f>
        <v>2022년4월3일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7825.6949999999997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5635.3860000000004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31290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13461.081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24.155999999999999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610000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24.155999999999999</v>
      </c>
      <c r="P7" s="51" t="str">
        <f t="shared" ref="P7:P14" si="5">+E6</f>
        <v>천원권</v>
      </c>
      <c r="Q7" s="53">
        <f>SUM(F6+K6+F19+K19+F37+K37)</f>
        <v>0</v>
      </c>
      <c r="R7" s="5" t="s">
        <v>51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9132367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15873397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15873397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68.930999999999997</v>
      </c>
      <c r="E10" s="42" t="str">
        <f>+'(1)'!E10</f>
        <v>OK케시백</v>
      </c>
      <c r="F10" s="44">
        <v>29000</v>
      </c>
      <c r="G10" s="27"/>
      <c r="H10" s="42" t="str">
        <f t="shared" si="2"/>
        <v>고객우대</v>
      </c>
      <c r="I10" s="50">
        <v>53.954000000000001</v>
      </c>
      <c r="J10" s="42" t="str">
        <f t="shared" si="3"/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-2412.585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-1888.39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122.88499999999999</v>
      </c>
      <c r="P11" s="51" t="str">
        <f t="shared" si="5"/>
        <v>OK케시백</v>
      </c>
      <c r="Q11" s="53">
        <f>SUM(F10+K10+F23+K23+F41+K41)</f>
        <v>32000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-4300.9749999999995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9615366.5699999984</v>
      </c>
      <c r="E13" s="29" t="str">
        <f>+'(1)'!E13</f>
        <v>합계</v>
      </c>
      <c r="F13" s="61">
        <f>SUM(F4:F12)</f>
        <v>9621367</v>
      </c>
      <c r="G13" s="62"/>
      <c r="H13" s="29" t="str">
        <f t="shared" si="2"/>
        <v>합계</v>
      </c>
      <c r="I13" s="60">
        <f>SUM((I4-I5-I6-I7-I8-I9)*$E$1+I11)</f>
        <v>6894313.2800000012</v>
      </c>
      <c r="J13" s="29" t="str">
        <f t="shared" si="3"/>
        <v>합계</v>
      </c>
      <c r="K13" s="61">
        <f>IF(K8=0,0,SUM(K4:K12)-F8)</f>
        <v>6894030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6000.4300000015646</v>
      </c>
      <c r="G14" s="27"/>
      <c r="H14" s="27"/>
      <c r="I14" s="27"/>
      <c r="J14" s="27"/>
      <c r="K14" s="67">
        <f>SUM(K13-I13)</f>
        <v>-283.28000000119209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16509679.85</v>
      </c>
      <c r="P14" s="39" t="str">
        <f t="shared" si="5"/>
        <v>합계</v>
      </c>
      <c r="Q14" s="69">
        <f>SUM(Q5:Q13)</f>
        <v>16515397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5717.1500000003725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77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124</v>
      </c>
      <c r="Q26" s="69">
        <f>SUM(Q19:Q25)</f>
        <v>43000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13209</v>
      </c>
      <c r="P29" s="107">
        <v>13229</v>
      </c>
      <c r="Q29" s="108">
        <f>P29-O29</f>
        <v>20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V40"/>
  <sheetViews>
    <sheetView tabSelected="1" workbookViewId="0">
      <selection activeCell="R10" sqref="R1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2:22" ht="18.75" customHeight="1">
      <c r="C1" s="8">
        <v>30</v>
      </c>
      <c r="D1" s="9" t="s">
        <v>0</v>
      </c>
      <c r="E1" s="101">
        <f>+'(29)'!E1</f>
        <v>1229</v>
      </c>
      <c r="F1" s="1"/>
      <c r="G1" s="1"/>
      <c r="H1" s="1"/>
      <c r="I1" s="1"/>
      <c r="J1" s="1"/>
      <c r="K1" s="1"/>
      <c r="L1" s="22">
        <f>+ROUND(+O5*0.584/1000,3)</f>
        <v>6.6509999999999998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2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11.282999999999999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2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338.49</v>
      </c>
      <c r="M3" s="18" t="s">
        <v>10</v>
      </c>
      <c r="N3" s="3"/>
      <c r="O3" s="3"/>
      <c r="P3" s="202" t="str">
        <f>+'(1)'!C1&amp;"년"&amp;'(1)'!E1&amp;"월"&amp;C1&amp;"일"</f>
        <v>2022년4월30일</v>
      </c>
      <c r="Q3" s="202"/>
      <c r="R3" s="184" t="s">
        <v>64</v>
      </c>
      <c r="S3" s="1"/>
      <c r="T3" s="1"/>
      <c r="U3" s="1"/>
      <c r="V3" s="1"/>
    </row>
    <row r="4" spans="2:22" ht="16.5" customHeight="1" thickBot="1">
      <c r="C4" s="34" t="str">
        <f>+'(1)'!C4</f>
        <v>판매량</v>
      </c>
      <c r="D4" s="35">
        <v>10398.834999999999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990.37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182">
        <v>21687</v>
      </c>
      <c r="S4" s="6" t="s">
        <v>2</v>
      </c>
      <c r="T4" s="1"/>
      <c r="U4" s="1"/>
      <c r="V4" s="1"/>
    </row>
    <row r="5" spans="2:22" ht="16.5" customHeight="1">
      <c r="B5" s="181" t="s">
        <v>62</v>
      </c>
      <c r="C5" s="87" t="str">
        <f>+'(1)'!C5</f>
        <v>법인전표</v>
      </c>
      <c r="D5" s="43"/>
      <c r="E5" s="42" t="str">
        <f>+'(1)'!E5</f>
        <v>고액권</v>
      </c>
      <c r="F5" s="44">
        <v>340000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11389.205</v>
      </c>
      <c r="P5" s="47" t="str">
        <f>+E4</f>
        <v>입금액</v>
      </c>
      <c r="Q5" s="48">
        <f>SUM(F4+K4+F17+K17+F35+K35)</f>
        <v>0</v>
      </c>
      <c r="R5" s="183">
        <v>23</v>
      </c>
      <c r="S5" s="6" t="s">
        <v>3</v>
      </c>
      <c r="T5" s="1"/>
      <c r="U5" s="1"/>
      <c r="V5" s="1"/>
    </row>
    <row r="6" spans="2:22" ht="16.5" customHeight="1">
      <c r="C6" s="87" t="str">
        <f>+'(1)'!C6</f>
        <v>외상전표</v>
      </c>
      <c r="D6" s="50">
        <v>161.45599999999999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180" t="s">
        <v>63</v>
      </c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340000</v>
      </c>
      <c r="R6" s="183">
        <v>1.5</v>
      </c>
      <c r="S6" s="6" t="s">
        <v>4</v>
      </c>
      <c r="T6" s="1"/>
      <c r="U6" s="1"/>
      <c r="V6" s="1"/>
    </row>
    <row r="7" spans="2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161.45599999999999</v>
      </c>
      <c r="P7" s="51" t="str">
        <f t="shared" ref="P7:P14" si="5">+E6</f>
        <v>천원권</v>
      </c>
      <c r="Q7" s="53">
        <f>SUM(F6+K6+F19+K19+F37+K37)</f>
        <v>0</v>
      </c>
      <c r="R7" s="5" t="s">
        <v>68</v>
      </c>
      <c r="S7" s="19" t="s">
        <v>6</v>
      </c>
      <c r="T7" s="1"/>
      <c r="U7" s="1"/>
      <c r="V7" s="1"/>
    </row>
    <row r="8" spans="2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12201375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13418524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2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13418524</v>
      </c>
      <c r="R9" s="5"/>
      <c r="S9" s="1"/>
      <c r="T9" s="1"/>
      <c r="U9" s="1"/>
      <c r="V9" s="1"/>
    </row>
    <row r="10" spans="2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24869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2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24869</v>
      </c>
      <c r="R11" s="5"/>
      <c r="S11" s="1"/>
      <c r="T11" s="1"/>
      <c r="U11" s="1"/>
      <c r="V11" s="1"/>
    </row>
    <row r="12" spans="2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2:22" ht="16.5" customHeight="1" thickBot="1">
      <c r="C13" s="29" t="str">
        <f>+'(1)'!C13</f>
        <v>합계</v>
      </c>
      <c r="D13" s="60">
        <f>SUM((D4-D5-D6-D7-D8-D9)*$E$1+D11)</f>
        <v>12581738.790999999</v>
      </c>
      <c r="E13" s="29" t="str">
        <f>+'(1)'!E13</f>
        <v>합계</v>
      </c>
      <c r="F13" s="61">
        <f>SUM(F4:F12)</f>
        <v>12581244</v>
      </c>
      <c r="G13" s="62"/>
      <c r="H13" s="29" t="str">
        <f t="shared" si="2"/>
        <v>합계</v>
      </c>
      <c r="I13" s="60">
        <f>SUM((I4-I5-I6-I7-I8-I9)*$E$1+I11)</f>
        <v>1217164.73</v>
      </c>
      <c r="J13" s="29" t="str">
        <f t="shared" si="3"/>
        <v>합계</v>
      </c>
      <c r="K13" s="61">
        <f>IF(K8=0,0,SUM(K4:K12)-F8)</f>
        <v>1217149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2:22" ht="16.5" customHeight="1" thickBot="1">
      <c r="C14" s="37"/>
      <c r="D14" s="27"/>
      <c r="E14" s="27"/>
      <c r="F14" s="67">
        <f>SUM(F13-D13)</f>
        <v>-494.79099999926984</v>
      </c>
      <c r="G14" s="27"/>
      <c r="H14" s="27"/>
      <c r="I14" s="27"/>
      <c r="J14" s="27"/>
      <c r="K14" s="67">
        <f>SUM(K13-I13)</f>
        <v>-15.729999999981374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13798903.521</v>
      </c>
      <c r="P14" s="39" t="str">
        <f t="shared" si="5"/>
        <v>합계</v>
      </c>
      <c r="Q14" s="69">
        <f>SUM(Q5:Q13)</f>
        <v>13798393</v>
      </c>
      <c r="R14" s="1"/>
      <c r="S14" s="1"/>
      <c r="T14" s="1"/>
      <c r="U14" s="1"/>
      <c r="V14" s="1"/>
    </row>
    <row r="15" spans="2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-510.52099999925122</v>
      </c>
      <c r="R15" s="1"/>
      <c r="S15" s="1"/>
      <c r="T15" s="1"/>
      <c r="U15" s="1"/>
      <c r="V15" s="1"/>
    </row>
    <row r="16" spans="2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111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187</v>
      </c>
      <c r="Q26" s="69">
        <f>SUM(Q19:Q25)</f>
        <v>57000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14062</v>
      </c>
      <c r="P29" s="107">
        <v>14092</v>
      </c>
      <c r="Q29" s="108">
        <f>P29-O29</f>
        <v>30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18" sqref="N18:Q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1229</v>
      </c>
      <c r="F1" s="1"/>
      <c r="G1" s="1"/>
      <c r="H1" s="1"/>
      <c r="I1" s="1"/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10.919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338.48900000000003</v>
      </c>
      <c r="M3" s="18" t="s">
        <v>10</v>
      </c>
      <c r="N3" s="3"/>
      <c r="O3" s="3"/>
      <c r="P3" s="202" t="str">
        <f>+'(1)'!C1&amp;"년"&amp;'(1)'!E1&amp;"월"&amp;C1&amp;"일"</f>
        <v>2022년4월31일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+'(1)'!E4</f>
        <v>입금액</v>
      </c>
      <c r="F4" s="36"/>
      <c r="G4" s="27"/>
      <c r="H4" s="34" t="str">
        <f>+C4</f>
        <v>판매량</v>
      </c>
      <c r="I4" s="35"/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/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/>
      <c r="G8" s="27"/>
      <c r="H8" s="34" t="str">
        <f t="shared" si="2"/>
        <v>자가소비</v>
      </c>
      <c r="I8" s="50"/>
      <c r="J8" s="42" t="str">
        <f t="shared" si="3"/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0</v>
      </c>
      <c r="E13" s="29" t="str">
        <f>+'(1)'!E13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SUM((I4-I5-I6-I7-I8-I9)*$E$1+I11)</f>
        <v>0</v>
      </c>
      <c r="J13" s="29" t="str">
        <f t="shared" si="3"/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/>
      <c r="P29" s="107"/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1229</v>
      </c>
      <c r="F1" s="1"/>
      <c r="G1" s="1"/>
      <c r="H1" s="1"/>
      <c r="I1" s="1"/>
      <c r="J1" s="1"/>
      <c r="K1" s="1"/>
      <c r="L1" s="21">
        <f>+ROUND(+O5*0.584/1000,3)</f>
        <v>11.952999999999999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11.571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46.283999999999999</v>
      </c>
      <c r="M3" s="18" t="s">
        <v>10</v>
      </c>
      <c r="N3" s="3"/>
      <c r="O3" s="3"/>
      <c r="P3" s="202" t="str">
        <f>+'(1)'!C1&amp;"년"&amp;'(1)'!E1&amp;"월"&amp;C1&amp;"일"</f>
        <v>2022년4월4일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12492.964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7975.0230000000001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45336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415000</v>
      </c>
      <c r="L5" s="2"/>
      <c r="M5" s="20"/>
      <c r="N5" s="45" t="str">
        <f>+C4</f>
        <v>판매량</v>
      </c>
      <c r="O5" s="46">
        <f>SUM(D4+I4+D17+I17+D35+I35)</f>
        <v>20467.987000000001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266.33100000000002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11.221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1.3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277.55200000000002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14707907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24064317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24064317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174.04400000000001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15000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-6091.54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174.04400000000001</v>
      </c>
      <c r="P11" s="51" t="str">
        <f t="shared" si="5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74603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-6091.54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15020440.417000001</v>
      </c>
      <c r="E13" s="29" t="str">
        <f>+'(1)'!E13</f>
        <v>합계</v>
      </c>
      <c r="F13" s="61">
        <f>SUM(F4:F12)</f>
        <v>15020510</v>
      </c>
      <c r="G13" s="62"/>
      <c r="H13" s="29" t="str">
        <f t="shared" si="2"/>
        <v>합계</v>
      </c>
      <c r="I13" s="60">
        <f>SUM((I4-I5-I6-I7-I8-I9)*$E$1+I11)</f>
        <v>9787512.6579999998</v>
      </c>
      <c r="J13" s="29" t="str">
        <f t="shared" si="3"/>
        <v>합계</v>
      </c>
      <c r="K13" s="61">
        <f>IF(K8=0,0,SUM(K4:K12)-F8)</f>
        <v>9787410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74603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69.582999998703599</v>
      </c>
      <c r="G14" s="27"/>
      <c r="H14" s="27"/>
      <c r="I14" s="27"/>
      <c r="J14" s="27"/>
      <c r="K14" s="67">
        <f>SUM(K13-I13)</f>
        <v>-102.65799999982119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24807953.075000003</v>
      </c>
      <c r="P14" s="39" t="str">
        <f t="shared" si="5"/>
        <v>합계</v>
      </c>
      <c r="Q14" s="69">
        <f>SUM(Q5:Q13)</f>
        <v>24807920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-33.075000001117587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78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148</v>
      </c>
      <c r="Q26" s="69">
        <f>SUM(Q19:Q25)</f>
        <v>44000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13229</v>
      </c>
      <c r="P29" s="107">
        <v>13245</v>
      </c>
      <c r="Q29" s="108">
        <f>P29-O29</f>
        <v>16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7" sqref="D17:F2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1229</v>
      </c>
      <c r="F1" s="1"/>
      <c r="G1" s="1"/>
      <c r="H1" s="1"/>
      <c r="I1" s="101"/>
      <c r="J1" s="1"/>
      <c r="K1" s="1"/>
      <c r="L1" s="21">
        <f>+ROUND(+O5*0.584/1000,3)</f>
        <v>12.081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11.673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58.365000000000002</v>
      </c>
      <c r="M3" s="18" t="s">
        <v>10</v>
      </c>
      <c r="N3" s="3"/>
      <c r="O3" s="3"/>
      <c r="P3" s="202" t="str">
        <f>+'(1)'!C1&amp;"년"&amp;'(1)'!E1&amp;"월"&amp;C1&amp;"일"</f>
        <v>2022년4월5일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12936.803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7749.9070000000002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24404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20686.71</v>
      </c>
      <c r="P5" s="47" t="str">
        <f>+E4</f>
        <v>입금액</v>
      </c>
      <c r="Q5" s="48">
        <f>SUM(F4+K4+F17+K17+F35+K35)</f>
        <v>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475.90899999999999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835000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475.90899999999999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14744465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23978291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23978291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171.10300000000001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-5988.6050000000005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15000</v>
      </c>
      <c r="L11" s="2"/>
      <c r="M11" s="20"/>
      <c r="N11" s="51" t="str">
        <f t="shared" si="4"/>
        <v>고객우대</v>
      </c>
      <c r="O11" s="54">
        <f>SUM(D10+I10+D23+I23+D41+I41)</f>
        <v>171.10300000000001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-5988.6050000000005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15308450.120999999</v>
      </c>
      <c r="E13" s="29" t="str">
        <f>+'(1)'!E13</f>
        <v>합계</v>
      </c>
      <c r="F13" s="61">
        <f>SUM(F4:F12)</f>
        <v>15308465</v>
      </c>
      <c r="G13" s="62"/>
      <c r="H13" s="29" t="str">
        <f t="shared" si="2"/>
        <v>합계</v>
      </c>
      <c r="I13" s="60">
        <f>SUM((I4-I5-I6-I7-I8-I9)*$E$1+I11)</f>
        <v>9524635.7029999997</v>
      </c>
      <c r="J13" s="29" t="str">
        <f t="shared" si="3"/>
        <v>합계</v>
      </c>
      <c r="K13" s="61">
        <f>IF(K8=0,0,SUM(K4:K12)-F8)</f>
        <v>9529826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14.879000000655651</v>
      </c>
      <c r="G14" s="27"/>
      <c r="H14" s="27"/>
      <c r="I14" s="27"/>
      <c r="J14" s="27"/>
      <c r="K14" s="67">
        <f>SUM(K13-I13)</f>
        <v>5190.2970000002533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24833085.823999997</v>
      </c>
      <c r="P14" s="39" t="str">
        <f t="shared" si="5"/>
        <v>합계</v>
      </c>
      <c r="Q14" s="69">
        <f>SUM(Q5:Q13)</f>
        <v>24838291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5205.176000000909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/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/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/>
      <c r="F19" s="44"/>
      <c r="G19" s="27"/>
      <c r="H19" s="42" t="str">
        <f t="shared" ref="H19:H25" si="9">+C6</f>
        <v>외상전표</v>
      </c>
      <c r="I19" s="50"/>
      <c r="J19" s="42" t="str">
        <f t="shared" ref="J19:J25" si="10">+E6</f>
        <v>천원권</v>
      </c>
      <c r="K19" s="44"/>
      <c r="L19" s="2"/>
      <c r="M19" s="1"/>
      <c r="N19" s="191" t="s">
        <v>38</v>
      </c>
      <c r="O19" s="192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/>
      <c r="F20" s="44"/>
      <c r="G20" s="27"/>
      <c r="H20" s="42" t="str">
        <f t="shared" si="9"/>
        <v>효신(업)</v>
      </c>
      <c r="I20" s="50"/>
      <c r="J20" s="42" t="str">
        <f t="shared" si="10"/>
        <v>동전</v>
      </c>
      <c r="K20" s="44"/>
      <c r="L20" s="2"/>
      <c r="M20" s="1"/>
      <c r="N20" s="197" t="s">
        <v>39</v>
      </c>
      <c r="O20" s="198"/>
      <c r="P20" s="74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/>
      <c r="F21" s="44"/>
      <c r="G21" s="27"/>
      <c r="H21" s="42" t="str">
        <f t="shared" si="9"/>
        <v>자가소비</v>
      </c>
      <c r="I21" s="50"/>
      <c r="J21" s="42" t="str">
        <f t="shared" si="10"/>
        <v>신용카드</v>
      </c>
      <c r="K21" s="44"/>
      <c r="L21" s="2"/>
      <c r="M21" s="1"/>
      <c r="N21" s="197" t="s">
        <v>49</v>
      </c>
      <c r="O21" s="198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/>
      <c r="F22" s="44"/>
      <c r="G22" s="27"/>
      <c r="H22" s="42" t="str">
        <f t="shared" si="9"/>
        <v>-</v>
      </c>
      <c r="I22" s="50"/>
      <c r="J22" s="42" t="str">
        <f t="shared" si="10"/>
        <v>상품권</v>
      </c>
      <c r="K22" s="44"/>
      <c r="L22" s="2"/>
      <c r="M22" s="1"/>
      <c r="N22" s="199" t="s">
        <v>54</v>
      </c>
      <c r="O22" s="19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/>
      <c r="F23" s="44"/>
      <c r="G23" s="27"/>
      <c r="H23" s="42" t="str">
        <f t="shared" si="9"/>
        <v>고객우대</v>
      </c>
      <c r="I23" s="50"/>
      <c r="J23" s="42" t="str">
        <f t="shared" si="10"/>
        <v>OK케시백</v>
      </c>
      <c r="K23" s="44"/>
      <c r="L23" s="2"/>
      <c r="M23" s="1"/>
      <c r="N23" s="193" t="s">
        <v>59</v>
      </c>
      <c r="O23" s="194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/>
      <c r="E24" s="42"/>
      <c r="F24" s="44"/>
      <c r="G24" s="27"/>
      <c r="H24" s="87" t="str">
        <f t="shared" ref="H24" si="11">+C24</f>
        <v>-</v>
      </c>
      <c r="I24" s="55">
        <f>SUM(I23*-35)</f>
        <v>0</v>
      </c>
      <c r="J24" s="42" t="str">
        <f t="shared" si="10"/>
        <v>모바일</v>
      </c>
      <c r="K24" s="44"/>
      <c r="L24" s="2"/>
      <c r="M24" s="1"/>
      <c r="N24" s="193" t="s">
        <v>53</v>
      </c>
      <c r="O24" s="194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ref="E25" si="12">+E12</f>
        <v>제로페이</v>
      </c>
      <c r="F25" s="58"/>
      <c r="G25" s="27"/>
      <c r="H25" s="56" t="str">
        <f t="shared" si="9"/>
        <v>-</v>
      </c>
      <c r="I25" s="57"/>
      <c r="J25" s="56" t="str">
        <f t="shared" si="10"/>
        <v>제로페이</v>
      </c>
      <c r="K25" s="58"/>
      <c r="L25" s="2"/>
      <c r="M25" s="1"/>
      <c r="N25" s="195" t="s">
        <v>40</v>
      </c>
      <c r="O25" s="196"/>
      <c r="P25" s="75">
        <f>+P26-SUM(P19:P24)</f>
        <v>119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200</v>
      </c>
      <c r="Q26" s="69">
        <f>SUM(Q19:Q25)</f>
        <v>59000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13245</v>
      </c>
      <c r="P29" s="107">
        <v>13286</v>
      </c>
      <c r="Q29" s="108">
        <f>P29-O29</f>
        <v>41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E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1229</v>
      </c>
      <c r="F1" s="1"/>
      <c r="G1" s="1"/>
      <c r="H1" s="1"/>
      <c r="I1" s="1"/>
      <c r="J1" s="1"/>
      <c r="K1" s="1"/>
      <c r="L1" s="21">
        <f>+ROUND(+O5*0.584/1000,3)</f>
        <v>11.318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11.614000000000001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69.683999999999997</v>
      </c>
      <c r="M3" s="18" t="s">
        <v>10</v>
      </c>
      <c r="N3" s="3"/>
      <c r="O3" s="3"/>
      <c r="P3" s="202" t="str">
        <f>+'(1)'!C1&amp;"년"&amp;'(1)'!E1&amp;"월"&amp;C1&amp;"일"</f>
        <v>2022년4월6일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11458.11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7921.1980000000003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40383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210000</v>
      </c>
      <c r="L5" s="2"/>
      <c r="M5" s="20"/>
      <c r="N5" s="45" t="str">
        <f>+C4</f>
        <v>판매량</v>
      </c>
      <c r="O5" s="46">
        <f>SUM(D4+I4+D17+I17+D35+I35)</f>
        <v>19379.308000000001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194.94499999999999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17.132000000000001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410000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212.077</v>
      </c>
      <c r="P7" s="51" t="str">
        <f t="shared" ref="P7:P14" si="5">+E6</f>
        <v>천원권</v>
      </c>
      <c r="Q7" s="53">
        <f>SUM(F6+K6+F19+K19+F37+K37)</f>
        <v>5000</v>
      </c>
      <c r="R7" s="5" t="s">
        <v>11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13566683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23063210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23063210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400.04300000000001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-14001.505000000001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400.04300000000001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-14001.505000000001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13828428.279999999</v>
      </c>
      <c r="E13" s="29" t="str">
        <f>+'(1)'!E13</f>
        <v>합계</v>
      </c>
      <c r="F13" s="61">
        <f>SUM(F4:F12)</f>
        <v>13827683</v>
      </c>
      <c r="G13" s="62"/>
      <c r="H13" s="29" t="str">
        <f t="shared" si="2"/>
        <v>합계</v>
      </c>
      <c r="I13" s="60">
        <f>SUM((I4-I5-I6-I7-I8-I9)*$E$1+I11)</f>
        <v>9714097.1140000001</v>
      </c>
      <c r="J13" s="29" t="str">
        <f t="shared" si="3"/>
        <v>합계</v>
      </c>
      <c r="K13" s="61">
        <f>IF(K8=0,0,SUM(K4:K12)-F8)</f>
        <v>9714527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-745.27999999932945</v>
      </c>
      <c r="G14" s="27"/>
      <c r="H14" s="27"/>
      <c r="I14" s="27"/>
      <c r="J14" s="27"/>
      <c r="K14" s="67">
        <f>SUM(K13-I13)</f>
        <v>429.8859999999404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23542525.394000001</v>
      </c>
      <c r="P14" s="39" t="str">
        <f t="shared" si="5"/>
        <v>합계</v>
      </c>
      <c r="Q14" s="69">
        <f>SUM(Q5:Q13)</f>
        <v>23542210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-315.39399999938905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158</v>
      </c>
      <c r="Q26" s="69">
        <f>SUM(Q19:Q25)</f>
        <v>51000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13286</v>
      </c>
      <c r="P29" s="107">
        <v>13314</v>
      </c>
      <c r="Q29" s="108">
        <f>P29-O29</f>
        <v>28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H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1229</v>
      </c>
      <c r="F1" s="1"/>
      <c r="G1" s="1"/>
      <c r="H1" s="1"/>
      <c r="I1" s="1"/>
      <c r="J1" s="1"/>
      <c r="K1" s="1"/>
      <c r="L1" s="21">
        <f>+ROUND(+O5*0.584/1000,3)</f>
        <v>12.609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11.756</v>
      </c>
      <c r="M2" s="18" t="s">
        <v>7</v>
      </c>
      <c r="N2" s="201" t="s">
        <v>1</v>
      </c>
      <c r="O2" s="201"/>
      <c r="P2" s="201"/>
      <c r="Q2" s="20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82.292000000000002</v>
      </c>
      <c r="M3" s="18" t="s">
        <v>10</v>
      </c>
      <c r="N3" s="3"/>
      <c r="O3" s="3"/>
      <c r="P3" s="202" t="str">
        <f>+'(1)'!C1&amp;"년"&amp;'(1)'!E1&amp;"월"&amp;C1&amp;"일"</f>
        <v>2022년4월7일</v>
      </c>
      <c r="Q3" s="20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12565.218999999999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9025.2999999999993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18171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315000</v>
      </c>
      <c r="L5" s="2"/>
      <c r="M5" s="20"/>
      <c r="N5" s="45" t="str">
        <f>+C4</f>
        <v>판매량</v>
      </c>
      <c r="O5" s="46">
        <f>SUM(D4+I4+D17+I17+D35+I35)</f>
        <v>21590.519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282.81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17.158999999999999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720000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299.96899999999999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14663795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25406466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25406466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106.34699999999999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111.60599999999999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-3722.145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-3906.21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217.95299999999997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-7628.3549999999996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15091358.516000001</v>
      </c>
      <c r="E13" s="29" t="str">
        <f>+'(1)'!E13</f>
        <v>합계</v>
      </c>
      <c r="F13" s="61">
        <f>SUM(F4:F12)</f>
        <v>15086795</v>
      </c>
      <c r="G13" s="62"/>
      <c r="H13" s="29" t="str">
        <f t="shared" si="2"/>
        <v>합계</v>
      </c>
      <c r="I13" s="60">
        <f>SUM((I4-I5-I6-I7-I8-I9)*$E$1+I11)</f>
        <v>11067099.078999998</v>
      </c>
      <c r="J13" s="29" t="str">
        <f t="shared" si="3"/>
        <v>합계</v>
      </c>
      <c r="K13" s="61">
        <f>IF(K8=0,0,SUM(K4:K12)-F8)</f>
        <v>11057671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-4563.51600000076</v>
      </c>
      <c r="G14" s="27"/>
      <c r="H14" s="27"/>
      <c r="I14" s="27"/>
      <c r="J14" s="27"/>
      <c r="K14" s="67">
        <f>SUM(K13-I13)</f>
        <v>-9428.0789999980479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26158457.594999999</v>
      </c>
      <c r="P14" s="39" t="str">
        <f t="shared" si="5"/>
        <v>합계</v>
      </c>
      <c r="Q14" s="69">
        <f>SUM(Q5:Q13)</f>
        <v>26144466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-13991.594999998808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87" t="s">
        <v>35</v>
      </c>
      <c r="O18" s="20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91" t="s">
        <v>38</v>
      </c>
      <c r="O19" s="192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97" t="s">
        <v>39</v>
      </c>
      <c r="O20" s="198"/>
      <c r="P20" s="74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97" t="s">
        <v>49</v>
      </c>
      <c r="O21" s="198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99" t="s">
        <v>54</v>
      </c>
      <c r="O22" s="194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93" t="s">
        <v>59</v>
      </c>
      <c r="O23" s="194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93" t="s">
        <v>53</v>
      </c>
      <c r="O24" s="194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95" t="s">
        <v>40</v>
      </c>
      <c r="O25" s="196"/>
      <c r="P25" s="75">
        <f>+P26-SUM(P19:P24)</f>
        <v>101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87" t="s">
        <v>41</v>
      </c>
      <c r="O26" s="188"/>
      <c r="P26" s="77">
        <v>184</v>
      </c>
      <c r="Q26" s="69">
        <f>SUM(Q19:Q25)</f>
        <v>64000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8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86"/>
      <c r="O29" s="106">
        <v>13314</v>
      </c>
      <c r="P29" s="107">
        <v>13354</v>
      </c>
      <c r="Q29" s="108">
        <f>P29-O29</f>
        <v>40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16" sqref="L16"/>
    </sheetView>
  </sheetViews>
  <sheetFormatPr defaultRowHeight="27.75" customHeight="1"/>
  <cols>
    <col min="1" max="2" width="9" style="116"/>
    <col min="3" max="3" width="9" style="116" bestFit="1" customWidth="1"/>
    <col min="4" max="4" width="11.25" style="116" customWidth="1"/>
    <col min="5" max="5" width="9" style="116" bestFit="1" customWidth="1"/>
    <col min="6" max="6" width="11.5" style="116" customWidth="1"/>
    <col min="7" max="7" width="5" style="116" customWidth="1"/>
    <col min="8" max="8" width="9" style="116"/>
    <col min="9" max="9" width="11.25" style="116" customWidth="1"/>
    <col min="10" max="10" width="9" style="116"/>
    <col min="11" max="11" width="11.5" style="116" customWidth="1"/>
    <col min="12" max="12" width="11.75" style="116" customWidth="1"/>
    <col min="13" max="13" width="9" style="116"/>
    <col min="14" max="14" width="9" style="116" bestFit="1" customWidth="1"/>
    <col min="15" max="15" width="12.375" style="116" bestFit="1" customWidth="1"/>
    <col min="16" max="16" width="9" style="116" bestFit="1" customWidth="1"/>
    <col min="17" max="18" width="12.375" style="116" bestFit="1" customWidth="1"/>
    <col min="19" max="16384" width="9" style="116"/>
  </cols>
  <sheetData>
    <row r="1" spans="3:22" ht="18.75" customHeight="1">
      <c r="C1" s="110">
        <v>8</v>
      </c>
      <c r="D1" s="111" t="s">
        <v>0</v>
      </c>
      <c r="E1" s="112">
        <f>+'(7)'!E1</f>
        <v>1229</v>
      </c>
      <c r="F1" s="113"/>
      <c r="G1" s="113"/>
      <c r="H1" s="113"/>
      <c r="I1" s="113"/>
      <c r="J1" s="113"/>
      <c r="K1" s="113"/>
      <c r="L1" s="114">
        <f>+ROUND(+O5*0.584/1000,3)</f>
        <v>12.571999999999999</v>
      </c>
      <c r="M1" s="115" t="s">
        <v>8</v>
      </c>
      <c r="N1" s="113"/>
      <c r="O1" s="113"/>
      <c r="P1" s="113"/>
      <c r="Q1" s="113"/>
      <c r="R1" s="113"/>
      <c r="S1" s="113"/>
      <c r="T1" s="113"/>
      <c r="U1" s="113"/>
      <c r="V1" s="113"/>
    </row>
    <row r="2" spans="3:22" ht="18.75" customHeight="1" thickBot="1">
      <c r="C2" s="113">
        <v>1</v>
      </c>
      <c r="D2" s="113"/>
      <c r="E2" s="113"/>
      <c r="F2" s="113"/>
      <c r="G2" s="113"/>
      <c r="H2" s="113">
        <v>2</v>
      </c>
      <c r="I2" s="113"/>
      <c r="J2" s="113"/>
      <c r="K2" s="113"/>
      <c r="L2" s="114">
        <f>ROUND((+'(7)'!L2*(C1-1)+L1)/C1,3)</f>
        <v>11.858000000000001</v>
      </c>
      <c r="M2" s="115" t="s">
        <v>7</v>
      </c>
      <c r="N2" s="207" t="s">
        <v>1</v>
      </c>
      <c r="O2" s="207"/>
      <c r="P2" s="207"/>
      <c r="Q2" s="207"/>
      <c r="R2" s="113"/>
      <c r="S2" s="113"/>
      <c r="T2" s="113"/>
      <c r="U2" s="113"/>
      <c r="V2" s="113"/>
    </row>
    <row r="3" spans="3:22" ht="16.5" customHeight="1" thickBot="1">
      <c r="C3" s="117" t="str">
        <f>+'(1)'!C3</f>
        <v>제   목</v>
      </c>
      <c r="D3" s="117" t="str">
        <f>+'(1)'!D3</f>
        <v>수량 및 금액</v>
      </c>
      <c r="E3" s="117" t="str">
        <f>+'(1)'!E3</f>
        <v>제   목</v>
      </c>
      <c r="F3" s="117" t="str">
        <f>+'(1)'!F3</f>
        <v>수량 및 금액</v>
      </c>
      <c r="G3" s="118"/>
      <c r="H3" s="117" t="str">
        <f>+C3</f>
        <v>제   목</v>
      </c>
      <c r="I3" s="117" t="str">
        <f t="shared" ref="I3:K3" si="0">+D3</f>
        <v>수량 및 금액</v>
      </c>
      <c r="J3" s="117" t="str">
        <f t="shared" si="0"/>
        <v>제   목</v>
      </c>
      <c r="K3" s="117" t="str">
        <f t="shared" si="0"/>
        <v>수량 및 금액</v>
      </c>
      <c r="L3" s="119">
        <f>+L2*C1</f>
        <v>94.864000000000004</v>
      </c>
      <c r="M3" s="115" t="s">
        <v>10</v>
      </c>
      <c r="N3" s="120"/>
      <c r="O3" s="120"/>
      <c r="P3" s="208" t="str">
        <f>+'(1)'!C1&amp;"년"&amp;'(1)'!E1&amp;"월"&amp;C1&amp;"일"</f>
        <v>2022년4월8일</v>
      </c>
      <c r="Q3" s="208"/>
      <c r="R3" s="121"/>
      <c r="S3" s="113"/>
      <c r="T3" s="113"/>
      <c r="U3" s="113"/>
      <c r="V3" s="113"/>
    </row>
    <row r="4" spans="3:22" ht="16.5" customHeight="1" thickBot="1">
      <c r="C4" s="122" t="str">
        <f>+'(1)'!C4</f>
        <v>판매량</v>
      </c>
      <c r="D4" s="123">
        <v>12508.439</v>
      </c>
      <c r="E4" s="122" t="str">
        <f>+'(1)'!E4</f>
        <v>입금액</v>
      </c>
      <c r="F4" s="124"/>
      <c r="G4" s="118"/>
      <c r="H4" s="122" t="str">
        <f>+C4</f>
        <v>판매량</v>
      </c>
      <c r="I4" s="123">
        <v>9019.3670000000002</v>
      </c>
      <c r="J4" s="122" t="str">
        <f>+E4</f>
        <v>입금액</v>
      </c>
      <c r="K4" s="124"/>
      <c r="L4" s="125"/>
      <c r="M4" s="126"/>
      <c r="N4" s="127" t="str">
        <f>+C3</f>
        <v>제   목</v>
      </c>
      <c r="O4" s="127" t="str">
        <f t="shared" ref="O4:Q4" si="1">+D3</f>
        <v>수량 및 금액</v>
      </c>
      <c r="P4" s="127" t="str">
        <f t="shared" si="1"/>
        <v>제   목</v>
      </c>
      <c r="Q4" s="127" t="str">
        <f t="shared" si="1"/>
        <v>수량 및 금액</v>
      </c>
      <c r="R4" s="128">
        <v>31472</v>
      </c>
      <c r="S4" s="129" t="s">
        <v>2</v>
      </c>
      <c r="T4" s="113"/>
      <c r="U4" s="113"/>
      <c r="V4" s="113"/>
    </row>
    <row r="5" spans="3:22" ht="16.5" customHeight="1">
      <c r="C5" s="130" t="str">
        <f>+'(1)'!C5</f>
        <v>법인전표</v>
      </c>
      <c r="D5" s="131"/>
      <c r="E5" s="132" t="str">
        <f>+'(1)'!E5</f>
        <v>고액권</v>
      </c>
      <c r="F5" s="133">
        <v>330000</v>
      </c>
      <c r="G5" s="118"/>
      <c r="H5" s="132" t="str">
        <f t="shared" ref="H5:H13" si="2">+C5</f>
        <v>법인전표</v>
      </c>
      <c r="I5" s="131"/>
      <c r="J5" s="132" t="str">
        <f>+E5</f>
        <v>고액권</v>
      </c>
      <c r="K5" s="133">
        <v>240000</v>
      </c>
      <c r="L5" s="125"/>
      <c r="M5" s="126"/>
      <c r="N5" s="134" t="str">
        <f>+C4</f>
        <v>판매량</v>
      </c>
      <c r="O5" s="135">
        <f>SUM(D4+I4+D17+I17+D35+I35)</f>
        <v>21527.806</v>
      </c>
      <c r="P5" s="136" t="str">
        <f>+E4</f>
        <v>입금액</v>
      </c>
      <c r="Q5" s="137">
        <f>SUM(F4+K4+F17+K17+F35+K35)</f>
        <v>0</v>
      </c>
      <c r="R5" s="138">
        <v>18</v>
      </c>
      <c r="S5" s="129" t="s">
        <v>3</v>
      </c>
      <c r="T5" s="113"/>
      <c r="U5" s="113"/>
      <c r="V5" s="113"/>
    </row>
    <row r="6" spans="3:22" ht="16.5" customHeight="1">
      <c r="C6" s="130" t="str">
        <f>+'(1)'!C6</f>
        <v>외상전표</v>
      </c>
      <c r="D6" s="139">
        <v>296.11099999999999</v>
      </c>
      <c r="E6" s="132" t="str">
        <f>+'(1)'!E6</f>
        <v>천원권</v>
      </c>
      <c r="F6" s="133">
        <v>1000</v>
      </c>
      <c r="G6" s="118"/>
      <c r="H6" s="132" t="str">
        <f t="shared" si="2"/>
        <v>외상전표</v>
      </c>
      <c r="I6" s="139">
        <v>25.843</v>
      </c>
      <c r="J6" s="132" t="str">
        <f t="shared" ref="J6:J13" si="3">+E6</f>
        <v>천원권</v>
      </c>
      <c r="K6" s="133">
        <v>4000</v>
      </c>
      <c r="L6" s="125"/>
      <c r="M6" s="126"/>
      <c r="N6" s="140" t="str">
        <f>+C5</f>
        <v>법인전표</v>
      </c>
      <c r="O6" s="141">
        <f>SUM(D5+I5+D18+I18+D36+I36)</f>
        <v>0</v>
      </c>
      <c r="P6" s="140" t="str">
        <f>+E5</f>
        <v>고액권</v>
      </c>
      <c r="Q6" s="142">
        <f>SUM(F5+K5+F18+K18+F36+K36)</f>
        <v>570000</v>
      </c>
      <c r="R6" s="138">
        <v>1.2</v>
      </c>
      <c r="S6" s="129" t="s">
        <v>4</v>
      </c>
      <c r="T6" s="113"/>
      <c r="U6" s="113"/>
      <c r="V6" s="113"/>
    </row>
    <row r="7" spans="3:22" ht="16.5" customHeight="1" thickBot="1">
      <c r="C7" s="130" t="str">
        <f>+'(1)'!C7</f>
        <v>효신(업)</v>
      </c>
      <c r="D7" s="139"/>
      <c r="E7" s="132" t="str">
        <f>+'(1)'!E7</f>
        <v>동전</v>
      </c>
      <c r="F7" s="133"/>
      <c r="G7" s="118"/>
      <c r="H7" s="130" t="str">
        <f t="shared" si="2"/>
        <v>효신(업)</v>
      </c>
      <c r="I7" s="139"/>
      <c r="J7" s="132" t="str">
        <f t="shared" si="3"/>
        <v>동전</v>
      </c>
      <c r="K7" s="133"/>
      <c r="L7" s="125"/>
      <c r="M7" s="126"/>
      <c r="N7" s="140" t="str">
        <f t="shared" ref="N7:N14" si="4">+C6</f>
        <v>외상전표</v>
      </c>
      <c r="O7" s="143">
        <f>SUM(D6+I6+D19+I19+D37+I37)</f>
        <v>321.95400000000001</v>
      </c>
      <c r="P7" s="140" t="str">
        <f t="shared" ref="P7:P14" si="5">+E6</f>
        <v>천원권</v>
      </c>
      <c r="Q7" s="142">
        <f>SUM(F6+K6+F19+K19+F37+K37)</f>
        <v>5000</v>
      </c>
      <c r="R7" s="128" t="s">
        <v>5</v>
      </c>
      <c r="S7" s="144" t="s">
        <v>6</v>
      </c>
      <c r="T7" s="113"/>
      <c r="U7" s="113"/>
      <c r="V7" s="113"/>
    </row>
    <row r="8" spans="3:22" ht="16.5" customHeight="1">
      <c r="C8" s="130" t="str">
        <f>+'(1)'!C8</f>
        <v>자가소비</v>
      </c>
      <c r="D8" s="139"/>
      <c r="E8" s="132" t="str">
        <f>+'(1)'!E8</f>
        <v>신용카드</v>
      </c>
      <c r="F8" s="133">
        <v>14656316</v>
      </c>
      <c r="G8" s="118"/>
      <c r="H8" s="122" t="str">
        <f t="shared" si="2"/>
        <v>자가소비</v>
      </c>
      <c r="I8" s="139"/>
      <c r="J8" s="132" t="str">
        <f t="shared" si="3"/>
        <v>신용카드</v>
      </c>
      <c r="K8" s="133">
        <v>25461766</v>
      </c>
      <c r="L8" s="125"/>
      <c r="M8" s="126"/>
      <c r="N8" s="140" t="str">
        <f t="shared" si="4"/>
        <v>효신(업)</v>
      </c>
      <c r="O8" s="141">
        <f>SUM(D7+I7+D20+I20+D38+I38)</f>
        <v>0</v>
      </c>
      <c r="P8" s="140" t="str">
        <f t="shared" si="5"/>
        <v>동전</v>
      </c>
      <c r="Q8" s="142">
        <f>SUM(F7+K7+F20+K20+F38+K38)</f>
        <v>0</v>
      </c>
      <c r="R8" s="138"/>
      <c r="S8" s="113"/>
      <c r="T8" s="113"/>
      <c r="U8" s="113"/>
      <c r="V8" s="113"/>
    </row>
    <row r="9" spans="3:22" ht="16.5" customHeight="1">
      <c r="C9" s="130" t="str">
        <f>+'(1)'!C9</f>
        <v>-</v>
      </c>
      <c r="D9" s="139"/>
      <c r="E9" s="132" t="str">
        <f>+'(1)'!E9</f>
        <v>상품권</v>
      </c>
      <c r="F9" s="133"/>
      <c r="G9" s="118"/>
      <c r="H9" s="132" t="str">
        <f t="shared" si="2"/>
        <v>-</v>
      </c>
      <c r="I9" s="139"/>
      <c r="J9" s="132" t="str">
        <f t="shared" si="3"/>
        <v>상품권</v>
      </c>
      <c r="K9" s="133"/>
      <c r="L9" s="125"/>
      <c r="M9" s="126"/>
      <c r="N9" s="140" t="str">
        <f t="shared" si="4"/>
        <v>자가소비</v>
      </c>
      <c r="O9" s="143">
        <f>SUM(D8+I8+D21+I21+D39+I39)</f>
        <v>0</v>
      </c>
      <c r="P9" s="140" t="str">
        <f t="shared" si="5"/>
        <v>신용카드</v>
      </c>
      <c r="Q9" s="142">
        <f>IF(K8=0,F8,IF(F21=0,K8,IF(K21=0,F21,K21)))</f>
        <v>25461766</v>
      </c>
      <c r="R9" s="128"/>
      <c r="S9" s="113"/>
      <c r="T9" s="113"/>
      <c r="U9" s="113"/>
      <c r="V9" s="113"/>
    </row>
    <row r="10" spans="3:22" ht="16.5" customHeight="1">
      <c r="C10" s="130" t="str">
        <f>+'(1)'!C10</f>
        <v>고객우대</v>
      </c>
      <c r="D10" s="139">
        <v>169.11799999999999</v>
      </c>
      <c r="E10" s="132" t="str">
        <f>+'(1)'!E10</f>
        <v>OK케시백</v>
      </c>
      <c r="F10" s="133">
        <v>5000</v>
      </c>
      <c r="G10" s="118"/>
      <c r="H10" s="132" t="str">
        <f t="shared" si="2"/>
        <v>고객우대</v>
      </c>
      <c r="I10" s="139"/>
      <c r="J10" s="132" t="str">
        <f t="shared" si="3"/>
        <v>OK케시백</v>
      </c>
      <c r="K10" s="133"/>
      <c r="L10" s="125"/>
      <c r="M10" s="126"/>
      <c r="N10" s="140" t="str">
        <f t="shared" si="4"/>
        <v>-</v>
      </c>
      <c r="O10" s="143"/>
      <c r="P10" s="140" t="str">
        <f t="shared" si="5"/>
        <v>상품권</v>
      </c>
      <c r="Q10" s="142">
        <f>SUM(F9+K9+F22+K22+F40+K40)</f>
        <v>0</v>
      </c>
      <c r="R10" s="128"/>
      <c r="S10" s="113"/>
      <c r="T10" s="113"/>
      <c r="U10" s="113"/>
      <c r="V10" s="113"/>
    </row>
    <row r="11" spans="3:22" ht="16.5" customHeight="1">
      <c r="C11" s="130" t="str">
        <f>+'(1)'!C11</f>
        <v>-</v>
      </c>
      <c r="D11" s="145">
        <f>SUM(D10*-35)</f>
        <v>-5919.13</v>
      </c>
      <c r="E11" s="132" t="str">
        <f>+'(1)'!E11</f>
        <v>모바일</v>
      </c>
      <c r="F11" s="133">
        <v>10000</v>
      </c>
      <c r="G11" s="118"/>
      <c r="H11" s="130" t="str">
        <f t="shared" si="2"/>
        <v>-</v>
      </c>
      <c r="I11" s="145">
        <f>SUM(I10*-35)</f>
        <v>0</v>
      </c>
      <c r="J11" s="132" t="str">
        <f t="shared" si="3"/>
        <v>모바일</v>
      </c>
      <c r="K11" s="133">
        <v>5000</v>
      </c>
      <c r="L11" s="125"/>
      <c r="M11" s="126"/>
      <c r="N11" s="140" t="str">
        <f t="shared" si="4"/>
        <v>고객우대</v>
      </c>
      <c r="O11" s="143">
        <f>SUM(D10+I10+D23+I23+D41+I41)</f>
        <v>169.11799999999999</v>
      </c>
      <c r="P11" s="140" t="str">
        <f t="shared" si="5"/>
        <v>OK케시백</v>
      </c>
      <c r="Q11" s="142">
        <f>SUM(F10+K10+F23+K23+F41+K41)</f>
        <v>5000</v>
      </c>
      <c r="R11" s="128"/>
      <c r="S11" s="113"/>
      <c r="T11" s="113"/>
      <c r="U11" s="113"/>
      <c r="V11" s="113"/>
    </row>
    <row r="12" spans="3:22" ht="16.5" customHeight="1" thickBot="1">
      <c r="C12" s="146" t="str">
        <f>+'(1)'!C12</f>
        <v>-</v>
      </c>
      <c r="D12" s="147"/>
      <c r="E12" s="148" t="str">
        <f>+'(1)'!E12</f>
        <v>제로페이</v>
      </c>
      <c r="F12" s="149"/>
      <c r="G12" s="118"/>
      <c r="H12" s="146" t="str">
        <f t="shared" si="2"/>
        <v>-</v>
      </c>
      <c r="I12" s="147"/>
      <c r="J12" s="148" t="str">
        <f t="shared" si="3"/>
        <v>제로페이</v>
      </c>
      <c r="K12" s="149"/>
      <c r="L12" s="125"/>
      <c r="M12" s="126"/>
      <c r="N12" s="140" t="str">
        <f t="shared" si="4"/>
        <v>-</v>
      </c>
      <c r="O12" s="145">
        <f>SUM(O11*-35)</f>
        <v>-5919.13</v>
      </c>
      <c r="P12" s="140" t="str">
        <f t="shared" si="5"/>
        <v>모바일</v>
      </c>
      <c r="Q12" s="142">
        <f>SUM(F11+K11+F24+K24+F42+K42)</f>
        <v>15000</v>
      </c>
      <c r="R12" s="128"/>
      <c r="S12" s="113"/>
      <c r="T12" s="113"/>
      <c r="U12" s="113"/>
      <c r="V12" s="113"/>
    </row>
    <row r="13" spans="3:22" ht="16.5" customHeight="1" thickBot="1">
      <c r="C13" s="117" t="str">
        <f>+'(1)'!C13</f>
        <v>합계</v>
      </c>
      <c r="D13" s="150">
        <f>SUM((D4-D5-D6-D7-D8-D9)*$E$1+D11)</f>
        <v>15003031.981999999</v>
      </c>
      <c r="E13" s="117" t="str">
        <f>+'(1)'!E13</f>
        <v>합계</v>
      </c>
      <c r="F13" s="151">
        <f>SUM(F4:F12)</f>
        <v>15002316</v>
      </c>
      <c r="G13" s="152"/>
      <c r="H13" s="117" t="str">
        <f t="shared" si="2"/>
        <v>합계</v>
      </c>
      <c r="I13" s="150">
        <f>SUM((I4-I5-I6-I7-I8-I9)*$E$1+I11)</f>
        <v>11053040.995999999</v>
      </c>
      <c r="J13" s="117" t="str">
        <f t="shared" si="3"/>
        <v>합계</v>
      </c>
      <c r="K13" s="151">
        <f>IF(K8=0,0,SUM(K4:K12)-F8)</f>
        <v>11054450</v>
      </c>
      <c r="L13" s="125"/>
      <c r="M13" s="126"/>
      <c r="N13" s="153" t="str">
        <f t="shared" si="4"/>
        <v>-</v>
      </c>
      <c r="O13" s="154"/>
      <c r="P13" s="153" t="str">
        <f t="shared" si="5"/>
        <v>제로페이</v>
      </c>
      <c r="Q13" s="155">
        <f>SUM(F12+K12+F25+K25+F43+K43)</f>
        <v>0</v>
      </c>
      <c r="R13" s="128"/>
      <c r="S13" s="113"/>
      <c r="T13" s="113"/>
      <c r="U13" s="113"/>
      <c r="V13" s="113"/>
    </row>
    <row r="14" spans="3:22" ht="16.5" customHeight="1" thickBot="1">
      <c r="C14" s="156"/>
      <c r="D14" s="118"/>
      <c r="E14" s="118"/>
      <c r="F14" s="157">
        <f>SUM(F13-D13)</f>
        <v>-715.98199999891222</v>
      </c>
      <c r="G14" s="118"/>
      <c r="H14" s="118"/>
      <c r="I14" s="118"/>
      <c r="J14" s="118"/>
      <c r="K14" s="157">
        <f>SUM(K13-I13)</f>
        <v>1409.0040000006557</v>
      </c>
      <c r="L14" s="125">
        <f>SUM(L4:L13)</f>
        <v>0</v>
      </c>
      <c r="M14" s="115" t="s">
        <v>9</v>
      </c>
      <c r="N14" s="127" t="str">
        <f t="shared" si="4"/>
        <v>합계</v>
      </c>
      <c r="O14" s="158">
        <f>SUM((O5-O6-O7-O8-O9-O10)*+E1+O12)</f>
        <v>26056072.978</v>
      </c>
      <c r="P14" s="127" t="str">
        <f t="shared" si="5"/>
        <v>합계</v>
      </c>
      <c r="Q14" s="159">
        <f>SUM(Q5:Q13)</f>
        <v>26056766</v>
      </c>
      <c r="R14" s="113"/>
      <c r="S14" s="113"/>
      <c r="T14" s="113"/>
      <c r="U14" s="113"/>
      <c r="V14" s="113"/>
    </row>
    <row r="15" spans="3:22" ht="16.5" customHeight="1" thickBot="1">
      <c r="C15" s="118">
        <v>3</v>
      </c>
      <c r="D15" s="118"/>
      <c r="E15" s="118"/>
      <c r="F15" s="118"/>
      <c r="G15" s="118"/>
      <c r="H15" s="118">
        <v>4</v>
      </c>
      <c r="I15" s="118"/>
      <c r="J15" s="118"/>
      <c r="K15" s="118"/>
      <c r="L15" s="125"/>
      <c r="M15" s="113"/>
      <c r="N15" s="118"/>
      <c r="O15" s="118"/>
      <c r="P15" s="118"/>
      <c r="Q15" s="160">
        <f>SUM(F14+K14+F27+K27)</f>
        <v>693.02200000174344</v>
      </c>
      <c r="R15" s="113"/>
      <c r="S15" s="113"/>
      <c r="T15" s="113"/>
      <c r="U15" s="113"/>
      <c r="V15" s="113"/>
    </row>
    <row r="16" spans="3:22" ht="16.5" customHeight="1" thickBot="1">
      <c r="C16" s="117" t="str">
        <f>+C3</f>
        <v>제   목</v>
      </c>
      <c r="D16" s="117" t="str">
        <f t="shared" ref="D16:F16" si="6">+D3</f>
        <v>수량 및 금액</v>
      </c>
      <c r="E16" s="117" t="str">
        <f t="shared" si="6"/>
        <v>제   목</v>
      </c>
      <c r="F16" s="117" t="str">
        <f t="shared" si="6"/>
        <v>수량 및 금액</v>
      </c>
      <c r="G16" s="118"/>
      <c r="H16" s="117" t="str">
        <f>+C3</f>
        <v>제   목</v>
      </c>
      <c r="I16" s="117" t="str">
        <f t="shared" ref="I16:K16" si="7">+D3</f>
        <v>수량 및 금액</v>
      </c>
      <c r="J16" s="117" t="str">
        <f t="shared" si="7"/>
        <v>제   목</v>
      </c>
      <c r="K16" s="117" t="str">
        <f t="shared" si="7"/>
        <v>수량 및 금액</v>
      </c>
      <c r="L16" s="125"/>
      <c r="M16" s="113"/>
      <c r="N16" s="118"/>
      <c r="O16" s="118"/>
      <c r="P16" s="118"/>
      <c r="Q16" s="118"/>
      <c r="R16" s="113"/>
      <c r="S16" s="113"/>
      <c r="T16" s="113"/>
      <c r="U16" s="113"/>
      <c r="V16" s="113"/>
    </row>
    <row r="17" spans="3:22" ht="16.5" customHeight="1" thickBot="1">
      <c r="C17" s="122" t="str">
        <f>+C4</f>
        <v>판매량</v>
      </c>
      <c r="D17" s="123">
        <v>0</v>
      </c>
      <c r="E17" s="122" t="str">
        <f>+E4</f>
        <v>입금액</v>
      </c>
      <c r="F17" s="124"/>
      <c r="G17" s="118"/>
      <c r="H17" s="122" t="str">
        <f>+C4</f>
        <v>판매량</v>
      </c>
      <c r="I17" s="123">
        <v>0</v>
      </c>
      <c r="J17" s="122" t="str">
        <f>+E4</f>
        <v>입금액</v>
      </c>
      <c r="K17" s="124"/>
      <c r="L17" s="125"/>
      <c r="M17" s="113"/>
      <c r="N17" s="118"/>
      <c r="O17" s="118"/>
      <c r="P17" s="118"/>
      <c r="Q17" s="118"/>
      <c r="R17" s="113"/>
      <c r="S17" s="113"/>
      <c r="T17" s="113"/>
      <c r="U17" s="113"/>
      <c r="V17" s="113"/>
    </row>
    <row r="18" spans="3:22" ht="16.5" customHeight="1" thickBot="1">
      <c r="C18" s="132" t="str">
        <f>+C5</f>
        <v>법인전표</v>
      </c>
      <c r="D18" s="131"/>
      <c r="E18" s="132" t="str">
        <f>+E5</f>
        <v>고액권</v>
      </c>
      <c r="F18" s="133"/>
      <c r="G18" s="118"/>
      <c r="H18" s="132" t="str">
        <f>+C5</f>
        <v>법인전표</v>
      </c>
      <c r="I18" s="131"/>
      <c r="J18" s="132" t="str">
        <f>+E5</f>
        <v>고액권</v>
      </c>
      <c r="K18" s="133"/>
      <c r="L18" s="125"/>
      <c r="M18" s="113"/>
      <c r="N18" s="211" t="s">
        <v>35</v>
      </c>
      <c r="O18" s="212"/>
      <c r="P18" s="161" t="s">
        <v>36</v>
      </c>
      <c r="Q18" s="162" t="s">
        <v>37</v>
      </c>
      <c r="R18" s="113"/>
      <c r="S18" s="113"/>
      <c r="T18" s="113"/>
      <c r="U18" s="113"/>
      <c r="V18" s="113"/>
    </row>
    <row r="19" spans="3:22" ht="16.5" customHeight="1">
      <c r="C19" s="132" t="str">
        <f t="shared" ref="C19:C26" si="8">+C6</f>
        <v>외상전표</v>
      </c>
      <c r="D19" s="139"/>
      <c r="E19" s="132" t="str">
        <f t="shared" ref="E19:E25" si="9">+E6</f>
        <v>천원권</v>
      </c>
      <c r="F19" s="133"/>
      <c r="G19" s="118"/>
      <c r="H19" s="132" t="str">
        <f t="shared" ref="H19:H25" si="10">+C6</f>
        <v>외상전표</v>
      </c>
      <c r="I19" s="139"/>
      <c r="J19" s="132" t="str">
        <f t="shared" ref="J19:J25" si="11">+E6</f>
        <v>천원권</v>
      </c>
      <c r="K19" s="133"/>
      <c r="L19" s="125"/>
      <c r="M19" s="113"/>
      <c r="N19" s="209" t="s">
        <v>38</v>
      </c>
      <c r="O19" s="210"/>
      <c r="P19" s="163">
        <v>13</v>
      </c>
      <c r="Q19" s="137">
        <f>SUM(P19*1000)</f>
        <v>13000</v>
      </c>
      <c r="R19" s="113"/>
      <c r="S19" s="120"/>
      <c r="T19" s="113"/>
      <c r="U19" s="113"/>
      <c r="V19" s="113"/>
    </row>
    <row r="20" spans="3:22" ht="16.5" customHeight="1">
      <c r="C20" s="132" t="str">
        <f t="shared" si="8"/>
        <v>효신(업)</v>
      </c>
      <c r="D20" s="139"/>
      <c r="E20" s="132" t="str">
        <f t="shared" si="9"/>
        <v>동전</v>
      </c>
      <c r="F20" s="133"/>
      <c r="G20" s="118"/>
      <c r="H20" s="132" t="str">
        <f t="shared" si="10"/>
        <v>효신(업)</v>
      </c>
      <c r="I20" s="139"/>
      <c r="J20" s="132" t="str">
        <f t="shared" si="11"/>
        <v>동전</v>
      </c>
      <c r="K20" s="133"/>
      <c r="L20" s="125"/>
      <c r="M20" s="113"/>
      <c r="N20" s="205" t="s">
        <v>39</v>
      </c>
      <c r="O20" s="206"/>
      <c r="P20" s="164">
        <v>39</v>
      </c>
      <c r="Q20" s="142">
        <f>SUM(P20*1000)</f>
        <v>39000</v>
      </c>
      <c r="R20" s="113"/>
      <c r="S20" s="113"/>
      <c r="T20" s="113"/>
      <c r="U20" s="113"/>
      <c r="V20" s="113"/>
    </row>
    <row r="21" spans="3:22" ht="16.5" customHeight="1">
      <c r="C21" s="132" t="str">
        <f t="shared" si="8"/>
        <v>자가소비</v>
      </c>
      <c r="D21" s="139"/>
      <c r="E21" s="132" t="str">
        <f t="shared" si="9"/>
        <v>신용카드</v>
      </c>
      <c r="F21" s="133"/>
      <c r="G21" s="118"/>
      <c r="H21" s="132" t="str">
        <f t="shared" si="10"/>
        <v>자가소비</v>
      </c>
      <c r="I21" s="139"/>
      <c r="J21" s="132" t="str">
        <f t="shared" si="11"/>
        <v>신용카드</v>
      </c>
      <c r="K21" s="133"/>
      <c r="L21" s="125"/>
      <c r="M21" s="113"/>
      <c r="N21" s="205" t="s">
        <v>49</v>
      </c>
      <c r="O21" s="206"/>
      <c r="P21" s="164">
        <v>13</v>
      </c>
      <c r="Q21" s="142"/>
      <c r="R21" s="113"/>
      <c r="S21" s="113"/>
      <c r="T21" s="113"/>
      <c r="U21" s="113"/>
      <c r="V21" s="113"/>
    </row>
    <row r="22" spans="3:22" ht="16.5" customHeight="1">
      <c r="C22" s="132" t="str">
        <f t="shared" si="8"/>
        <v>-</v>
      </c>
      <c r="D22" s="139"/>
      <c r="E22" s="132" t="str">
        <f t="shared" si="9"/>
        <v>상품권</v>
      </c>
      <c r="F22" s="133"/>
      <c r="G22" s="118"/>
      <c r="H22" s="132" t="str">
        <f t="shared" si="10"/>
        <v>-</v>
      </c>
      <c r="I22" s="139"/>
      <c r="J22" s="132" t="str">
        <f t="shared" si="11"/>
        <v>상품권</v>
      </c>
      <c r="K22" s="133"/>
      <c r="L22" s="125"/>
      <c r="M22" s="113"/>
      <c r="N22" s="214" t="s">
        <v>54</v>
      </c>
      <c r="O22" s="215"/>
      <c r="P22" s="164">
        <v>2</v>
      </c>
      <c r="Q22" s="142">
        <f>SUM(P22*1000)</f>
        <v>2000</v>
      </c>
      <c r="R22" s="113"/>
      <c r="S22" s="113"/>
      <c r="T22" s="113"/>
      <c r="U22" s="113"/>
      <c r="V22" s="113"/>
    </row>
    <row r="23" spans="3:22" ht="16.5" customHeight="1">
      <c r="C23" s="132" t="str">
        <f t="shared" si="8"/>
        <v>고객우대</v>
      </c>
      <c r="D23" s="139"/>
      <c r="E23" s="132" t="str">
        <f t="shared" si="9"/>
        <v>OK케시백</v>
      </c>
      <c r="F23" s="133"/>
      <c r="G23" s="118"/>
      <c r="H23" s="132" t="str">
        <f t="shared" si="10"/>
        <v>고객우대</v>
      </c>
      <c r="I23" s="139"/>
      <c r="J23" s="132" t="str">
        <f t="shared" si="11"/>
        <v>OK케시백</v>
      </c>
      <c r="K23" s="133"/>
      <c r="L23" s="125"/>
      <c r="M23" s="113"/>
      <c r="N23" s="216" t="s">
        <v>59</v>
      </c>
      <c r="O23" s="215"/>
      <c r="P23" s="164">
        <v>12</v>
      </c>
      <c r="Q23" s="142">
        <f>SUM(P23*1000)</f>
        <v>12000</v>
      </c>
      <c r="R23" s="113"/>
      <c r="S23" s="113"/>
      <c r="T23" s="113"/>
      <c r="U23" s="113"/>
      <c r="V23" s="113"/>
    </row>
    <row r="24" spans="3:22" ht="16.5" customHeight="1">
      <c r="C24" s="132" t="str">
        <f t="shared" si="8"/>
        <v>-</v>
      </c>
      <c r="D24" s="145">
        <f>SUM(D23*-35)</f>
        <v>0</v>
      </c>
      <c r="E24" s="132" t="str">
        <f>+'(1)'!E24</f>
        <v>모바일</v>
      </c>
      <c r="F24" s="133"/>
      <c r="G24" s="118"/>
      <c r="H24" s="130" t="str">
        <f t="shared" ref="H24" si="12">+C24</f>
        <v>-</v>
      </c>
      <c r="I24" s="145">
        <f>SUM(I23*-35)</f>
        <v>0</v>
      </c>
      <c r="J24" s="132" t="str">
        <f t="shared" si="11"/>
        <v>모바일</v>
      </c>
      <c r="K24" s="133"/>
      <c r="L24" s="125"/>
      <c r="M24" s="113"/>
      <c r="N24" s="216" t="s">
        <v>53</v>
      </c>
      <c r="O24" s="215"/>
      <c r="P24" s="164">
        <v>11</v>
      </c>
      <c r="Q24" s="142"/>
      <c r="R24" s="113"/>
      <c r="S24" s="113"/>
      <c r="T24" s="113"/>
      <c r="U24" s="113"/>
      <c r="V24" s="113"/>
    </row>
    <row r="25" spans="3:22" ht="16.5" customHeight="1" thickBot="1">
      <c r="C25" s="148" t="str">
        <f t="shared" si="8"/>
        <v>-</v>
      </c>
      <c r="D25" s="147"/>
      <c r="E25" s="148" t="str">
        <f t="shared" si="9"/>
        <v>제로페이</v>
      </c>
      <c r="F25" s="149"/>
      <c r="G25" s="118"/>
      <c r="H25" s="148" t="str">
        <f t="shared" si="10"/>
        <v>-</v>
      </c>
      <c r="I25" s="147"/>
      <c r="J25" s="148" t="str">
        <f t="shared" si="11"/>
        <v>제로페이</v>
      </c>
      <c r="K25" s="149"/>
      <c r="L25" s="125"/>
      <c r="M25" s="113"/>
      <c r="N25" s="217" t="s">
        <v>40</v>
      </c>
      <c r="O25" s="218"/>
      <c r="P25" s="165">
        <f>+P26-SUM(P19:P24)</f>
        <v>97</v>
      </c>
      <c r="Q25" s="166"/>
      <c r="R25" s="113"/>
      <c r="S25" s="113"/>
      <c r="T25" s="113"/>
      <c r="U25" s="113"/>
      <c r="V25" s="113"/>
    </row>
    <row r="26" spans="3:22" ht="16.5" customHeight="1" thickBot="1">
      <c r="C26" s="117" t="str">
        <f t="shared" si="8"/>
        <v>합계</v>
      </c>
      <c r="D26" s="150">
        <f>SUM((D17-D18-D19-D20-D21-D22)*$E$1+D24)</f>
        <v>0</v>
      </c>
      <c r="E26" s="117" t="str">
        <f>+'(1)'!E26</f>
        <v>합계</v>
      </c>
      <c r="F26" s="151">
        <f>SUM(F17:F25)</f>
        <v>0</v>
      </c>
      <c r="G26" s="152"/>
      <c r="H26" s="117" t="str">
        <f t="shared" ref="H26" si="13">+C26</f>
        <v>합계</v>
      </c>
      <c r="I26" s="150">
        <f>SUM((I17-I18-I19-I20-I21-I22)*$E$1+I24)</f>
        <v>0</v>
      </c>
      <c r="J26" s="117" t="str">
        <f t="shared" ref="J26" si="14">+E26</f>
        <v>합계</v>
      </c>
      <c r="K26" s="151">
        <f>IF(K21=0,0,SUM(K17:K25)-F21)</f>
        <v>0</v>
      </c>
      <c r="L26" s="125"/>
      <c r="M26" s="113"/>
      <c r="N26" s="211" t="s">
        <v>41</v>
      </c>
      <c r="O26" s="213"/>
      <c r="P26" s="167">
        <v>187</v>
      </c>
      <c r="Q26" s="159">
        <f>SUM(Q19:Q25)</f>
        <v>66000</v>
      </c>
      <c r="R26" s="113"/>
      <c r="S26" s="113"/>
      <c r="T26" s="113"/>
      <c r="U26" s="113"/>
      <c r="V26" s="113"/>
    </row>
    <row r="27" spans="3:22" ht="16.5" customHeight="1" thickBot="1">
      <c r="C27" s="118"/>
      <c r="D27" s="118"/>
      <c r="E27" s="118"/>
      <c r="F27" s="157">
        <f>SUM(F26-D26)</f>
        <v>0</v>
      </c>
      <c r="G27" s="118"/>
      <c r="H27" s="118"/>
      <c r="I27" s="118"/>
      <c r="J27" s="118"/>
      <c r="K27" s="157">
        <f>SUM(K26-I26)</f>
        <v>0</v>
      </c>
      <c r="L27" s="125"/>
      <c r="M27" s="113"/>
      <c r="N27" s="113"/>
      <c r="O27" s="113"/>
      <c r="P27" s="113"/>
      <c r="Q27" s="113"/>
      <c r="R27" s="113"/>
      <c r="S27" s="113"/>
      <c r="T27" s="113"/>
      <c r="U27" s="113"/>
      <c r="V27" s="113"/>
    </row>
    <row r="28" spans="3:22" ht="27.75" customHeight="1">
      <c r="C28" s="120"/>
      <c r="D28" s="120"/>
      <c r="E28" s="120"/>
      <c r="F28" s="120"/>
      <c r="G28" s="120"/>
      <c r="H28" s="120"/>
      <c r="I28" s="120"/>
      <c r="J28" s="120"/>
      <c r="K28" s="120"/>
      <c r="L28" s="113"/>
      <c r="M28" s="113"/>
      <c r="N28" s="203" t="s">
        <v>55</v>
      </c>
      <c r="O28" s="168" t="s">
        <v>56</v>
      </c>
      <c r="P28" s="168" t="s">
        <v>57</v>
      </c>
      <c r="Q28" s="169" t="s">
        <v>58</v>
      </c>
      <c r="R28" s="113"/>
      <c r="S28" s="113"/>
      <c r="T28" s="113"/>
      <c r="U28" s="113"/>
      <c r="V28" s="113"/>
    </row>
    <row r="29" spans="3:22" ht="27.75" customHeight="1" thickBot="1">
      <c r="C29" s="170"/>
      <c r="D29" s="170"/>
      <c r="E29" s="170"/>
      <c r="F29" s="170"/>
      <c r="G29" s="120"/>
      <c r="H29" s="170"/>
      <c r="I29" s="170"/>
      <c r="J29" s="170"/>
      <c r="K29" s="170"/>
      <c r="L29" s="113"/>
      <c r="M29" s="113"/>
      <c r="N29" s="204"/>
      <c r="O29" s="171">
        <v>13354</v>
      </c>
      <c r="P29" s="172">
        <v>13382</v>
      </c>
      <c r="Q29" s="173">
        <f>P29-O29</f>
        <v>28</v>
      </c>
      <c r="R29" s="113"/>
      <c r="S29" s="113"/>
      <c r="T29" s="113"/>
      <c r="U29" s="113"/>
      <c r="V29" s="113"/>
    </row>
    <row r="30" spans="3:22" ht="27.75" customHeight="1">
      <c r="C30" s="170"/>
      <c r="D30" s="120"/>
      <c r="E30" s="170"/>
      <c r="F30" s="174"/>
      <c r="G30" s="120"/>
      <c r="H30" s="170"/>
      <c r="I30" s="120"/>
      <c r="J30" s="170"/>
      <c r="K30" s="174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</row>
    <row r="31" spans="3:22" ht="27.75" customHeight="1">
      <c r="C31" s="170"/>
      <c r="D31" s="120"/>
      <c r="E31" s="170"/>
      <c r="F31" s="174"/>
      <c r="G31" s="120"/>
      <c r="H31" s="170"/>
      <c r="I31" s="120"/>
      <c r="J31" s="170"/>
      <c r="K31" s="174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3:22" ht="27.75" customHeight="1">
      <c r="C32" s="170"/>
      <c r="D32" s="175"/>
      <c r="E32" s="170"/>
      <c r="F32" s="174"/>
      <c r="G32" s="120"/>
      <c r="H32" s="170"/>
      <c r="I32" s="175"/>
      <c r="J32" s="170"/>
      <c r="K32" s="174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</row>
    <row r="33" spans="3:22" ht="27.75" customHeight="1">
      <c r="C33" s="170"/>
      <c r="D33" s="175"/>
      <c r="E33" s="170"/>
      <c r="F33" s="174"/>
      <c r="G33" s="120"/>
      <c r="H33" s="170"/>
      <c r="I33" s="175"/>
      <c r="J33" s="170"/>
      <c r="K33" s="174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</row>
    <row r="34" spans="3:22" ht="27.75" customHeight="1">
      <c r="C34" s="170"/>
      <c r="D34" s="175"/>
      <c r="E34" s="170"/>
      <c r="F34" s="174"/>
      <c r="G34" s="120"/>
      <c r="H34" s="170"/>
      <c r="I34" s="175"/>
      <c r="J34" s="170"/>
      <c r="K34" s="174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</row>
    <row r="35" spans="3:22" ht="27.75" customHeight="1">
      <c r="C35" s="170"/>
      <c r="D35" s="175"/>
      <c r="E35" s="170"/>
      <c r="F35" s="174"/>
      <c r="G35" s="120"/>
      <c r="H35" s="170"/>
      <c r="I35" s="175"/>
      <c r="J35" s="170"/>
      <c r="K35" s="174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</row>
    <row r="36" spans="3:22" ht="27.75" customHeight="1">
      <c r="C36" s="170"/>
      <c r="D36" s="175"/>
      <c r="E36" s="170"/>
      <c r="F36" s="174"/>
      <c r="G36" s="120"/>
      <c r="H36" s="170"/>
      <c r="I36" s="175"/>
      <c r="J36" s="170"/>
      <c r="K36" s="174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</row>
    <row r="37" spans="3:22" ht="27.75" customHeight="1">
      <c r="C37" s="170"/>
      <c r="D37" s="120"/>
      <c r="E37" s="170"/>
      <c r="F37" s="174"/>
      <c r="G37" s="120"/>
      <c r="H37" s="170"/>
      <c r="I37" s="120"/>
      <c r="J37" s="170"/>
      <c r="K37" s="174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</row>
    <row r="38" spans="3:22" ht="27.75" customHeight="1">
      <c r="C38" s="176"/>
      <c r="D38" s="177"/>
      <c r="E38" s="176"/>
      <c r="F38" s="178"/>
      <c r="G38" s="177"/>
      <c r="H38" s="176"/>
      <c r="I38" s="177"/>
      <c r="J38" s="176"/>
      <c r="K38" s="178"/>
    </row>
    <row r="39" spans="3:22" ht="27.75" customHeight="1">
      <c r="C39" s="176"/>
      <c r="D39" s="177"/>
      <c r="E39" s="176"/>
      <c r="F39" s="178"/>
      <c r="G39" s="177"/>
      <c r="H39" s="176"/>
      <c r="I39" s="177"/>
      <c r="J39" s="176"/>
      <c r="K39" s="178"/>
    </row>
    <row r="40" spans="3:22" ht="27.75" customHeight="1">
      <c r="F40" s="179"/>
      <c r="K40" s="179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sqref="A1:XFD1048576"/>
    </sheetView>
  </sheetViews>
  <sheetFormatPr defaultRowHeight="27.75" customHeight="1"/>
  <cols>
    <col min="1" max="2" width="9" style="116"/>
    <col min="3" max="3" width="9" style="116" bestFit="1" customWidth="1"/>
    <col min="4" max="4" width="11.25" style="116" customWidth="1"/>
    <col min="5" max="5" width="9" style="116" bestFit="1" customWidth="1"/>
    <col min="6" max="6" width="11.375" style="116" customWidth="1"/>
    <col min="7" max="7" width="5" style="116" customWidth="1"/>
    <col min="8" max="8" width="9" style="116"/>
    <col min="9" max="9" width="11.375" style="116" customWidth="1"/>
    <col min="10" max="10" width="9" style="116"/>
    <col min="11" max="11" width="11.375" style="116" customWidth="1"/>
    <col min="12" max="12" width="11.75" style="116" customWidth="1"/>
    <col min="13" max="13" width="9" style="116"/>
    <col min="14" max="14" width="9" style="116" bestFit="1" customWidth="1"/>
    <col min="15" max="15" width="12.375" style="116" bestFit="1" customWidth="1"/>
    <col min="16" max="16" width="9" style="116" bestFit="1" customWidth="1"/>
    <col min="17" max="18" width="12.375" style="116" bestFit="1" customWidth="1"/>
    <col min="19" max="16384" width="9" style="116"/>
  </cols>
  <sheetData>
    <row r="1" spans="3:22" ht="18.75" customHeight="1">
      <c r="C1" s="110">
        <v>9</v>
      </c>
      <c r="D1" s="111" t="s">
        <v>0</v>
      </c>
      <c r="E1" s="112">
        <f>+'(8)'!E1</f>
        <v>1229</v>
      </c>
      <c r="F1" s="113"/>
      <c r="G1" s="113"/>
      <c r="H1" s="113"/>
      <c r="I1" s="113"/>
      <c r="J1" s="113"/>
      <c r="K1" s="113"/>
      <c r="L1" s="114">
        <f>+ROUND(+O5*0.584/1000,3)</f>
        <v>10.348000000000001</v>
      </c>
      <c r="M1" s="115" t="s">
        <v>8</v>
      </c>
      <c r="N1" s="113"/>
      <c r="O1" s="113"/>
      <c r="P1" s="113"/>
      <c r="Q1" s="113"/>
      <c r="R1" s="113"/>
      <c r="S1" s="113"/>
      <c r="T1" s="113"/>
      <c r="U1" s="113"/>
      <c r="V1" s="113"/>
    </row>
    <row r="2" spans="3:22" ht="18.75" customHeight="1" thickBot="1">
      <c r="C2" s="113">
        <v>1</v>
      </c>
      <c r="D2" s="113"/>
      <c r="E2" s="113"/>
      <c r="F2" s="113"/>
      <c r="G2" s="113"/>
      <c r="H2" s="113">
        <v>2</v>
      </c>
      <c r="I2" s="113"/>
      <c r="J2" s="113"/>
      <c r="K2" s="113"/>
      <c r="L2" s="114">
        <f>ROUND((+'(8)'!L2*(C1-1)+L1)/C1,3)</f>
        <v>11.69</v>
      </c>
      <c r="M2" s="115" t="s">
        <v>7</v>
      </c>
      <c r="N2" s="207" t="s">
        <v>1</v>
      </c>
      <c r="O2" s="207"/>
      <c r="P2" s="207"/>
      <c r="Q2" s="207"/>
      <c r="R2" s="113"/>
      <c r="S2" s="113"/>
      <c r="T2" s="113"/>
      <c r="U2" s="113"/>
      <c r="V2" s="113"/>
    </row>
    <row r="3" spans="3:22" ht="16.5" customHeight="1" thickBot="1">
      <c r="C3" s="117" t="str">
        <f>+'(1)'!C3</f>
        <v>제   목</v>
      </c>
      <c r="D3" s="117" t="str">
        <f>+'(1)'!D3</f>
        <v>수량 및 금액</v>
      </c>
      <c r="E3" s="117" t="str">
        <f>+'(1)'!E3</f>
        <v>제   목</v>
      </c>
      <c r="F3" s="117" t="str">
        <f>+'(1)'!F3</f>
        <v>수량 및 금액</v>
      </c>
      <c r="G3" s="118"/>
      <c r="H3" s="117" t="str">
        <f>+C3</f>
        <v>제   목</v>
      </c>
      <c r="I3" s="117" t="str">
        <f t="shared" ref="I3:K3" si="0">+D3</f>
        <v>수량 및 금액</v>
      </c>
      <c r="J3" s="117" t="str">
        <f t="shared" si="0"/>
        <v>제   목</v>
      </c>
      <c r="K3" s="117" t="str">
        <f t="shared" si="0"/>
        <v>수량 및 금액</v>
      </c>
      <c r="L3" s="119">
        <f>+L2*C1</f>
        <v>105.21</v>
      </c>
      <c r="M3" s="115" t="s">
        <v>10</v>
      </c>
      <c r="N3" s="120"/>
      <c r="O3" s="120"/>
      <c r="P3" s="208" t="str">
        <f>+'(1)'!C1&amp;"년"&amp;'(1)'!E1&amp;"월"&amp;C1&amp;"일"</f>
        <v>2022년4월9일</v>
      </c>
      <c r="Q3" s="208"/>
      <c r="R3" s="121"/>
      <c r="S3" s="113"/>
      <c r="T3" s="113"/>
      <c r="U3" s="113"/>
      <c r="V3" s="113"/>
    </row>
    <row r="4" spans="3:22" ht="16.5" customHeight="1" thickBot="1">
      <c r="C4" s="122" t="str">
        <f>+'(1)'!C4</f>
        <v>판매량</v>
      </c>
      <c r="D4" s="123">
        <v>10607.651</v>
      </c>
      <c r="E4" s="122" t="str">
        <f>+'(1)'!E4</f>
        <v>입금액</v>
      </c>
      <c r="F4" s="124"/>
      <c r="G4" s="118"/>
      <c r="H4" s="122" t="str">
        <f>+C4</f>
        <v>판매량</v>
      </c>
      <c r="I4" s="123">
        <v>7111.7820000000002</v>
      </c>
      <c r="J4" s="122" t="str">
        <f>+E4</f>
        <v>입금액</v>
      </c>
      <c r="K4" s="124"/>
      <c r="L4" s="125"/>
      <c r="M4" s="126"/>
      <c r="N4" s="127" t="str">
        <f>+C3</f>
        <v>제   목</v>
      </c>
      <c r="O4" s="127" t="str">
        <f t="shared" ref="O4:Q4" si="1">+D3</f>
        <v>수량 및 금액</v>
      </c>
      <c r="P4" s="127" t="str">
        <f t="shared" si="1"/>
        <v>제   목</v>
      </c>
      <c r="Q4" s="127" t="str">
        <f t="shared" si="1"/>
        <v>수량 및 금액</v>
      </c>
      <c r="R4" s="128">
        <v>48329</v>
      </c>
      <c r="S4" s="129" t="s">
        <v>2</v>
      </c>
      <c r="T4" s="113"/>
      <c r="U4" s="113"/>
      <c r="V4" s="113"/>
    </row>
    <row r="5" spans="3:22" ht="16.5" customHeight="1">
      <c r="C5" s="130" t="str">
        <f>+'(1)'!C5</f>
        <v>법인전표</v>
      </c>
      <c r="D5" s="131"/>
      <c r="E5" s="132" t="str">
        <f>+'(1)'!E5</f>
        <v>고액권</v>
      </c>
      <c r="F5" s="133">
        <v>430000</v>
      </c>
      <c r="G5" s="118"/>
      <c r="H5" s="132" t="str">
        <f t="shared" ref="H5:H13" si="2">+C5</f>
        <v>법인전표</v>
      </c>
      <c r="I5" s="131"/>
      <c r="J5" s="132" t="str">
        <f>+E5</f>
        <v>고액권</v>
      </c>
      <c r="K5" s="133">
        <v>10000</v>
      </c>
      <c r="L5" s="125"/>
      <c r="M5" s="126"/>
      <c r="N5" s="134" t="str">
        <f>+C4</f>
        <v>판매량</v>
      </c>
      <c r="O5" s="135">
        <f>SUM(D4+I4+D17+I17+D35+I35)</f>
        <v>17719.433000000001</v>
      </c>
      <c r="P5" s="136" t="str">
        <f>+E4</f>
        <v>입금액</v>
      </c>
      <c r="Q5" s="137">
        <f>SUM(F4+K4+F17+K17+F35+K35)</f>
        <v>0</v>
      </c>
      <c r="R5" s="138">
        <v>19</v>
      </c>
      <c r="S5" s="129" t="s">
        <v>3</v>
      </c>
      <c r="T5" s="113"/>
      <c r="U5" s="113"/>
      <c r="V5" s="113"/>
    </row>
    <row r="6" spans="3:22" ht="16.5" customHeight="1">
      <c r="C6" s="130" t="str">
        <f>+'(1)'!C6</f>
        <v>외상전표</v>
      </c>
      <c r="D6" s="139">
        <v>149.714</v>
      </c>
      <c r="E6" s="132" t="str">
        <f>+'(1)'!E6</f>
        <v>천원권</v>
      </c>
      <c r="F6" s="133">
        <v>1000</v>
      </c>
      <c r="G6" s="118"/>
      <c r="H6" s="132" t="str">
        <f t="shared" si="2"/>
        <v>외상전표</v>
      </c>
      <c r="I6" s="139"/>
      <c r="J6" s="132" t="str">
        <f t="shared" ref="J6:J13" si="3">+E6</f>
        <v>천원권</v>
      </c>
      <c r="K6" s="133">
        <v>3000</v>
      </c>
      <c r="L6" s="125"/>
      <c r="M6" s="126"/>
      <c r="N6" s="140" t="str">
        <f>+C5</f>
        <v>법인전표</v>
      </c>
      <c r="O6" s="141">
        <f>SUM(D5+I5+D18+I18+D36+I36)</f>
        <v>0</v>
      </c>
      <c r="P6" s="140" t="str">
        <f>+E5</f>
        <v>고액권</v>
      </c>
      <c r="Q6" s="142">
        <f>SUM(F5+K5+F18+K18+F36+K36)</f>
        <v>440000</v>
      </c>
      <c r="R6" s="138">
        <v>1.2</v>
      </c>
      <c r="S6" s="129" t="s">
        <v>4</v>
      </c>
      <c r="T6" s="113"/>
      <c r="U6" s="113"/>
      <c r="V6" s="113"/>
    </row>
    <row r="7" spans="3:22" ht="16.5" customHeight="1" thickBot="1">
      <c r="C7" s="130" t="str">
        <f>+'(1)'!C7</f>
        <v>효신(업)</v>
      </c>
      <c r="D7" s="139"/>
      <c r="E7" s="132" t="str">
        <f>+'(1)'!E7</f>
        <v>동전</v>
      </c>
      <c r="F7" s="133"/>
      <c r="G7" s="118"/>
      <c r="H7" s="130" t="str">
        <f t="shared" si="2"/>
        <v>효신(업)</v>
      </c>
      <c r="I7" s="139"/>
      <c r="J7" s="132" t="str">
        <f t="shared" si="3"/>
        <v>동전</v>
      </c>
      <c r="K7" s="133"/>
      <c r="L7" s="125"/>
      <c r="M7" s="126"/>
      <c r="N7" s="140" t="str">
        <f t="shared" ref="N7:N14" si="4">+C6</f>
        <v>외상전표</v>
      </c>
      <c r="O7" s="143">
        <f>SUM(D6+I6+D19+I19+D37+I37)</f>
        <v>149.714</v>
      </c>
      <c r="P7" s="140" t="str">
        <f t="shared" ref="P7:P14" si="5">+E6</f>
        <v>천원권</v>
      </c>
      <c r="Q7" s="142">
        <f>SUM(F6+K6+F19+K19+F37+K37)</f>
        <v>4000</v>
      </c>
      <c r="R7" s="128" t="s">
        <v>5</v>
      </c>
      <c r="S7" s="144" t="s">
        <v>6</v>
      </c>
      <c r="T7" s="113"/>
      <c r="U7" s="113"/>
      <c r="V7" s="113"/>
    </row>
    <row r="8" spans="3:22" ht="16.5" customHeight="1">
      <c r="C8" s="130" t="str">
        <f>+'(1)'!C8</f>
        <v>자가소비</v>
      </c>
      <c r="D8" s="139"/>
      <c r="E8" s="132" t="str">
        <f>+'(1)'!E8</f>
        <v>신용카드</v>
      </c>
      <c r="F8" s="133">
        <v>12336315</v>
      </c>
      <c r="G8" s="118"/>
      <c r="H8" s="122" t="str">
        <f t="shared" si="2"/>
        <v>자가소비</v>
      </c>
      <c r="I8" s="139"/>
      <c r="J8" s="132" t="str">
        <f t="shared" si="3"/>
        <v>신용카드</v>
      </c>
      <c r="K8" s="133">
        <v>21064386</v>
      </c>
      <c r="L8" s="125"/>
      <c r="M8" s="126"/>
      <c r="N8" s="140" t="str">
        <f t="shared" si="4"/>
        <v>효신(업)</v>
      </c>
      <c r="O8" s="141">
        <f>SUM(D7+I7+D20+I20+D38+I38)</f>
        <v>0</v>
      </c>
      <c r="P8" s="140" t="str">
        <f t="shared" si="5"/>
        <v>동전</v>
      </c>
      <c r="Q8" s="142">
        <f>SUM(F7+K7+F20+K20+F38+K38)</f>
        <v>0</v>
      </c>
      <c r="R8" s="138"/>
      <c r="S8" s="113"/>
      <c r="T8" s="113"/>
      <c r="U8" s="113"/>
      <c r="V8" s="113"/>
    </row>
    <row r="9" spans="3:22" ht="16.5" customHeight="1">
      <c r="C9" s="130" t="str">
        <f>+'(1)'!C9</f>
        <v>-</v>
      </c>
      <c r="D9" s="139"/>
      <c r="E9" s="132" t="str">
        <f>+'(1)'!E9</f>
        <v>상품권</v>
      </c>
      <c r="F9" s="133">
        <v>50000</v>
      </c>
      <c r="G9" s="118"/>
      <c r="H9" s="132" t="str">
        <f t="shared" si="2"/>
        <v>-</v>
      </c>
      <c r="I9" s="139"/>
      <c r="J9" s="132" t="str">
        <f t="shared" si="3"/>
        <v>상품권</v>
      </c>
      <c r="K9" s="133"/>
      <c r="L9" s="125"/>
      <c r="M9" s="126"/>
      <c r="N9" s="140" t="str">
        <f t="shared" si="4"/>
        <v>자가소비</v>
      </c>
      <c r="O9" s="143">
        <f>SUM(D8+I8+D21+I21+D39+I39)</f>
        <v>0</v>
      </c>
      <c r="P9" s="140" t="str">
        <f t="shared" si="5"/>
        <v>신용카드</v>
      </c>
      <c r="Q9" s="142">
        <f>IF(K8=0,F8,IF(F21=0,K8,IF(K21=0,F21,K21)))</f>
        <v>21064386</v>
      </c>
      <c r="R9" s="128"/>
      <c r="S9" s="113"/>
      <c r="T9" s="113"/>
      <c r="U9" s="113"/>
      <c r="V9" s="113"/>
    </row>
    <row r="10" spans="3:22" ht="16.5" customHeight="1">
      <c r="C10" s="130" t="str">
        <f>+'(1)'!C10</f>
        <v>고객우대</v>
      </c>
      <c r="D10" s="139">
        <v>126.98099999999999</v>
      </c>
      <c r="E10" s="132" t="str">
        <f>+'(1)'!E10</f>
        <v>OK케시백</v>
      </c>
      <c r="F10" s="133"/>
      <c r="G10" s="118"/>
      <c r="H10" s="132" t="str">
        <f t="shared" si="2"/>
        <v>고객우대</v>
      </c>
      <c r="I10" s="139"/>
      <c r="J10" s="132" t="str">
        <f t="shared" si="3"/>
        <v>OK케시백</v>
      </c>
      <c r="K10" s="133"/>
      <c r="L10" s="125"/>
      <c r="M10" s="126"/>
      <c r="N10" s="140" t="str">
        <f t="shared" si="4"/>
        <v>-</v>
      </c>
      <c r="O10" s="143"/>
      <c r="P10" s="140" t="str">
        <f t="shared" si="5"/>
        <v>상품권</v>
      </c>
      <c r="Q10" s="142">
        <f>SUM(F9+K9+F22+K22+F40+K40)</f>
        <v>50000</v>
      </c>
      <c r="R10" s="128"/>
      <c r="S10" s="113"/>
      <c r="T10" s="113"/>
      <c r="U10" s="113"/>
      <c r="V10" s="113"/>
    </row>
    <row r="11" spans="3:22" ht="16.5" customHeight="1">
      <c r="C11" s="130" t="str">
        <f>+'(1)'!C11</f>
        <v>-</v>
      </c>
      <c r="D11" s="145">
        <f>SUM(D10*-35)</f>
        <v>-4444.335</v>
      </c>
      <c r="E11" s="132" t="str">
        <f>+'(1)'!E11</f>
        <v>모바일</v>
      </c>
      <c r="F11" s="133">
        <v>15000</v>
      </c>
      <c r="G11" s="118"/>
      <c r="H11" s="130" t="str">
        <f t="shared" si="2"/>
        <v>-</v>
      </c>
      <c r="I11" s="145">
        <f>SUM(I10*-35)</f>
        <v>0</v>
      </c>
      <c r="J11" s="132" t="str">
        <f t="shared" si="3"/>
        <v>모바일</v>
      </c>
      <c r="K11" s="133"/>
      <c r="L11" s="125"/>
      <c r="M11" s="126"/>
      <c r="N11" s="140" t="str">
        <f t="shared" si="4"/>
        <v>고객우대</v>
      </c>
      <c r="O11" s="143">
        <f>SUM(D10+I10+D23+I23+D41+I41)</f>
        <v>126.98099999999999</v>
      </c>
      <c r="P11" s="140" t="str">
        <f t="shared" si="5"/>
        <v>OK케시백</v>
      </c>
      <c r="Q11" s="142">
        <f>SUM(F10+K10+F23+K23+F41+K41)</f>
        <v>0</v>
      </c>
      <c r="R11" s="128"/>
      <c r="S11" s="113"/>
      <c r="T11" s="113"/>
      <c r="U11" s="113"/>
      <c r="V11" s="113"/>
    </row>
    <row r="12" spans="3:22" ht="16.5" customHeight="1" thickBot="1">
      <c r="C12" s="146" t="str">
        <f>+'(1)'!C12</f>
        <v>-</v>
      </c>
      <c r="D12" s="147"/>
      <c r="E12" s="148" t="str">
        <f>+'(1)'!E12</f>
        <v>제로페이</v>
      </c>
      <c r="F12" s="149"/>
      <c r="G12" s="118"/>
      <c r="H12" s="146" t="str">
        <f t="shared" si="2"/>
        <v>-</v>
      </c>
      <c r="I12" s="147"/>
      <c r="J12" s="148" t="str">
        <f t="shared" si="3"/>
        <v>제로페이</v>
      </c>
      <c r="K12" s="149"/>
      <c r="L12" s="125"/>
      <c r="M12" s="126"/>
      <c r="N12" s="140" t="str">
        <f t="shared" si="4"/>
        <v>-</v>
      </c>
      <c r="O12" s="145">
        <f>SUM(O11*-35)</f>
        <v>-4444.335</v>
      </c>
      <c r="P12" s="140" t="str">
        <f t="shared" si="5"/>
        <v>모바일</v>
      </c>
      <c r="Q12" s="142">
        <f>SUM(F11+K11+F24+K24+F42+K42)</f>
        <v>15000</v>
      </c>
      <c r="R12" s="128"/>
      <c r="S12" s="113"/>
      <c r="T12" s="113"/>
      <c r="U12" s="113"/>
      <c r="V12" s="113"/>
    </row>
    <row r="13" spans="3:22" ht="16.5" customHeight="1" thickBot="1">
      <c r="C13" s="117" t="str">
        <f>+'(1)'!C13</f>
        <v>합계</v>
      </c>
      <c r="D13" s="150">
        <f>SUM((D4-D5-D6-D7-D8-D9)*$E$1+D11)</f>
        <v>12848360.238</v>
      </c>
      <c r="E13" s="117" t="str">
        <f>+'(1)'!E13</f>
        <v>합계</v>
      </c>
      <c r="F13" s="151">
        <f>SUM(F4:F12)</f>
        <v>12832315</v>
      </c>
      <c r="G13" s="152"/>
      <c r="H13" s="117" t="str">
        <f t="shared" si="2"/>
        <v>합계</v>
      </c>
      <c r="I13" s="150">
        <f>SUM((I4-I5-I6-I7-I8-I9)*$E$1+I11)</f>
        <v>8740380.0779999997</v>
      </c>
      <c r="J13" s="117" t="str">
        <f t="shared" si="3"/>
        <v>합계</v>
      </c>
      <c r="K13" s="151">
        <f>IF(K8=0,0,SUM(K4:K12)-F8)</f>
        <v>8741071</v>
      </c>
      <c r="L13" s="125"/>
      <c r="M13" s="126"/>
      <c r="N13" s="153" t="str">
        <f t="shared" si="4"/>
        <v>-</v>
      </c>
      <c r="O13" s="154"/>
      <c r="P13" s="153" t="str">
        <f t="shared" si="5"/>
        <v>제로페이</v>
      </c>
      <c r="Q13" s="155">
        <f>SUM(F12+K12+F25+K25+F43+K43)</f>
        <v>0</v>
      </c>
      <c r="R13" s="128"/>
      <c r="S13" s="113"/>
      <c r="T13" s="113"/>
      <c r="U13" s="113"/>
      <c r="V13" s="113"/>
    </row>
    <row r="14" spans="3:22" ht="16.5" customHeight="1" thickBot="1">
      <c r="C14" s="156"/>
      <c r="D14" s="118"/>
      <c r="E14" s="118"/>
      <c r="F14" s="157">
        <f>SUM(F13-D13)</f>
        <v>-16045.237999999896</v>
      </c>
      <c r="G14" s="118"/>
      <c r="H14" s="118"/>
      <c r="I14" s="118"/>
      <c r="J14" s="118"/>
      <c r="K14" s="157">
        <f>SUM(K13-I13)</f>
        <v>690.92200000025332</v>
      </c>
      <c r="L14" s="125">
        <f>SUM(L4:L13)</f>
        <v>0</v>
      </c>
      <c r="M14" s="115" t="s">
        <v>9</v>
      </c>
      <c r="N14" s="127" t="str">
        <f t="shared" si="4"/>
        <v>합계</v>
      </c>
      <c r="O14" s="158">
        <f>SUM((O5-O6-O7-O8-O9-O10)*+E1+O12)</f>
        <v>21588740.316</v>
      </c>
      <c r="P14" s="127" t="str">
        <f t="shared" si="5"/>
        <v>합계</v>
      </c>
      <c r="Q14" s="159">
        <f>SUM(Q5:Q13)</f>
        <v>21573386</v>
      </c>
      <c r="R14" s="113"/>
      <c r="S14" s="113"/>
      <c r="T14" s="113"/>
      <c r="U14" s="113"/>
      <c r="V14" s="113"/>
    </row>
    <row r="15" spans="3:22" ht="16.5" customHeight="1" thickBot="1">
      <c r="C15" s="118">
        <v>3</v>
      </c>
      <c r="D15" s="118"/>
      <c r="E15" s="118"/>
      <c r="F15" s="118"/>
      <c r="G15" s="118"/>
      <c r="H15" s="118">
        <v>4</v>
      </c>
      <c r="I15" s="118"/>
      <c r="J15" s="118"/>
      <c r="K15" s="118"/>
      <c r="L15" s="125"/>
      <c r="M15" s="113"/>
      <c r="N15" s="118"/>
      <c r="O15" s="118"/>
      <c r="P15" s="118"/>
      <c r="Q15" s="160">
        <f>SUM(F14+K14+F27+K27)</f>
        <v>-15354.315999999642</v>
      </c>
      <c r="R15" s="113"/>
      <c r="S15" s="113"/>
      <c r="T15" s="113"/>
      <c r="U15" s="113"/>
      <c r="V15" s="113"/>
    </row>
    <row r="16" spans="3:22" ht="16.5" customHeight="1" thickBot="1">
      <c r="C16" s="117" t="str">
        <f>+C3</f>
        <v>제   목</v>
      </c>
      <c r="D16" s="117" t="str">
        <f t="shared" ref="D16:F16" si="6">+D3</f>
        <v>수량 및 금액</v>
      </c>
      <c r="E16" s="117" t="str">
        <f t="shared" si="6"/>
        <v>제   목</v>
      </c>
      <c r="F16" s="117" t="str">
        <f t="shared" si="6"/>
        <v>수량 및 금액</v>
      </c>
      <c r="G16" s="118"/>
      <c r="H16" s="117" t="str">
        <f>+C3</f>
        <v>제   목</v>
      </c>
      <c r="I16" s="117" t="str">
        <f t="shared" ref="I16:K16" si="7">+D3</f>
        <v>수량 및 금액</v>
      </c>
      <c r="J16" s="117" t="str">
        <f t="shared" si="7"/>
        <v>제   목</v>
      </c>
      <c r="K16" s="117" t="str">
        <f t="shared" si="7"/>
        <v>수량 및 금액</v>
      </c>
      <c r="L16" s="125"/>
      <c r="M16" s="113"/>
      <c r="N16" s="118"/>
      <c r="O16" s="118"/>
      <c r="P16" s="118"/>
      <c r="Q16" s="118"/>
      <c r="R16" s="113"/>
      <c r="S16" s="113"/>
      <c r="T16" s="113"/>
      <c r="U16" s="113"/>
      <c r="V16" s="113"/>
    </row>
    <row r="17" spans="3:22" ht="16.5" customHeight="1" thickBot="1">
      <c r="C17" s="122" t="str">
        <f>+C4</f>
        <v>판매량</v>
      </c>
      <c r="D17" s="123">
        <v>0</v>
      </c>
      <c r="E17" s="122" t="str">
        <f>+E4</f>
        <v>입금액</v>
      </c>
      <c r="F17" s="124"/>
      <c r="G17" s="118"/>
      <c r="H17" s="122" t="str">
        <f>+C4</f>
        <v>판매량</v>
      </c>
      <c r="I17" s="123">
        <v>0</v>
      </c>
      <c r="J17" s="122" t="str">
        <f>+E4</f>
        <v>입금액</v>
      </c>
      <c r="K17" s="124"/>
      <c r="L17" s="125"/>
      <c r="M17" s="113"/>
      <c r="N17" s="118"/>
      <c r="O17" s="118"/>
      <c r="P17" s="118"/>
      <c r="Q17" s="118"/>
      <c r="R17" s="113"/>
      <c r="S17" s="113"/>
      <c r="T17" s="113"/>
      <c r="U17" s="113"/>
      <c r="V17" s="113"/>
    </row>
    <row r="18" spans="3:22" ht="16.5" customHeight="1" thickBot="1">
      <c r="C18" s="132" t="str">
        <f>+C5</f>
        <v>법인전표</v>
      </c>
      <c r="D18" s="131"/>
      <c r="E18" s="132" t="str">
        <f>+E5</f>
        <v>고액권</v>
      </c>
      <c r="F18" s="133"/>
      <c r="G18" s="118"/>
      <c r="H18" s="132" t="str">
        <f>+C5</f>
        <v>법인전표</v>
      </c>
      <c r="I18" s="131"/>
      <c r="J18" s="132" t="str">
        <f>+E5</f>
        <v>고액권</v>
      </c>
      <c r="K18" s="133"/>
      <c r="L18" s="125"/>
      <c r="M18" s="113"/>
      <c r="N18" s="211" t="s">
        <v>35</v>
      </c>
      <c r="O18" s="212"/>
      <c r="P18" s="161" t="s">
        <v>36</v>
      </c>
      <c r="Q18" s="162" t="s">
        <v>37</v>
      </c>
      <c r="R18" s="113"/>
      <c r="S18" s="113"/>
      <c r="T18" s="113"/>
      <c r="U18" s="113"/>
      <c r="V18" s="113"/>
    </row>
    <row r="19" spans="3:22" ht="16.5" customHeight="1">
      <c r="C19" s="132" t="str">
        <f t="shared" ref="C19:C26" si="8">+C6</f>
        <v>외상전표</v>
      </c>
      <c r="D19" s="139"/>
      <c r="E19" s="132" t="str">
        <f t="shared" ref="E19:E25" si="9">+E6</f>
        <v>천원권</v>
      </c>
      <c r="F19" s="133"/>
      <c r="G19" s="118"/>
      <c r="H19" s="132" t="str">
        <f t="shared" ref="H19:H25" si="10">+C6</f>
        <v>외상전표</v>
      </c>
      <c r="I19" s="139"/>
      <c r="J19" s="132" t="str">
        <f t="shared" ref="J19:J25" si="11">+E6</f>
        <v>천원권</v>
      </c>
      <c r="K19" s="133"/>
      <c r="L19" s="125"/>
      <c r="M19" s="113"/>
      <c r="N19" s="209" t="s">
        <v>38</v>
      </c>
      <c r="O19" s="210"/>
      <c r="P19" s="163">
        <v>33</v>
      </c>
      <c r="Q19" s="137">
        <f>SUM(P19*1000)</f>
        <v>33000</v>
      </c>
      <c r="R19" s="113"/>
      <c r="S19" s="120"/>
      <c r="T19" s="113"/>
      <c r="U19" s="113"/>
      <c r="V19" s="113"/>
    </row>
    <row r="20" spans="3:22" ht="16.5" customHeight="1">
      <c r="C20" s="132" t="str">
        <f t="shared" si="8"/>
        <v>효신(업)</v>
      </c>
      <c r="D20" s="139"/>
      <c r="E20" s="132" t="str">
        <f t="shared" si="9"/>
        <v>동전</v>
      </c>
      <c r="F20" s="133"/>
      <c r="G20" s="118"/>
      <c r="H20" s="132" t="str">
        <f t="shared" si="10"/>
        <v>효신(업)</v>
      </c>
      <c r="I20" s="139"/>
      <c r="J20" s="132" t="str">
        <f t="shared" si="11"/>
        <v>동전</v>
      </c>
      <c r="K20" s="133"/>
      <c r="L20" s="125"/>
      <c r="M20" s="113"/>
      <c r="N20" s="205" t="s">
        <v>39</v>
      </c>
      <c r="O20" s="206"/>
      <c r="P20" s="164">
        <v>65</v>
      </c>
      <c r="Q20" s="142">
        <f>SUM(P20*1000)</f>
        <v>65000</v>
      </c>
      <c r="R20" s="113"/>
      <c r="S20" s="113"/>
      <c r="T20" s="113"/>
      <c r="U20" s="113"/>
      <c r="V20" s="113"/>
    </row>
    <row r="21" spans="3:22" ht="16.5" customHeight="1">
      <c r="C21" s="132" t="str">
        <f t="shared" si="8"/>
        <v>자가소비</v>
      </c>
      <c r="D21" s="139"/>
      <c r="E21" s="132" t="str">
        <f t="shared" si="9"/>
        <v>신용카드</v>
      </c>
      <c r="F21" s="133"/>
      <c r="G21" s="118"/>
      <c r="H21" s="132" t="str">
        <f t="shared" si="10"/>
        <v>자가소비</v>
      </c>
      <c r="I21" s="139"/>
      <c r="J21" s="132" t="str">
        <f t="shared" si="11"/>
        <v>신용카드</v>
      </c>
      <c r="K21" s="133"/>
      <c r="L21" s="125"/>
      <c r="M21" s="113"/>
      <c r="N21" s="205" t="s">
        <v>49</v>
      </c>
      <c r="O21" s="206"/>
      <c r="P21" s="164">
        <v>24</v>
      </c>
      <c r="Q21" s="142"/>
      <c r="R21" s="113"/>
      <c r="S21" s="113"/>
      <c r="T21" s="113"/>
      <c r="U21" s="113"/>
      <c r="V21" s="113"/>
    </row>
    <row r="22" spans="3:22" ht="16.5" customHeight="1">
      <c r="C22" s="132" t="str">
        <f t="shared" si="8"/>
        <v>-</v>
      </c>
      <c r="D22" s="139"/>
      <c r="E22" s="132" t="str">
        <f t="shared" si="9"/>
        <v>상품권</v>
      </c>
      <c r="F22" s="133"/>
      <c r="G22" s="118"/>
      <c r="H22" s="132" t="str">
        <f t="shared" si="10"/>
        <v>-</v>
      </c>
      <c r="I22" s="139"/>
      <c r="J22" s="132" t="str">
        <f t="shared" si="11"/>
        <v>상품권</v>
      </c>
      <c r="K22" s="133"/>
      <c r="L22" s="125"/>
      <c r="M22" s="113"/>
      <c r="N22" s="214" t="s">
        <v>54</v>
      </c>
      <c r="O22" s="215"/>
      <c r="P22" s="164">
        <v>7</v>
      </c>
      <c r="Q22" s="142">
        <f>SUM(P22*1000)</f>
        <v>7000</v>
      </c>
      <c r="R22" s="113"/>
      <c r="S22" s="113"/>
      <c r="T22" s="113"/>
      <c r="U22" s="113"/>
      <c r="V22" s="113"/>
    </row>
    <row r="23" spans="3:22" ht="16.5" customHeight="1">
      <c r="C23" s="132" t="str">
        <f t="shared" si="8"/>
        <v>고객우대</v>
      </c>
      <c r="D23" s="139"/>
      <c r="E23" s="132" t="str">
        <f t="shared" si="9"/>
        <v>OK케시백</v>
      </c>
      <c r="F23" s="133"/>
      <c r="G23" s="118"/>
      <c r="H23" s="132" t="str">
        <f t="shared" si="10"/>
        <v>고객우대</v>
      </c>
      <c r="I23" s="139"/>
      <c r="J23" s="132" t="str">
        <f t="shared" si="11"/>
        <v>OK케시백</v>
      </c>
      <c r="K23" s="133"/>
      <c r="L23" s="125"/>
      <c r="M23" s="113"/>
      <c r="N23" s="216" t="s">
        <v>59</v>
      </c>
      <c r="O23" s="215"/>
      <c r="P23" s="164">
        <v>40</v>
      </c>
      <c r="Q23" s="142">
        <f>SUM(P23*1000)</f>
        <v>40000</v>
      </c>
      <c r="R23" s="113"/>
      <c r="S23" s="113"/>
      <c r="T23" s="113"/>
      <c r="U23" s="113"/>
      <c r="V23" s="113"/>
    </row>
    <row r="24" spans="3:22" ht="16.5" customHeight="1">
      <c r="C24" s="132" t="str">
        <f t="shared" si="8"/>
        <v>-</v>
      </c>
      <c r="D24" s="145">
        <f>SUM(D23*-35)</f>
        <v>0</v>
      </c>
      <c r="E24" s="132" t="str">
        <f>+'(1)'!E24</f>
        <v>모바일</v>
      </c>
      <c r="F24" s="133"/>
      <c r="G24" s="118"/>
      <c r="H24" s="130" t="str">
        <f t="shared" ref="H24" si="12">+C24</f>
        <v>-</v>
      </c>
      <c r="I24" s="145">
        <f>SUM(I23*-35)</f>
        <v>0</v>
      </c>
      <c r="J24" s="132" t="str">
        <f t="shared" si="11"/>
        <v>모바일</v>
      </c>
      <c r="K24" s="133"/>
      <c r="L24" s="125"/>
      <c r="M24" s="113"/>
      <c r="N24" s="216" t="s">
        <v>53</v>
      </c>
      <c r="O24" s="215"/>
      <c r="P24" s="164">
        <v>26</v>
      </c>
      <c r="Q24" s="142"/>
      <c r="R24" s="113"/>
      <c r="S24" s="113"/>
      <c r="T24" s="113"/>
      <c r="U24" s="113"/>
      <c r="V24" s="113"/>
    </row>
    <row r="25" spans="3:22" ht="16.5" customHeight="1" thickBot="1">
      <c r="C25" s="148" t="str">
        <f t="shared" si="8"/>
        <v>-</v>
      </c>
      <c r="D25" s="147"/>
      <c r="E25" s="148" t="str">
        <f t="shared" si="9"/>
        <v>제로페이</v>
      </c>
      <c r="F25" s="149"/>
      <c r="G25" s="118"/>
      <c r="H25" s="148" t="str">
        <f t="shared" si="10"/>
        <v>-</v>
      </c>
      <c r="I25" s="147"/>
      <c r="J25" s="148" t="str">
        <f t="shared" si="11"/>
        <v>제로페이</v>
      </c>
      <c r="K25" s="149"/>
      <c r="L25" s="125"/>
      <c r="M25" s="113"/>
      <c r="N25" s="217" t="s">
        <v>40</v>
      </c>
      <c r="O25" s="218"/>
      <c r="P25" s="165">
        <f>+P26-SUM(P19:P24)</f>
        <v>114</v>
      </c>
      <c r="Q25" s="166"/>
      <c r="R25" s="113"/>
      <c r="S25" s="113"/>
      <c r="T25" s="113"/>
      <c r="U25" s="113"/>
      <c r="V25" s="113"/>
    </row>
    <row r="26" spans="3:22" ht="16.5" customHeight="1" thickBot="1">
      <c r="C26" s="117" t="str">
        <f t="shared" si="8"/>
        <v>합계</v>
      </c>
      <c r="D26" s="150">
        <f>SUM((D17-D18-D19-D20-D21-D22)*$E$1+D24)</f>
        <v>0</v>
      </c>
      <c r="E26" s="117" t="str">
        <f>+'(1)'!E26</f>
        <v>합계</v>
      </c>
      <c r="F26" s="151">
        <f>SUM(F17:F25)</f>
        <v>0</v>
      </c>
      <c r="G26" s="152"/>
      <c r="H26" s="117" t="str">
        <f t="shared" ref="H26" si="13">+C26</f>
        <v>합계</v>
      </c>
      <c r="I26" s="150">
        <f>SUM((I17-I18-I19-I20-I21-I22)*$E$1+I24)</f>
        <v>0</v>
      </c>
      <c r="J26" s="117" t="str">
        <f t="shared" ref="J26" si="14">+E26</f>
        <v>합계</v>
      </c>
      <c r="K26" s="151">
        <f>IF(K21=0,0,SUM(K17:K25)-F21)</f>
        <v>0</v>
      </c>
      <c r="L26" s="125"/>
      <c r="M26" s="113"/>
      <c r="N26" s="211" t="s">
        <v>41</v>
      </c>
      <c r="O26" s="213"/>
      <c r="P26" s="167">
        <v>309</v>
      </c>
      <c r="Q26" s="159">
        <f>SUM(Q19:Q25)</f>
        <v>145000</v>
      </c>
      <c r="R26" s="113"/>
      <c r="S26" s="113"/>
      <c r="T26" s="113"/>
      <c r="U26" s="113"/>
      <c r="V26" s="113"/>
    </row>
    <row r="27" spans="3:22" ht="16.5" customHeight="1" thickBot="1">
      <c r="C27" s="118"/>
      <c r="D27" s="118"/>
      <c r="E27" s="118"/>
      <c r="F27" s="157">
        <f>SUM(F26-D26)</f>
        <v>0</v>
      </c>
      <c r="G27" s="118"/>
      <c r="H27" s="118"/>
      <c r="I27" s="118"/>
      <c r="J27" s="118"/>
      <c r="K27" s="157">
        <f>SUM(K26-I26)</f>
        <v>0</v>
      </c>
      <c r="L27" s="125"/>
      <c r="M27" s="113"/>
      <c r="N27" s="113"/>
      <c r="O27" s="113"/>
      <c r="P27" s="113"/>
      <c r="Q27" s="113"/>
      <c r="R27" s="113"/>
      <c r="S27" s="113"/>
      <c r="T27" s="113"/>
      <c r="U27" s="113"/>
      <c r="V27" s="113"/>
    </row>
    <row r="28" spans="3:22" ht="27.75" customHeight="1">
      <c r="C28" s="120"/>
      <c r="D28" s="120"/>
      <c r="E28" s="120"/>
      <c r="F28" s="120"/>
      <c r="G28" s="120"/>
      <c r="H28" s="120"/>
      <c r="I28" s="120"/>
      <c r="J28" s="120"/>
      <c r="K28" s="120"/>
      <c r="L28" s="113"/>
      <c r="M28" s="113"/>
      <c r="N28" s="203" t="s">
        <v>55</v>
      </c>
      <c r="O28" s="168" t="s">
        <v>56</v>
      </c>
      <c r="P28" s="168" t="s">
        <v>57</v>
      </c>
      <c r="Q28" s="169" t="s">
        <v>58</v>
      </c>
      <c r="R28" s="113"/>
      <c r="S28" s="113"/>
      <c r="T28" s="113"/>
      <c r="U28" s="113"/>
      <c r="V28" s="113"/>
    </row>
    <row r="29" spans="3:22" ht="27.75" customHeight="1" thickBot="1">
      <c r="C29" s="170"/>
      <c r="D29" s="170"/>
      <c r="E29" s="170"/>
      <c r="F29" s="170"/>
      <c r="G29" s="120"/>
      <c r="H29" s="170"/>
      <c r="I29" s="170"/>
      <c r="J29" s="170"/>
      <c r="K29" s="170"/>
      <c r="L29" s="113"/>
      <c r="M29" s="113"/>
      <c r="N29" s="204"/>
      <c r="O29" s="171">
        <v>13382</v>
      </c>
      <c r="P29" s="172">
        <v>13416</v>
      </c>
      <c r="Q29" s="173">
        <f>P29-O29</f>
        <v>34</v>
      </c>
      <c r="R29" s="113"/>
      <c r="S29" s="113"/>
      <c r="T29" s="113"/>
      <c r="U29" s="113"/>
      <c r="V29" s="113"/>
    </row>
    <row r="30" spans="3:22" ht="27.75" customHeight="1">
      <c r="C30" s="170"/>
      <c r="D30" s="120"/>
      <c r="E30" s="170"/>
      <c r="F30" s="174"/>
      <c r="G30" s="120"/>
      <c r="H30" s="170"/>
      <c r="I30" s="120"/>
      <c r="J30" s="170"/>
      <c r="K30" s="174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</row>
    <row r="31" spans="3:22" ht="27.75" customHeight="1">
      <c r="C31" s="170"/>
      <c r="D31" s="120"/>
      <c r="E31" s="170"/>
      <c r="F31" s="174"/>
      <c r="G31" s="120"/>
      <c r="H31" s="170"/>
      <c r="I31" s="120"/>
      <c r="J31" s="170"/>
      <c r="K31" s="174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3:22" ht="27.75" customHeight="1">
      <c r="C32" s="170"/>
      <c r="D32" s="175"/>
      <c r="E32" s="170"/>
      <c r="F32" s="174"/>
      <c r="G32" s="120"/>
      <c r="H32" s="170"/>
      <c r="I32" s="175"/>
      <c r="J32" s="170"/>
      <c r="K32" s="174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</row>
    <row r="33" spans="3:22" ht="27.75" customHeight="1">
      <c r="C33" s="170"/>
      <c r="D33" s="175"/>
      <c r="E33" s="170"/>
      <c r="F33" s="174"/>
      <c r="G33" s="120"/>
      <c r="H33" s="170"/>
      <c r="I33" s="175"/>
      <c r="J33" s="170"/>
      <c r="K33" s="174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</row>
    <row r="34" spans="3:22" ht="27.75" customHeight="1">
      <c r="C34" s="170"/>
      <c r="D34" s="175"/>
      <c r="E34" s="170"/>
      <c r="F34" s="174"/>
      <c r="G34" s="120"/>
      <c r="H34" s="170"/>
      <c r="I34" s="175"/>
      <c r="J34" s="170"/>
      <c r="K34" s="174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</row>
    <row r="35" spans="3:22" ht="27.75" customHeight="1">
      <c r="C35" s="170"/>
      <c r="D35" s="175"/>
      <c r="E35" s="170"/>
      <c r="F35" s="174"/>
      <c r="G35" s="120"/>
      <c r="H35" s="170"/>
      <c r="I35" s="175"/>
      <c r="J35" s="170"/>
      <c r="K35" s="174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</row>
    <row r="36" spans="3:22" ht="27.75" customHeight="1">
      <c r="C36" s="170"/>
      <c r="D36" s="175"/>
      <c r="E36" s="170"/>
      <c r="F36" s="174"/>
      <c r="G36" s="120"/>
      <c r="H36" s="170"/>
      <c r="I36" s="175"/>
      <c r="J36" s="170"/>
      <c r="K36" s="174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</row>
    <row r="37" spans="3:22" ht="27.75" customHeight="1">
      <c r="C37" s="170"/>
      <c r="D37" s="120"/>
      <c r="E37" s="170"/>
      <c r="F37" s="174"/>
      <c r="G37" s="120"/>
      <c r="H37" s="170"/>
      <c r="I37" s="120"/>
      <c r="J37" s="170"/>
      <c r="K37" s="174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</row>
    <row r="38" spans="3:22" ht="27.75" customHeight="1">
      <c r="C38" s="176"/>
      <c r="D38" s="177"/>
      <c r="E38" s="176"/>
      <c r="F38" s="178"/>
      <c r="G38" s="177"/>
      <c r="H38" s="176"/>
      <c r="I38" s="177"/>
      <c r="J38" s="176"/>
      <c r="K38" s="178"/>
    </row>
    <row r="39" spans="3:22" ht="27.75" customHeight="1">
      <c r="C39" s="176"/>
      <c r="D39" s="177"/>
      <c r="E39" s="176"/>
      <c r="F39" s="178"/>
      <c r="G39" s="177"/>
      <c r="H39" s="176"/>
      <c r="I39" s="177"/>
      <c r="J39" s="176"/>
      <c r="K39" s="178"/>
    </row>
    <row r="40" spans="3:22" ht="27.75" customHeight="1">
      <c r="F40" s="179"/>
      <c r="K40" s="179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2022-05-01T23:59:54Z</dcterms:modified>
</cp:coreProperties>
</file>