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5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Q24" i="150" l="1"/>
  <c r="Q24" i="1" l="1"/>
  <c r="P25" i="159" l="1"/>
  <c r="Q23" i="159"/>
  <c r="Q22" i="159"/>
  <c r="Q20" i="159"/>
  <c r="Q19" i="159"/>
  <c r="P25" i="158"/>
  <c r="Q23" i="158"/>
  <c r="Q22" i="158"/>
  <c r="Q20" i="158"/>
  <c r="Q19" i="158"/>
  <c r="P25" i="157"/>
  <c r="Q23" i="157"/>
  <c r="Q22" i="157"/>
  <c r="Q21" i="157"/>
  <c r="Q26" i="157" s="1"/>
  <c r="Q20" i="157"/>
  <c r="Q19" i="157"/>
  <c r="P25" i="156"/>
  <c r="Q23" i="156"/>
  <c r="Q22" i="156"/>
  <c r="Q20" i="156"/>
  <c r="Q19" i="156"/>
  <c r="P25" i="155"/>
  <c r="Q23" i="155"/>
  <c r="Q22" i="155"/>
  <c r="Q20" i="155"/>
  <c r="Q19" i="155"/>
  <c r="P25" i="154"/>
  <c r="Q23" i="154"/>
  <c r="Q22" i="154"/>
  <c r="Q20" i="154"/>
  <c r="Q19" i="154"/>
  <c r="P25" i="153"/>
  <c r="Q23" i="153"/>
  <c r="Q22" i="153"/>
  <c r="Q20" i="153"/>
  <c r="Q19" i="153"/>
  <c r="P25" i="152"/>
  <c r="Q23" i="152"/>
  <c r="Q22" i="152"/>
  <c r="Q20" i="152"/>
  <c r="Q19" i="152"/>
  <c r="P25" i="151"/>
  <c r="Q23" i="151"/>
  <c r="Q22" i="151"/>
  <c r="Q20" i="151"/>
  <c r="Q19" i="151"/>
  <c r="P25" i="150"/>
  <c r="Q23" i="150"/>
  <c r="Q22" i="150"/>
  <c r="Q20" i="150"/>
  <c r="Q19" i="150"/>
  <c r="P25" i="149"/>
  <c r="Q23" i="149"/>
  <c r="Q22" i="149"/>
  <c r="Q20" i="149"/>
  <c r="Q19" i="149"/>
  <c r="P25" i="148"/>
  <c r="Q23" i="148"/>
  <c r="Q22" i="148"/>
  <c r="Q20" i="148"/>
  <c r="Q19" i="148"/>
  <c r="P25" i="147"/>
  <c r="Q23" i="147"/>
  <c r="Q22" i="147"/>
  <c r="Q20" i="147"/>
  <c r="Q19" i="147"/>
  <c r="P25" i="146"/>
  <c r="Q23" i="146"/>
  <c r="Q22" i="146"/>
  <c r="Q20" i="146"/>
  <c r="Q19" i="146"/>
  <c r="P25" i="145"/>
  <c r="Q23" i="145"/>
  <c r="Q22" i="145"/>
  <c r="Q20" i="145"/>
  <c r="Q19" i="145"/>
  <c r="P25" i="144"/>
  <c r="Q23" i="144"/>
  <c r="Q22" i="144"/>
  <c r="Q20" i="144"/>
  <c r="Q19" i="144"/>
  <c r="P25" i="143"/>
  <c r="Q23" i="143"/>
  <c r="Q22" i="143"/>
  <c r="Q20" i="143"/>
  <c r="Q19" i="143"/>
  <c r="P25" i="142"/>
  <c r="Q23" i="142"/>
  <c r="Q22" i="142"/>
  <c r="Q20" i="142"/>
  <c r="Q19" i="142"/>
  <c r="P25" i="141"/>
  <c r="Q23" i="141"/>
  <c r="Q22" i="141"/>
  <c r="Q20" i="141"/>
  <c r="Q19" i="141"/>
  <c r="P25" i="140"/>
  <c r="Q23" i="140"/>
  <c r="Q22" i="140"/>
  <c r="Q20" i="140"/>
  <c r="Q19" i="140"/>
  <c r="P25" i="139"/>
  <c r="Q23" i="139"/>
  <c r="Q22" i="139"/>
  <c r="Q20" i="139"/>
  <c r="Q19" i="139"/>
  <c r="P25" i="138"/>
  <c r="Q23" i="138"/>
  <c r="Q22" i="138"/>
  <c r="Q20" i="138"/>
  <c r="Q19" i="138"/>
  <c r="P25" i="137"/>
  <c r="Q23" i="137"/>
  <c r="Q22" i="137"/>
  <c r="Q20" i="137"/>
  <c r="Q19" i="137"/>
  <c r="P25" i="136"/>
  <c r="Q23" i="136"/>
  <c r="Q22" i="136"/>
  <c r="Q20" i="136"/>
  <c r="Q19" i="136"/>
  <c r="P25" i="135"/>
  <c r="Q23" i="135"/>
  <c r="Q22" i="135"/>
  <c r="Q20" i="135"/>
  <c r="Q19" i="135"/>
  <c r="P25" i="134"/>
  <c r="Q23" i="134"/>
  <c r="Q22" i="134"/>
  <c r="Q20" i="134"/>
  <c r="Q19" i="134"/>
  <c r="P25" i="133"/>
  <c r="Q23" i="133"/>
  <c r="Q22" i="133"/>
  <c r="Q20" i="133"/>
  <c r="Q19" i="133"/>
  <c r="P25" i="132"/>
  <c r="Q23" i="132"/>
  <c r="Q22" i="132"/>
  <c r="Q20" i="132"/>
  <c r="Q19" i="132"/>
  <c r="P25" i="131"/>
  <c r="Q23" i="131"/>
  <c r="Q22" i="131"/>
  <c r="Q20" i="131"/>
  <c r="Q19" i="131"/>
  <c r="P25" i="13"/>
  <c r="Q23" i="13"/>
  <c r="Q22" i="13"/>
  <c r="Q20" i="13"/>
  <c r="Q19" i="13"/>
  <c r="Q23" i="1"/>
  <c r="Q26" i="159" l="1"/>
  <c r="Q26" i="158"/>
  <c r="Q26" i="156"/>
  <c r="Q26" i="155"/>
  <c r="Q26" i="154"/>
  <c r="Q26" i="153"/>
  <c r="Q26" i="152"/>
  <c r="Q26" i="151"/>
  <c r="Q26" i="150"/>
  <c r="Q26" i="149"/>
  <c r="Q26" i="148"/>
  <c r="Q26" i="147"/>
  <c r="Q26" i="146"/>
  <c r="Q26" i="145"/>
  <c r="Q26" i="144"/>
  <c r="Q26" i="143"/>
  <c r="Q26" i="142"/>
  <c r="Q26" i="141"/>
  <c r="Q26" i="140"/>
  <c r="Q26" i="139"/>
  <c r="Q26" i="138"/>
  <c r="Q26" i="137"/>
  <c r="Q26" i="136"/>
  <c r="Q26" i="135"/>
  <c r="Q26" i="134"/>
  <c r="Q26" i="133"/>
  <c r="Q26" i="132"/>
  <c r="Q26" i="131"/>
  <c r="Q26" i="13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I11" i="159"/>
  <c r="D11" i="159"/>
  <c r="I24" i="158"/>
  <c r="H24" i="158"/>
  <c r="E24" i="158"/>
  <c r="D24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I11" i="139"/>
  <c r="D11" i="139"/>
  <c r="I24" i="138"/>
  <c r="H24" i="138"/>
  <c r="E24" i="138"/>
  <c r="D24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O12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J20" i="13"/>
  <c r="H20" i="13"/>
  <c r="E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J20" i="131"/>
  <c r="H20" i="131"/>
  <c r="E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J20" i="132"/>
  <c r="H20" i="132"/>
  <c r="E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J20" i="133"/>
  <c r="H20" i="133"/>
  <c r="E20" i="133"/>
  <c r="C20" i="133"/>
  <c r="J19" i="133"/>
  <c r="H19" i="133"/>
  <c r="E19" i="133"/>
  <c r="C19" i="133"/>
  <c r="J18" i="133"/>
  <c r="H18" i="133"/>
  <c r="E18" i="133"/>
  <c r="C18" i="133"/>
  <c r="J17" i="133"/>
  <c r="H17" i="133"/>
  <c r="E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J20" i="134"/>
  <c r="H20" i="134"/>
  <c r="E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J20" i="135"/>
  <c r="H20" i="135"/>
  <c r="E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J20" i="136"/>
  <c r="H20" i="136"/>
  <c r="E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J20" i="137"/>
  <c r="H20" i="137"/>
  <c r="E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J20" i="138"/>
  <c r="H20" i="138"/>
  <c r="E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J20" i="139"/>
  <c r="H20" i="139"/>
  <c r="E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J20" i="140"/>
  <c r="H20" i="140"/>
  <c r="E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J20" i="141"/>
  <c r="H20" i="141"/>
  <c r="E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J20" i="142"/>
  <c r="H20" i="142"/>
  <c r="E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J20" i="143"/>
  <c r="H20" i="143"/>
  <c r="E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J20" i="144"/>
  <c r="H20" i="144"/>
  <c r="E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J20" i="145"/>
  <c r="H20" i="145"/>
  <c r="E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J20" i="146"/>
  <c r="H20" i="146"/>
  <c r="E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J20" i="147"/>
  <c r="H20" i="147"/>
  <c r="E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J20" i="148"/>
  <c r="H20" i="148"/>
  <c r="E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J20" i="149"/>
  <c r="H20" i="149"/>
  <c r="E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J20" i="150"/>
  <c r="H20" i="150"/>
  <c r="E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J20" i="151"/>
  <c r="H20" i="151"/>
  <c r="E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J20" i="152"/>
  <c r="H20" i="152"/>
  <c r="E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J20" i="153"/>
  <c r="H20" i="153"/>
  <c r="E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J20" i="154"/>
  <c r="H20" i="154"/>
  <c r="E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J20" i="155"/>
  <c r="H20" i="155"/>
  <c r="E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J20" i="156"/>
  <c r="H20" i="156"/>
  <c r="E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J20" i="157"/>
  <c r="H20" i="157"/>
  <c r="E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J20" i="158"/>
  <c r="H20" i="158"/>
  <c r="E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I13" i="131"/>
  <c r="K14" i="131" s="1"/>
  <c r="D26" i="131"/>
  <c r="F27" i="131" s="1"/>
  <c r="I26" i="131"/>
  <c r="K27" i="131" s="1"/>
  <c r="I13" i="13"/>
  <c r="K14" i="13" s="1"/>
  <c r="I26" i="13"/>
  <c r="K27" i="13" s="1"/>
  <c r="D26" i="132"/>
  <c r="F27" i="132" s="1"/>
  <c r="D26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O12" i="159" s="1"/>
  <c r="Q10" i="159"/>
  <c r="Q9" i="159"/>
  <c r="O9" i="159"/>
  <c r="N9" i="159"/>
  <c r="Q8" i="159"/>
  <c r="O8" i="159"/>
  <c r="Q7" i="159"/>
  <c r="O7" i="159"/>
  <c r="N7" i="159"/>
  <c r="Q6" i="159"/>
  <c r="O6" i="159"/>
  <c r="Q5" i="159"/>
  <c r="O5" i="159"/>
  <c r="N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O12" i="138" s="1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J7" i="137" s="1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J7" i="131" s="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P8" i="13"/>
  <c r="J12" i="13"/>
  <c r="E12" i="13"/>
  <c r="E11" i="13"/>
  <c r="E10" i="13"/>
  <c r="E9" i="13"/>
  <c r="P10" i="13" s="1"/>
  <c r="E8" i="13"/>
  <c r="P9" i="13" s="1"/>
  <c r="E7" i="13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9" l="1"/>
  <c r="Q14" i="156"/>
  <c r="Q14" i="146"/>
  <c r="O14" i="132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P25" i="1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<sst xmlns="http://schemas.openxmlformats.org/spreadsheetml/2006/main" count="871" uniqueCount="62">
  <si>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</si>
  <si>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</si>
  <si>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</si>
  <si>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</si>
  <si>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</si>
  <si>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</si>
  <si>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</si>
  <si>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</si>
  <si>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</si>
  <si>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</si>
  <si>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</si>
  <si>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09:00~09:01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</si>
  <si>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</si>
  <si>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</si>
  <si>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</si>
  <si>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</si>
  <si>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</si>
  <si>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</si>
  <si>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</si>
  <si>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</si>
  <si>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</si>
  <si>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</si>
  <si>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</si>
  <si>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</si>
  <si>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</si>
  <si>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</si>
  <si>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</si>
  <si>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</si>
  <si>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</si>
  <si>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</si>
  <si>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</si>
  <si>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</si>
  <si>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</si>
  <si>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</si>
  <si>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</si>
  <si>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</si>
  <si>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</si>
  <si>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</si>
  <si>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</si>
  <si>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</si>
  <si>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</si>
  <si>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</si>
  <si>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</si>
  <si>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</si>
  <si>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</si>
  <si>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</si>
  <si>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</si>
  <si>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</si>
  <si>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</si>
  <si>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</si>
  <si>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</si>
  <si>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</si>
  <si>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</si>
  <si>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</si>
  <si>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</si>
  <si>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</si>
  <si>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</si>
  <si>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</si>
  <si>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</si>
  <si>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양     화</t>
    <phoneticPr fontId="1" type="noConversion"/>
  </si>
  <si>
    <t>제로페이</t>
    <phoneticPr fontId="1" type="noConversion"/>
  </si>
  <si>
    <t>09:00~24:00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</si>
</sst>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F20" sqref="F20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9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9" style="27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9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2022</v>
      </c>
      <c r="D1" s="24" t="str">
        <f>IF(C1&lt;2000,"◀  년 입력","년")</f>
        <v>년</v>
      </c>
      <c r="E1" s="25">
        <v>5</v>
      </c>
      <c r="F1" s="24" t="str">
        <f>IF(E1&lt;1,"◀  월 입력","월")</f>
        <v>월</v>
      </c>
      <c r="G1" s="25"/>
      <c r="H1" s="26" t="s">
        <v>12</v>
      </c>
      <c r="I1" s="25">
        <v>1197</v>
      </c>
      <c r="J1" s="24" t="str">
        <f>IF(I1&lt;100,"◀  단가입력","원")</f>
        <v>원</v>
      </c>
      <c r="L1" s="28">
        <f>+ROUND(+O5*0.584/1000,3)</f>
        <v>11.726000000000001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11.726000000000001</v>
      </c>
      <c r="M2" s="27" t="s">
        <v>7</v>
      </c>
      <c r="N2" s="114" t="s">
        <v>13</v>
      </c>
      <c r="O2" s="114"/>
      <c r="P2" s="114"/>
      <c r="Q2" s="114"/>
    </row>
    <row r="3" spans="3:25" ht="16.5" customHeight="1" thickBot="1">
      <c r="C3" s="29" t="s">
        <v>14</v>
      </c>
      <c r="D3" s="29" t="s">
        <v>15</v>
      </c>
      <c r="E3" s="29" t="s">
        <v>14</v>
      </c>
      <c r="F3" s="30" t="s">
        <v>15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0</v>
      </c>
      <c r="M3" s="27" t="s">
        <v>10</v>
      </c>
      <c r="N3" s="32"/>
      <c r="O3" s="32"/>
      <c r="P3" s="113" t="str">
        <f>+'(1)'!$C$1&amp;"년"&amp;'(1)'!$E$1&amp;"월"&amp;$G$1&amp;"일"</f>
        <v>2022년5월일</v>
      </c>
      <c r="Q3" s="113"/>
      <c r="R3" s="33"/>
    </row>
    <row r="4" spans="3:25" ht="16.5" customHeight="1" thickBot="1">
      <c r="C4" s="34" t="s">
        <v>16</v>
      </c>
      <c r="D4" s="35">
        <v>6206.3109999999997</v>
      </c>
      <c r="E4" s="34" t="s">
        <v>17</v>
      </c>
      <c r="F4" s="36"/>
      <c r="H4" s="97" t="str">
        <f>+C4</f>
        <v>판매량</v>
      </c>
      <c r="I4" s="35">
        <v>8559.5409999999993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36985</v>
      </c>
      <c r="S4" s="41" t="s">
        <v>18</v>
      </c>
    </row>
    <row r="5" spans="3:25" ht="16.5" customHeight="1">
      <c r="C5" s="42" t="s">
        <v>19</v>
      </c>
      <c r="D5" s="43"/>
      <c r="E5" s="42" t="s">
        <v>20</v>
      </c>
      <c r="F5" s="44">
        <v>140000</v>
      </c>
      <c r="H5" s="98" t="str">
        <f>+C5</f>
        <v>법인전표</v>
      </c>
      <c r="I5" s="43"/>
      <c r="J5" s="42" t="str">
        <f>+E5</f>
        <v>고액권</v>
      </c>
      <c r="K5" s="44">
        <v>415000</v>
      </c>
      <c r="M5" s="38"/>
      <c r="N5" s="45" t="str">
        <f>+C4</f>
        <v>판매량</v>
      </c>
      <c r="O5" s="46">
        <f>SUM(D4+I4+D17+I17+D35+I35)</f>
        <v>20077.93</v>
      </c>
      <c r="P5" s="47" t="str">
        <f>+E4</f>
        <v>입금액</v>
      </c>
      <c r="Q5" s="48">
        <f>SUM(F4+K4+F17+K17+F35+K35)</f>
        <v>0</v>
      </c>
      <c r="R5" s="49">
        <v>21</v>
      </c>
      <c r="S5" s="41" t="s">
        <v>21</v>
      </c>
    </row>
    <row r="6" spans="3:25" ht="16.5" customHeight="1">
      <c r="C6" s="42" t="s">
        <v>22</v>
      </c>
      <c r="D6" s="50"/>
      <c r="E6" s="42" t="s">
        <v>23</v>
      </c>
      <c r="F6" s="44">
        <v>1000</v>
      </c>
      <c r="H6" s="98" t="str">
        <f t="shared" ref="H6:H13" si="2">+C6</f>
        <v>외상전표</v>
      </c>
      <c r="I6" s="50">
        <v>19.946000000000002</v>
      </c>
      <c r="J6" s="42" t="str">
        <f t="shared" ref="J6:J13" si="3">+E6</f>
        <v>천원권</v>
      </c>
      <c r="K6" s="44">
        <v>4000</v>
      </c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930000</v>
      </c>
      <c r="R6" s="49">
        <v>1.5</v>
      </c>
      <c r="S6" s="41" t="s">
        <v>24</v>
      </c>
    </row>
    <row r="7" spans="3:25" ht="16.5" customHeight="1">
      <c r="C7" s="42" t="s">
        <v>25</v>
      </c>
      <c r="D7" s="50"/>
      <c r="E7" s="42" t="s">
        <v>26</v>
      </c>
      <c r="F7" s="44"/>
      <c r="H7" s="98" t="str">
        <f t="shared" si="2"/>
        <v>효신(업)</v>
      </c>
      <c r="I7" s="50"/>
      <c r="J7" s="42" t="str">
        <f t="shared" si="3"/>
        <v>동전</v>
      </c>
      <c r="K7" s="44"/>
      <c r="M7" s="38"/>
      <c r="N7" s="51" t="str">
        <f t="shared" ref="N7:N14" si="4">+C6</f>
        <v>외상전표</v>
      </c>
      <c r="O7" s="54">
        <f>SUM(D6+I6+D19+I19+D37+I37)</f>
        <v>19.946000000000002</v>
      </c>
      <c r="P7" s="51" t="str">
        <f t="shared" ref="P7:P14" si="5">+E6</f>
        <v>천원권</v>
      </c>
      <c r="Q7" s="53">
        <f>SUM(F6+K6+F19+K19+F37+K37)</f>
        <v>10000</v>
      </c>
      <c r="R7" s="40" t="s">
        <v>50</v>
      </c>
      <c r="S7" s="41" t="s">
        <v>6</v>
      </c>
    </row>
    <row r="8" spans="3:25" ht="16.5" customHeight="1">
      <c r="C8" s="42" t="s">
        <v>27</v>
      </c>
      <c r="D8" s="50"/>
      <c r="E8" s="42" t="s">
        <v>28</v>
      </c>
      <c r="F8" s="44">
        <v>7282532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17059251</v>
      </c>
      <c r="M8" s="38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0"/>
    </row>
    <row r="9" spans="3:25" ht="16.5" customHeight="1">
      <c r="C9" s="42" t="s">
        <v>47</v>
      </c>
      <c r="D9" s="50"/>
      <c r="E9" s="42" t="s">
        <v>29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22970351</v>
      </c>
      <c r="R9" s="40"/>
    </row>
    <row r="10" spans="3:25" ht="16.5" customHeight="1">
      <c r="C10" s="42" t="s">
        <v>52</v>
      </c>
      <c r="D10" s="50"/>
      <c r="E10" s="42" t="s">
        <v>48</v>
      </c>
      <c r="F10" s="44"/>
      <c r="H10" s="98" t="str">
        <f t="shared" si="2"/>
        <v>고객우대</v>
      </c>
      <c r="I10" s="50">
        <v>60.238</v>
      </c>
      <c r="J10" s="42" t="str">
        <f t="shared" si="3"/>
        <v>OK케시백</v>
      </c>
      <c r="K10" s="44">
        <v>18521</v>
      </c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3:25" ht="16.5" customHeight="1">
      <c r="C11" s="42" t="s">
        <v>47</v>
      </c>
      <c r="D11" s="55">
        <f>SUM(D10*-35)</f>
        <v>0</v>
      </c>
      <c r="E11" s="42" t="s">
        <v>32</v>
      </c>
      <c r="F11" s="44">
        <v>5000</v>
      </c>
      <c r="H11" s="98" t="str">
        <f t="shared" si="2"/>
        <v>-</v>
      </c>
      <c r="I11" s="55">
        <f>SUM(I10*-35)</f>
        <v>-2108.33</v>
      </c>
      <c r="J11" s="42" t="str">
        <f t="shared" si="3"/>
        <v>모바일</v>
      </c>
      <c r="K11" s="44">
        <v>8000</v>
      </c>
      <c r="M11" s="38"/>
      <c r="N11" s="51" t="str">
        <f t="shared" si="4"/>
        <v>고객우대</v>
      </c>
      <c r="O11" s="54">
        <f>SUM(D10+I10+D23+I23+D41+I41)</f>
        <v>119.864</v>
      </c>
      <c r="P11" s="51" t="str">
        <f t="shared" si="5"/>
        <v>OK케시백</v>
      </c>
      <c r="Q11" s="53">
        <f>SUM(F10+K10+F23+K23+F41+K41)</f>
        <v>21521</v>
      </c>
      <c r="R11" s="49"/>
    </row>
    <row r="12" spans="3:25" ht="16.5" customHeight="1" thickBot="1">
      <c r="C12" s="56" t="s">
        <v>47</v>
      </c>
      <c r="D12" s="57"/>
      <c r="E12" s="56" t="s">
        <v>60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/>
      <c r="M12" s="38"/>
      <c r="N12" s="51" t="str">
        <f t="shared" si="4"/>
        <v>-</v>
      </c>
      <c r="O12" s="52">
        <f>SUM(O11*-35)</f>
        <v>-4195.24</v>
      </c>
      <c r="P12" s="51" t="str">
        <f t="shared" si="5"/>
        <v>모바일</v>
      </c>
      <c r="Q12" s="53">
        <f>SUM(F11+K11+F24+K24+F42+K42)</f>
        <v>13000</v>
      </c>
      <c r="R12" s="40"/>
    </row>
    <row r="13" spans="3:25" ht="16.5" customHeight="1" thickBot="1">
      <c r="C13" s="59" t="s">
        <v>34</v>
      </c>
      <c r="D13" s="60">
        <f>SUM((D4-D5-D6-D7-D8-D9)*$I$1+D11)</f>
        <v>7428954.267</v>
      </c>
      <c r="E13" s="59" t="s">
        <v>34</v>
      </c>
      <c r="F13" s="61">
        <f>SUM(F4:F12)</f>
        <v>7428532</v>
      </c>
      <c r="G13" s="62"/>
      <c r="H13" s="96" t="str">
        <f t="shared" si="2"/>
        <v>합계</v>
      </c>
      <c r="I13" s="60">
        <f>SUM((I4-I5-I6-I7-I8-I9)*$I$1+I11)</f>
        <v>10219786.885</v>
      </c>
      <c r="J13" s="29" t="str">
        <f t="shared" si="3"/>
        <v>합계</v>
      </c>
      <c r="K13" s="61">
        <f>IF(K8=0,0,SUM(K4:K12)-F8)</f>
        <v>10222240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62356</v>
      </c>
      <c r="R13" s="40"/>
      <c r="Y13" s="66"/>
    </row>
    <row r="14" spans="3:25" ht="16.5" customHeight="1" thickBot="1">
      <c r="C14" s="37"/>
      <c r="F14" s="67">
        <f>SUM(F13-D13)</f>
        <v>-422.26699999999255</v>
      </c>
      <c r="K14" s="67">
        <f>SUM(K13-I13)</f>
        <v>2453.1150000002235</v>
      </c>
      <c r="N14" s="39" t="str">
        <f t="shared" si="4"/>
        <v>합계</v>
      </c>
      <c r="O14" s="68">
        <f>SUM((O5-O6-O7-O8-O9-O10)*+$I$1+O12)</f>
        <v>24005211.608000003</v>
      </c>
      <c r="P14" s="39" t="str">
        <f t="shared" si="5"/>
        <v>합계</v>
      </c>
      <c r="Q14" s="69">
        <f>SUM(Q5:Q13)</f>
        <v>24007228</v>
      </c>
    </row>
    <row r="15" spans="3:25" ht="16.5" customHeight="1" thickBot="1">
      <c r="C15" s="27">
        <v>3</v>
      </c>
      <c r="H15" s="27">
        <v>4</v>
      </c>
      <c r="Q15" s="70">
        <f>SUM(F14+K14+F27+K27)</f>
        <v>2016.3919999999925</v>
      </c>
    </row>
    <row r="16" spans="3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5312.0780000000004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고액권</v>
      </c>
      <c r="F18" s="44">
        <v>375000</v>
      </c>
      <c r="H18" s="98" t="str">
        <f>+C5</f>
        <v>법인전표</v>
      </c>
      <c r="I18" s="43"/>
      <c r="J18" s="42" t="str">
        <f>+E5</f>
        <v>고액권</v>
      </c>
      <c r="K18" s="44"/>
      <c r="N18" s="111" t="s">
        <v>35</v>
      </c>
      <c r="O18" s="124"/>
      <c r="P18" s="71" t="s">
        <v>36</v>
      </c>
      <c r="Q18" s="72" t="s">
        <v>37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/>
      <c r="E19" s="42" t="str">
        <f t="shared" ref="E19:E26" si="8">+E6</f>
        <v>천원권</v>
      </c>
      <c r="F19" s="44">
        <v>5000</v>
      </c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15" t="s">
        <v>38</v>
      </c>
      <c r="O19" s="116"/>
      <c r="P19" s="73">
        <v>9</v>
      </c>
      <c r="Q19" s="48">
        <f>SUM(P19*1000)</f>
        <v>9000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42" t="str">
        <f t="shared" si="8"/>
        <v>동전</v>
      </c>
      <c r="F20" s="44"/>
      <c r="H20" s="98" t="str">
        <f t="shared" si="9"/>
        <v>효신(업)</v>
      </c>
      <c r="I20" s="50"/>
      <c r="J20" s="42" t="str">
        <f t="shared" si="10"/>
        <v>동전</v>
      </c>
      <c r="K20" s="44"/>
      <c r="N20" s="121" t="s">
        <v>39</v>
      </c>
      <c r="O20" s="122"/>
      <c r="P20" s="74">
        <v>40</v>
      </c>
      <c r="Q20" s="53">
        <f>SUM(P20*1000)</f>
        <v>40000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22970351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21" t="s">
        <v>49</v>
      </c>
      <c r="O21" s="122"/>
      <c r="P21" s="74">
        <v>4</v>
      </c>
      <c r="Q21" s="53"/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23" t="s">
        <v>54</v>
      </c>
      <c r="O22" s="118"/>
      <c r="P22" s="74">
        <v>4</v>
      </c>
      <c r="Q22" s="53">
        <f>SUM(P22*1000)</f>
        <v>4000</v>
      </c>
      <c r="R22" s="32"/>
      <c r="S22" s="32"/>
    </row>
    <row r="23" spans="3:19" ht="16.5" customHeight="1">
      <c r="C23" s="98" t="str">
        <f t="shared" si="7"/>
        <v>고객우대</v>
      </c>
      <c r="D23" s="50">
        <v>59.625999999999998</v>
      </c>
      <c r="E23" s="42" t="str">
        <f t="shared" si="8"/>
        <v>OK케시백</v>
      </c>
      <c r="F23" s="44">
        <v>3000</v>
      </c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17" t="s">
        <v>59</v>
      </c>
      <c r="O23" s="118"/>
      <c r="P23" s="74">
        <v>6</v>
      </c>
      <c r="Q23" s="53">
        <f>SUM(P23*1000)</f>
        <v>6000</v>
      </c>
      <c r="R23" s="32"/>
      <c r="S23" s="32"/>
    </row>
    <row r="24" spans="3:19" ht="16.5" customHeight="1">
      <c r="C24" s="98" t="str">
        <f t="shared" si="7"/>
        <v>-</v>
      </c>
      <c r="D24" s="55">
        <f>SUM(D23*-35)</f>
        <v>-2086.91</v>
      </c>
      <c r="E24" s="42" t="str">
        <f t="shared" si="8"/>
        <v>모바일</v>
      </c>
      <c r="F24" s="44"/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17" t="s">
        <v>53</v>
      </c>
      <c r="O24" s="118"/>
      <c r="P24" s="74">
        <v>0</v>
      </c>
      <c r="Q24" s="53">
        <f>SUM(P24*1000)</f>
        <v>0</v>
      </c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>
        <v>62356</v>
      </c>
      <c r="H25" s="99" t="str">
        <f t="shared" si="9"/>
        <v>-</v>
      </c>
      <c r="I25" s="57"/>
      <c r="J25" s="56" t="str">
        <f t="shared" si="10"/>
        <v>제로페이</v>
      </c>
      <c r="K25" s="58"/>
      <c r="N25" s="119" t="s">
        <v>40</v>
      </c>
      <c r="O25" s="120"/>
      <c r="P25" s="75">
        <f>+P26-SUM(P19:P24)</f>
        <v>108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6356470.4560000002</v>
      </c>
      <c r="E26" s="29" t="str">
        <f t="shared" si="8"/>
        <v>합계</v>
      </c>
      <c r="F26" s="61">
        <f>IF(F21=0,0,SUM(F17:F25)-K8)</f>
        <v>6356456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11" t="s">
        <v>41</v>
      </c>
      <c r="O26" s="112"/>
      <c r="P26" s="77">
        <v>171</v>
      </c>
      <c r="Q26" s="69">
        <f>SUM(Q19:Q25)</f>
        <v>59000</v>
      </c>
      <c r="R26" s="32"/>
      <c r="S26" s="32"/>
    </row>
    <row r="27" spans="3:19" ht="15.75" customHeight="1" thickBot="1">
      <c r="F27" s="67">
        <f>SUM(F26-D26)</f>
        <v>-14.456000000238419</v>
      </c>
      <c r="K27" s="67">
        <f>SUM(K26-I26)</f>
        <v>0</v>
      </c>
    </row>
    <row r="28" spans="3:19" ht="23.25" customHeight="1">
      <c r="F28" s="67"/>
      <c r="K28" s="67"/>
      <c r="N28" s="109" t="s">
        <v>55</v>
      </c>
      <c r="O28" s="104" t="s">
        <v>56</v>
      </c>
      <c r="P28" s="104" t="s">
        <v>57</v>
      </c>
      <c r="Q28" s="105" t="s">
        <v>58</v>
      </c>
    </row>
    <row r="29" spans="3:19" ht="21.75" customHeight="1" thickBot="1">
      <c r="F29" s="67"/>
      <c r="K29" s="67"/>
      <c r="N29" s="110"/>
      <c r="O29" s="106">
        <v>14092</v>
      </c>
      <c r="P29" s="107">
        <v>14122</v>
      </c>
      <c r="Q29" s="108">
        <f>P29-O29</f>
        <v>30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14</v>
      </c>
      <c r="D34" s="29" t="s">
        <v>15</v>
      </c>
      <c r="E34" s="29" t="s">
        <v>14</v>
      </c>
      <c r="F34" s="30" t="s">
        <v>15</v>
      </c>
      <c r="H34" s="29" t="s">
        <v>14</v>
      </c>
      <c r="I34" s="29" t="s">
        <v>15</v>
      </c>
      <c r="J34" s="29" t="s">
        <v>14</v>
      </c>
      <c r="K34" s="30" t="s">
        <v>15</v>
      </c>
    </row>
    <row r="35" spans="3:11" ht="21.75" customHeight="1">
      <c r="C35" s="34" t="s">
        <v>16</v>
      </c>
      <c r="D35" s="78"/>
      <c r="E35" s="34" t="s">
        <v>17</v>
      </c>
      <c r="F35" s="36"/>
      <c r="H35" s="34" t="s">
        <v>16</v>
      </c>
      <c r="I35" s="78"/>
      <c r="J35" s="34" t="s">
        <v>17</v>
      </c>
      <c r="K35" s="36"/>
    </row>
    <row r="36" spans="3:11" ht="21.75" customHeight="1">
      <c r="C36" s="42" t="s">
        <v>19</v>
      </c>
      <c r="D36" s="79"/>
      <c r="E36" s="42" t="s">
        <v>20</v>
      </c>
      <c r="F36" s="44"/>
      <c r="H36" s="42" t="s">
        <v>19</v>
      </c>
      <c r="I36" s="79"/>
      <c r="J36" s="42" t="s">
        <v>20</v>
      </c>
      <c r="K36" s="44"/>
    </row>
    <row r="37" spans="3:11" ht="21.75" customHeight="1">
      <c r="C37" s="42" t="s">
        <v>22</v>
      </c>
      <c r="D37" s="80"/>
      <c r="E37" s="42" t="s">
        <v>23</v>
      </c>
      <c r="F37" s="44"/>
      <c r="H37" s="42" t="s">
        <v>22</v>
      </c>
      <c r="I37" s="80"/>
      <c r="J37" s="42" t="s">
        <v>23</v>
      </c>
      <c r="K37" s="44"/>
    </row>
    <row r="38" spans="3:11" ht="21.75" customHeight="1">
      <c r="C38" s="42" t="s">
        <v>25</v>
      </c>
      <c r="D38" s="80"/>
      <c r="E38" s="42" t="s">
        <v>26</v>
      </c>
      <c r="F38" s="44"/>
      <c r="H38" s="42" t="s">
        <v>25</v>
      </c>
      <c r="I38" s="80"/>
      <c r="J38" s="42" t="s">
        <v>26</v>
      </c>
      <c r="K38" s="44"/>
    </row>
    <row r="39" spans="3:11" ht="21.75" customHeight="1">
      <c r="C39" s="42" t="s">
        <v>27</v>
      </c>
      <c r="D39" s="80"/>
      <c r="E39" s="42" t="s">
        <v>28</v>
      </c>
      <c r="F39" s="44"/>
      <c r="H39" s="42" t="s">
        <v>27</v>
      </c>
      <c r="I39" s="80"/>
      <c r="J39" s="42" t="s">
        <v>28</v>
      </c>
      <c r="K39" s="44"/>
    </row>
    <row r="40" spans="3:11" ht="21.75" customHeight="1">
      <c r="C40" s="42"/>
      <c r="D40" s="80"/>
      <c r="E40" s="42" t="s">
        <v>29</v>
      </c>
      <c r="F40" s="44"/>
      <c r="H40" s="42"/>
      <c r="I40" s="80"/>
      <c r="J40" s="42" t="s">
        <v>29</v>
      </c>
      <c r="K40" s="44"/>
    </row>
    <row r="41" spans="3:11" ht="21.75" customHeight="1">
      <c r="C41" s="42" t="s">
        <v>30</v>
      </c>
      <c r="D41" s="80"/>
      <c r="E41" s="42" t="s">
        <v>31</v>
      </c>
      <c r="F41" s="44"/>
      <c r="H41" s="42" t="s">
        <v>30</v>
      </c>
      <c r="I41" s="80"/>
      <c r="J41" s="42" t="s">
        <v>31</v>
      </c>
      <c r="K41" s="44"/>
    </row>
    <row r="42" spans="3:11" ht="21.75" customHeight="1">
      <c r="C42" s="42"/>
      <c r="D42" s="81">
        <f>SUM(D41*-50)</f>
        <v>0</v>
      </c>
      <c r="E42" s="42" t="s">
        <v>32</v>
      </c>
      <c r="F42" s="44"/>
      <c r="H42" s="42"/>
      <c r="I42" s="81">
        <f>SUM(I41*-50)</f>
        <v>0</v>
      </c>
      <c r="J42" s="42" t="s">
        <v>32</v>
      </c>
      <c r="K42" s="44"/>
    </row>
    <row r="43" spans="3:11" ht="21.75" customHeight="1" thickBot="1">
      <c r="C43" s="56"/>
      <c r="D43" s="82"/>
      <c r="E43" s="56" t="s">
        <v>33</v>
      </c>
      <c r="F43" s="58"/>
      <c r="H43" s="56"/>
      <c r="I43" s="82"/>
      <c r="J43" s="56" t="s">
        <v>33</v>
      </c>
      <c r="K43" s="58"/>
    </row>
    <row r="44" spans="3:11" ht="21.75" customHeight="1" thickBot="1">
      <c r="C44" s="59" t="s">
        <v>34</v>
      </c>
      <c r="D44" s="83">
        <f>SUM((D35-D36-D37-D38-D39-D40)*I1+D42)</f>
        <v>0</v>
      </c>
      <c r="E44" s="59" t="s">
        <v>34</v>
      </c>
      <c r="F44" s="61">
        <f>SUM(F35:F43)</f>
        <v>0</v>
      </c>
      <c r="G44" s="62"/>
      <c r="H44" s="59" t="s">
        <v>34</v>
      </c>
      <c r="I44" s="83">
        <f>SUM((I35-I36-I37-I38-I39-I40)*I1+I42)</f>
        <v>0</v>
      </c>
      <c r="J44" s="59" t="s">
        <v>34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1197</v>
      </c>
      <c r="F1" s="1"/>
      <c r="G1" s="1"/>
      <c r="H1" s="1"/>
      <c r="I1" s="1"/>
      <c r="J1" s="1"/>
      <c r="K1" s="1"/>
      <c r="L1" s="22">
        <f>+ROUND(+O5*0.584/1000,3)</f>
        <v>12.031000000000001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11.185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111.85000000000001</v>
      </c>
      <c r="M3" s="18" t="s">
        <v>10</v>
      </c>
      <c r="N3" s="3"/>
      <c r="O3" s="3"/>
      <c r="P3" s="126" t="str">
        <f>+'(1)'!C1&amp;"년"&amp;'(1)'!E1&amp;"월"&amp;C1&amp;"일"</f>
        <v>2022년5월10일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12737.681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7863.87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38802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200000</v>
      </c>
      <c r="L5" s="2"/>
      <c r="M5" s="20"/>
      <c r="N5" s="45" t="str">
        <f>+C4</f>
        <v>판매량</v>
      </c>
      <c r="O5" s="46">
        <f>SUM(D4+I4+D17+I17+D35+I35)</f>
        <v>20601.550999999999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426.702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450000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426.702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14412870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23611201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23611201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107.806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58.631</v>
      </c>
      <c r="J10" s="42" t="str">
        <f t="shared" si="3"/>
        <v>OK케시백</v>
      </c>
      <c r="K10" s="44">
        <v>8900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-3773.21</v>
      </c>
      <c r="E11" s="42" t="str">
        <f>+'(1)'!E11</f>
        <v>모바일</v>
      </c>
      <c r="F11" s="44">
        <v>8000</v>
      </c>
      <c r="G11" s="27"/>
      <c r="H11" s="87" t="str">
        <f t="shared" si="2"/>
        <v>-</v>
      </c>
      <c r="I11" s="55">
        <f>SUM(I10*-35)</f>
        <v>-2052.085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166.43700000000001</v>
      </c>
      <c r="P11" s="51" t="str">
        <f t="shared" si="5"/>
        <v>OK케시백</v>
      </c>
      <c r="Q11" s="53">
        <f>SUM(F10+K10+F23+K23+F41+K41)</f>
        <v>8900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60267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-5825.2950000000001</v>
      </c>
      <c r="P12" s="51" t="str">
        <f t="shared" si="5"/>
        <v>모바일</v>
      </c>
      <c r="Q12" s="53">
        <f>SUM(F11+K11+F24+K24+F42+K42)</f>
        <v>8000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14732468.653000001</v>
      </c>
      <c r="E13" s="29" t="str">
        <f>+'(1)'!E13</f>
        <v>합계</v>
      </c>
      <c r="F13" s="61">
        <f>SUM(F4:F12)</f>
        <v>14732137</v>
      </c>
      <c r="G13" s="62"/>
      <c r="H13" s="29" t="str">
        <f t="shared" si="2"/>
        <v>합계</v>
      </c>
      <c r="I13" s="60">
        <f>SUM((I4-I5-I6-I7-I8-I9)*$E$1+I11)</f>
        <v>9411000.3049999997</v>
      </c>
      <c r="J13" s="29" t="str">
        <f t="shared" si="3"/>
        <v>합계</v>
      </c>
      <c r="K13" s="61">
        <f>IF(K8=0,0,SUM(K4:K12)-F8)</f>
        <v>9411231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60267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-331.65300000086427</v>
      </c>
      <c r="G14" s="27"/>
      <c r="H14" s="27"/>
      <c r="I14" s="27"/>
      <c r="J14" s="27"/>
      <c r="K14" s="67">
        <f>SUM(K13-I13)</f>
        <v>230.69500000029802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24143468.957999997</v>
      </c>
      <c r="P14" s="39" t="str">
        <f t="shared" si="5"/>
        <v>합계</v>
      </c>
      <c r="Q14" s="69">
        <f>SUM(Q5:Q13)</f>
        <v>24143368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-100.95800000056624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14</v>
      </c>
      <c r="Q23" s="53">
        <f>SUM(P23*1000)</f>
        <v>14000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106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184</v>
      </c>
      <c r="Q26" s="69">
        <f>SUM(Q19:Q25)</f>
        <v>61000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14372</v>
      </c>
      <c r="P29" s="107">
        <v>14400</v>
      </c>
      <c r="Q29" s="108">
        <f>P29-O29</f>
        <v>28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1197</v>
      </c>
      <c r="F1" s="1"/>
      <c r="G1" s="1"/>
      <c r="H1" s="1"/>
      <c r="I1" s="1"/>
      <c r="J1" s="1"/>
      <c r="K1" s="1"/>
      <c r="L1" s="22">
        <f>+ROUND(+O5*0.584/1000,3)</f>
        <v>12.323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11.288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124.16800000000001</v>
      </c>
      <c r="M3" s="18" t="s">
        <v>10</v>
      </c>
      <c r="N3" s="3"/>
      <c r="O3" s="3"/>
      <c r="P3" s="126" t="str">
        <f>+'(1)'!C1&amp;"년"&amp;'(1)'!E1&amp;"월"&amp;C1&amp;"일"</f>
        <v>2022년5월11일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12623.407999999999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8477.4060000000009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16962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315000</v>
      </c>
      <c r="L5" s="2"/>
      <c r="M5" s="20"/>
      <c r="N5" s="45" t="str">
        <f>+C4</f>
        <v>판매량</v>
      </c>
      <c r="O5" s="46">
        <f>SUM(D4+I4+D17+I17+D35+I35)</f>
        <v>21100.813999999998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249.77199999999999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33.417000000000002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690000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283.18899999999996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14407440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24195754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24195754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106.209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102.53400000000001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-3717.3150000000001</v>
      </c>
      <c r="E11" s="42" t="str">
        <f>+'(1)'!E11</f>
        <v>모바일</v>
      </c>
      <c r="F11" s="44">
        <v>25000</v>
      </c>
      <c r="G11" s="27"/>
      <c r="H11" s="87" t="str">
        <f t="shared" si="2"/>
        <v>-</v>
      </c>
      <c r="I11" s="55">
        <f>SUM(I10*-35)</f>
        <v>-3588.69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208.74299999999999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-7306.0050000000001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14807524.976999998</v>
      </c>
      <c r="E13" s="29" t="str">
        <f>+'(1)'!E13</f>
        <v>합계</v>
      </c>
      <c r="F13" s="61">
        <f>SUM(F4:F12)</f>
        <v>14807440</v>
      </c>
      <c r="G13" s="62"/>
      <c r="H13" s="29" t="str">
        <f t="shared" si="2"/>
        <v>합계</v>
      </c>
      <c r="I13" s="60">
        <f>SUM((I4-I5-I6-I7-I8-I9)*$E$1+I11)</f>
        <v>10103866.143000003</v>
      </c>
      <c r="J13" s="29" t="str">
        <f t="shared" si="3"/>
        <v>합계</v>
      </c>
      <c r="K13" s="61">
        <f>IF(K8=0,0,SUM(K4:K12)-F8)</f>
        <v>10103314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-84.976999998092651</v>
      </c>
      <c r="G14" s="27"/>
      <c r="H14" s="27"/>
      <c r="I14" s="27"/>
      <c r="J14" s="27"/>
      <c r="K14" s="67">
        <f>SUM(K13-I13)</f>
        <v>-552.14300000295043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24911391.120000001</v>
      </c>
      <c r="P14" s="39" t="str">
        <f t="shared" si="5"/>
        <v>합계</v>
      </c>
      <c r="Q14" s="69">
        <f>SUM(Q5:Q13)</f>
        <v>24910754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-637.12000000104308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43</v>
      </c>
      <c r="Q20" s="53">
        <f>SUM(P20*1000)</f>
        <v>43000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19</v>
      </c>
      <c r="Q23" s="53">
        <f>SUM(P23*1000)</f>
        <v>19000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127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238</v>
      </c>
      <c r="Q26" s="69">
        <f>SUM(Q19:Q25)</f>
        <v>85000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14400</v>
      </c>
      <c r="P29" s="107">
        <v>14431</v>
      </c>
      <c r="Q29" s="108">
        <f>P29-O29</f>
        <v>31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1197</v>
      </c>
      <c r="F1" s="1"/>
      <c r="G1" s="1"/>
      <c r="H1" s="1"/>
      <c r="I1" s="1"/>
      <c r="J1" s="1"/>
      <c r="K1" s="1"/>
      <c r="L1" s="22">
        <f>+ROUND(+O5*0.584/1000,3)</f>
        <v>12.414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11.382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136.584</v>
      </c>
      <c r="M3" s="18" t="s">
        <v>10</v>
      </c>
      <c r="N3" s="3"/>
      <c r="O3" s="3"/>
      <c r="P3" s="126" t="str">
        <f>+'(1)'!C1&amp;"년"&amp;'(1)'!E1&amp;"월"&amp;C1&amp;"일"</f>
        <v>2022년5월12일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13180.557000000001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8076.87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31131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605000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290000</v>
      </c>
      <c r="L5" s="2"/>
      <c r="M5" s="20"/>
      <c r="N5" s="45" t="str">
        <f>+C4</f>
        <v>판매량</v>
      </c>
      <c r="O5" s="46">
        <f>SUM(D4+I4+D17+I17+D35+I35)</f>
        <v>21257.427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348.64800000000002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39.573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895000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388.221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14736677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24061822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24061822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159.07300000000001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57.311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-5567.5550000000003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-2005.885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216.38400000000001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-7573.4400000000005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15354227.518000003</v>
      </c>
      <c r="E13" s="29" t="str">
        <f>+'(1)'!E13</f>
        <v>합계</v>
      </c>
      <c r="F13" s="61">
        <f>SUM(F4:F12)</f>
        <v>15354677</v>
      </c>
      <c r="G13" s="62"/>
      <c r="H13" s="29" t="str">
        <f t="shared" si="2"/>
        <v>합계</v>
      </c>
      <c r="I13" s="60">
        <f>SUM((I4-I5-I6-I7-I8-I9)*$E$1+I11)</f>
        <v>9618638.6239999998</v>
      </c>
      <c r="J13" s="29" t="str">
        <f t="shared" si="3"/>
        <v>합계</v>
      </c>
      <c r="K13" s="61">
        <f>IF(K8=0,0,SUM(K4:K12)-F8)</f>
        <v>9619145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449.48199999704957</v>
      </c>
      <c r="G14" s="27"/>
      <c r="H14" s="27"/>
      <c r="I14" s="27"/>
      <c r="J14" s="27"/>
      <c r="K14" s="67">
        <f>SUM(K13-I13)</f>
        <v>506.37600000016391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24972866.141999997</v>
      </c>
      <c r="P14" s="39" t="str">
        <f t="shared" si="5"/>
        <v>합계</v>
      </c>
      <c r="Q14" s="69">
        <f>SUM(Q5:Q13)</f>
        <v>24973822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955.85799999721348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41</v>
      </c>
      <c r="Q20" s="53">
        <f>SUM(P20*1000)</f>
        <v>41000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15</v>
      </c>
      <c r="Q23" s="53">
        <f>SUM(P23*1000)</f>
        <v>15000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126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222</v>
      </c>
      <c r="Q26" s="69">
        <f>SUM(Q19:Q25)</f>
        <v>78000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14431</v>
      </c>
      <c r="P29" s="107">
        <v>14463</v>
      </c>
      <c r="Q29" s="108">
        <f>P29-O29</f>
        <v>32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1197</v>
      </c>
      <c r="F1" s="1"/>
      <c r="G1" s="1"/>
      <c r="H1" s="1"/>
      <c r="I1" s="1"/>
      <c r="J1" s="1"/>
      <c r="K1" s="1"/>
      <c r="L1" s="22">
        <f>+ROUND(+O5*0.584/1000,3)</f>
        <v>13.063000000000001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11.510999999999999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149.643</v>
      </c>
      <c r="M3" s="18" t="s">
        <v>10</v>
      </c>
      <c r="N3" s="3"/>
      <c r="O3" s="3"/>
      <c r="P3" s="126" t="str">
        <f>+'(1)'!C1&amp;"년"&amp;'(1)'!E1&amp;"월"&amp;C1&amp;"일"</f>
        <v>2022년5월13일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12394.6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9973.7860000000001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42569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100000</v>
      </c>
      <c r="L5" s="2"/>
      <c r="M5" s="20"/>
      <c r="N5" s="45" t="str">
        <f>+C4</f>
        <v>판매량</v>
      </c>
      <c r="O5" s="46">
        <f>SUM(D4+I4+D17+I17+D35+I35)</f>
        <v>22368.385999999999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297.98700000000002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20.318999999999999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260000</v>
      </c>
      <c r="R6" s="7">
        <v>1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318.30600000000004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14253836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26061644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26061644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169.88499999999999</v>
      </c>
      <c r="E10" s="42" t="str">
        <f>+'(1)'!E10</f>
        <v>OK케시백</v>
      </c>
      <c r="F10" s="44">
        <v>57805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-5945.9749999999995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169.88499999999999</v>
      </c>
      <c r="P11" s="51" t="str">
        <f t="shared" si="5"/>
        <v>OK케시백</v>
      </c>
      <c r="Q11" s="53">
        <f>SUM(F10+K10+F23+K23+F41+K41)</f>
        <v>59805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-5945.9749999999995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14473699.786000002</v>
      </c>
      <c r="E13" s="29" t="str">
        <f>+'(1)'!E13</f>
        <v>합계</v>
      </c>
      <c r="F13" s="61">
        <f>SUM(F4:F12)</f>
        <v>14479641</v>
      </c>
      <c r="G13" s="62"/>
      <c r="H13" s="29" t="str">
        <f t="shared" si="2"/>
        <v>합계</v>
      </c>
      <c r="I13" s="60">
        <f>SUM((I4-I5-I6-I7-I8-I9)*$E$1+I11)</f>
        <v>11914299.999</v>
      </c>
      <c r="J13" s="29" t="str">
        <f t="shared" si="3"/>
        <v>합계</v>
      </c>
      <c r="K13" s="61">
        <f>IF(K8=0,0,SUM(K4:K12)-F8)</f>
        <v>11913808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5941.2139999978244</v>
      </c>
      <c r="G14" s="27"/>
      <c r="H14" s="27"/>
      <c r="I14" s="27"/>
      <c r="J14" s="27"/>
      <c r="K14" s="67">
        <f>SUM(K13-I13)</f>
        <v>-491.99899999983609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26387999.784999996</v>
      </c>
      <c r="P14" s="39" t="str">
        <f t="shared" si="5"/>
        <v>합계</v>
      </c>
      <c r="Q14" s="69">
        <f>SUM(Q5:Q13)</f>
        <v>26393449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5449.2149999979883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29</v>
      </c>
      <c r="Q20" s="53">
        <f>SUM(P20*1000)</f>
        <v>29000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14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13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108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193</v>
      </c>
      <c r="Q26" s="69">
        <f>SUM(Q19:Q25)</f>
        <v>58000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14463</v>
      </c>
      <c r="P29" s="107">
        <v>14483</v>
      </c>
      <c r="Q29" s="108">
        <f>P29-O29</f>
        <v>20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9" sqref="F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1197</v>
      </c>
      <c r="F1" s="1"/>
      <c r="G1" s="1"/>
      <c r="H1" s="1"/>
      <c r="I1" s="1"/>
      <c r="J1" s="1"/>
      <c r="K1" s="1"/>
      <c r="L1" s="22">
        <f>+ROUND(+O5*0.584/1000,3)</f>
        <v>11.111000000000001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11.481999999999999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160.74799999999999</v>
      </c>
      <c r="M3" s="18" t="s">
        <v>10</v>
      </c>
      <c r="N3" s="3"/>
      <c r="O3" s="3"/>
      <c r="P3" s="126" t="str">
        <f>+'(1)'!C1&amp;"년"&amp;'(1)'!E1&amp;"월"&amp;C1&amp;"일"</f>
        <v>2022년5월14일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11164.732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7861.518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23469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370000</v>
      </c>
      <c r="L5" s="2"/>
      <c r="M5" s="20"/>
      <c r="N5" s="45" t="str">
        <f>+C4</f>
        <v>판매량</v>
      </c>
      <c r="O5" s="46">
        <f>SUM(D4+I4+D17+I17+D35+I35)</f>
        <v>19026.25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94.760999999999996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465000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94.760999999999996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13026120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22059138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22059138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166.423</v>
      </c>
      <c r="E10" s="42" t="str">
        <f>+'(1)'!E10</f>
        <v>OK케시백</v>
      </c>
      <c r="F10" s="44">
        <v>21700</v>
      </c>
      <c r="G10" s="27"/>
      <c r="H10" s="42" t="str">
        <f t="shared" si="2"/>
        <v>고객우대</v>
      </c>
      <c r="I10" s="50">
        <v>59.298000000000002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-5824.8050000000003</v>
      </c>
      <c r="E11" s="42" t="str">
        <f>+'(1)'!E11</f>
        <v>모바일</v>
      </c>
      <c r="F11" s="44">
        <v>35000</v>
      </c>
      <c r="G11" s="27"/>
      <c r="H11" s="87" t="str">
        <f t="shared" si="2"/>
        <v>-</v>
      </c>
      <c r="I11" s="55">
        <f>SUM(I10*-35)</f>
        <v>-2075.4300000000003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225.721</v>
      </c>
      <c r="P11" s="51" t="str">
        <f t="shared" si="5"/>
        <v>OK케시백</v>
      </c>
      <c r="Q11" s="53">
        <f>SUM(F10+K10+F23+K23+F41+K41)</f>
        <v>21700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65566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-7900.2350000000006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13244930.481999999</v>
      </c>
      <c r="E13" s="29" t="str">
        <f>+'(1)'!E13</f>
        <v>합계</v>
      </c>
      <c r="F13" s="61">
        <f>SUM(F4:F12)</f>
        <v>13245386</v>
      </c>
      <c r="G13" s="62"/>
      <c r="H13" s="29" t="str">
        <f t="shared" si="2"/>
        <v>합계</v>
      </c>
      <c r="I13" s="60">
        <f>SUM((I4-I5-I6-I7-I8-I9)*$E$1+I11)</f>
        <v>9408161.6160000004</v>
      </c>
      <c r="J13" s="29" t="str">
        <f t="shared" si="3"/>
        <v>합계</v>
      </c>
      <c r="K13" s="61">
        <f>IF(K8=0,0,SUM(K4:K12)-F8)</f>
        <v>9407018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65566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455.51800000108778</v>
      </c>
      <c r="G14" s="27"/>
      <c r="H14" s="27"/>
      <c r="I14" s="27"/>
      <c r="J14" s="27"/>
      <c r="K14" s="67">
        <f>SUM(K13-I13)</f>
        <v>-1143.6160000003874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22653092.098000001</v>
      </c>
      <c r="P14" s="39" t="str">
        <f t="shared" si="5"/>
        <v>합계</v>
      </c>
      <c r="Q14" s="69">
        <f>SUM(Q5:Q13)</f>
        <v>22652404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-688.09799999929965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49</v>
      </c>
      <c r="Q20" s="53">
        <f>SUM(P20*1000)</f>
        <v>49000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15</v>
      </c>
      <c r="Q23" s="53">
        <f>SUM(P23*1000)</f>
        <v>15000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115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216</v>
      </c>
      <c r="Q26" s="69">
        <f>SUM(Q19:Q25)</f>
        <v>87000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14483</v>
      </c>
      <c r="P29" s="107">
        <v>14518</v>
      </c>
      <c r="Q29" s="108">
        <f>P29-O29</f>
        <v>35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H28" sqref="H2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1197</v>
      </c>
      <c r="F1" s="1"/>
      <c r="G1" s="1"/>
      <c r="H1" s="1"/>
      <c r="I1" s="1"/>
      <c r="J1" s="1"/>
      <c r="K1" s="1"/>
      <c r="L1" s="22">
        <f>+ROUND(+O5*0.584/1000,3)</f>
        <v>7.6360000000000001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11.226000000000001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168.39000000000001</v>
      </c>
      <c r="M3" s="18" t="s">
        <v>10</v>
      </c>
      <c r="N3" s="3"/>
      <c r="O3" s="3"/>
      <c r="P3" s="126" t="str">
        <f>+'(1)'!C1&amp;"년"&amp;'(1)'!E1&amp;"월"&amp;C1&amp;"일"</f>
        <v>2022년5월15일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8421.6200000000008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4652.8720000000003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45626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205000</v>
      </c>
      <c r="L5" s="2"/>
      <c r="M5" s="20"/>
      <c r="N5" s="45" t="str">
        <f>+C4</f>
        <v>판매량</v>
      </c>
      <c r="O5" s="46">
        <f>SUM(D4+I4+D17+I17+D35+I35)</f>
        <v>13074.492000000002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555000</v>
      </c>
      <c r="R6" s="7">
        <v>1.3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9699022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15060810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15060810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20003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20003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10080679.140000001</v>
      </c>
      <c r="E13" s="29" t="str">
        <f>+'(1)'!E13</f>
        <v>합계</v>
      </c>
      <c r="F13" s="61">
        <f>SUM(F4:F12)</f>
        <v>10081025</v>
      </c>
      <c r="G13" s="62"/>
      <c r="H13" s="29" t="str">
        <f t="shared" si="2"/>
        <v>합계</v>
      </c>
      <c r="I13" s="60">
        <f>SUM((I4-I5-I6-I7-I8-I9)*$E$1+I11)</f>
        <v>5569487.784</v>
      </c>
      <c r="J13" s="29" t="str">
        <f t="shared" si="3"/>
        <v>합계</v>
      </c>
      <c r="K13" s="61">
        <f>IF(K8=0,0,SUM(K4:K12)-F8)</f>
        <v>5569788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345.85999999940395</v>
      </c>
      <c r="G14" s="27"/>
      <c r="H14" s="27"/>
      <c r="I14" s="27"/>
      <c r="J14" s="27"/>
      <c r="K14" s="67">
        <f>SUM(K13-I13)</f>
        <v>300.2160000000149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15650166.924000002</v>
      </c>
      <c r="P14" s="39" t="str">
        <f t="shared" si="5"/>
        <v>합계</v>
      </c>
      <c r="Q14" s="69">
        <f>SUM(Q5:Q13)</f>
        <v>15650813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646.07599999941885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43</v>
      </c>
      <c r="Q20" s="53">
        <f>SUM(P20*1000)</f>
        <v>43000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17</v>
      </c>
      <c r="Q23" s="53">
        <f>SUM(P23*1000)</f>
        <v>17000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99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187</v>
      </c>
      <c r="Q26" s="69">
        <f>SUM(Q19:Q25)</f>
        <v>81000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14518</v>
      </c>
      <c r="P29" s="107">
        <v>14556</v>
      </c>
      <c r="Q29" s="108">
        <f>P29-O29</f>
        <v>38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2" sqref="K1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1197</v>
      </c>
      <c r="F1" s="1"/>
      <c r="G1" s="1"/>
      <c r="H1" s="1"/>
      <c r="I1" s="1"/>
      <c r="J1" s="1"/>
      <c r="K1" s="1"/>
      <c r="L1" s="22">
        <f>+ROUND(+O5*0.584/1000,3)</f>
        <v>12.19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11.286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180.57599999999999</v>
      </c>
      <c r="M3" s="18" t="s">
        <v>10</v>
      </c>
      <c r="N3" s="3"/>
      <c r="O3" s="3"/>
      <c r="P3" s="126" t="str">
        <f>+'(1)'!C1&amp;"년"&amp;'(1)'!E1&amp;"월"&amp;C1&amp;"일"</f>
        <v>2022년5월16일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12617.16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8256.4339999999993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24605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405000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75000</v>
      </c>
      <c r="L5" s="2"/>
      <c r="M5" s="20"/>
      <c r="N5" s="45" t="str">
        <f>+C4</f>
        <v>판매량</v>
      </c>
      <c r="O5" s="46">
        <f>SUM(D4+I4+D17+I17+D35+I35)</f>
        <v>20873.593999999997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345.589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480000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345.589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14229641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24026395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24026395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388.92700000000002</v>
      </c>
      <c r="E10" s="42" t="str">
        <f>+'(1)'!E10</f>
        <v>OK케시백</v>
      </c>
      <c r="F10" s="44">
        <v>25601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-13612.445000000002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9000</v>
      </c>
      <c r="L11" s="2"/>
      <c r="M11" s="20"/>
      <c r="N11" s="51" t="str">
        <f t="shared" si="4"/>
        <v>고객우대</v>
      </c>
      <c r="O11" s="54">
        <f>SUM(D10+I10+D23+I23+D41+I41)</f>
        <v>388.92700000000002</v>
      </c>
      <c r="P11" s="51" t="str">
        <f t="shared" si="5"/>
        <v>OK케시백</v>
      </c>
      <c r="Q11" s="53">
        <f>SUM(F10+K10+F23+K23+F41+K41)</f>
        <v>25601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-13612.445000000002</v>
      </c>
      <c r="P12" s="51" t="str">
        <f t="shared" si="5"/>
        <v>모바일</v>
      </c>
      <c r="Q12" s="53">
        <f>SUM(F11+K11+F24+K24+F42+K42)</f>
        <v>19000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14675458.041999999</v>
      </c>
      <c r="E13" s="29" t="str">
        <f>+'(1)'!E13</f>
        <v>합계</v>
      </c>
      <c r="F13" s="61">
        <f>SUM(F4:F12)</f>
        <v>14674242</v>
      </c>
      <c r="G13" s="62"/>
      <c r="H13" s="29" t="str">
        <f t="shared" si="2"/>
        <v>합계</v>
      </c>
      <c r="I13" s="60">
        <f>SUM((I4-I5-I6-I7-I8-I9)*$E$1+I11)</f>
        <v>9882951.4979999997</v>
      </c>
      <c r="J13" s="29" t="str">
        <f t="shared" si="3"/>
        <v>합계</v>
      </c>
      <c r="K13" s="61">
        <f>IF(K8=0,0,SUM(K4:K12)-F8)</f>
        <v>9882754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-1216.0419999994338</v>
      </c>
      <c r="G14" s="27"/>
      <c r="H14" s="27"/>
      <c r="I14" s="27"/>
      <c r="J14" s="27"/>
      <c r="K14" s="67">
        <f>SUM(K13-I13)</f>
        <v>-197.49799999967217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24558409.539999995</v>
      </c>
      <c r="P14" s="39" t="str">
        <f t="shared" si="5"/>
        <v>합계</v>
      </c>
      <c r="Q14" s="69">
        <f>SUM(Q5:Q13)</f>
        <v>24556996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-1413.5399999991059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25</v>
      </c>
      <c r="Q19" s="48">
        <f>SUM(P19*1000)</f>
        <v>25000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37</v>
      </c>
      <c r="Q20" s="53">
        <f>SUM(P20*1000)</f>
        <v>37000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23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23</v>
      </c>
      <c r="Q23" s="53">
        <f>SUM(P23*1000)</f>
        <v>23000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111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237</v>
      </c>
      <c r="Q26" s="69">
        <f>SUM(Q19:Q25)</f>
        <v>90000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14556</v>
      </c>
      <c r="P29" s="107">
        <v>14601</v>
      </c>
      <c r="Q29" s="108">
        <f>P29-O29</f>
        <v>45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5" sqref="K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1197</v>
      </c>
      <c r="F1" s="1"/>
      <c r="G1" s="1"/>
      <c r="H1" s="1"/>
      <c r="I1" s="1"/>
      <c r="J1" s="1"/>
      <c r="K1" s="1"/>
      <c r="L1" s="22">
        <f>+ROUND(+O5*0.584/1000,3)</f>
        <v>11.612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11.305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192.185</v>
      </c>
      <c r="M3" s="18" t="s">
        <v>10</v>
      </c>
      <c r="N3" s="3"/>
      <c r="O3" s="3"/>
      <c r="P3" s="126" t="str">
        <f>+'(1)'!C1&amp;"년"&amp;'(1)'!E1&amp;"월"&amp;C1&amp;"일"</f>
        <v>2022년5월17일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11872.607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8010.6940000000004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39381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130000</v>
      </c>
      <c r="L5" s="2"/>
      <c r="M5" s="20"/>
      <c r="N5" s="45" t="str">
        <f>+C4</f>
        <v>판매량</v>
      </c>
      <c r="O5" s="46">
        <f>SUM(D4+I4+D17+I17+D35+I35)</f>
        <v>19883.300999999999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346.49299999999999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350000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346.49299999999999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13563228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22992452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22992452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100.19799999999999</v>
      </c>
      <c r="E10" s="42" t="str">
        <f>+'(1)'!E10</f>
        <v>OK케시백</v>
      </c>
      <c r="F10" s="44">
        <v>5000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-3506.93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100.19799999999999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20349</v>
      </c>
      <c r="L12" s="2"/>
      <c r="M12" s="20"/>
      <c r="N12" s="51" t="str">
        <f t="shared" si="4"/>
        <v>-</v>
      </c>
      <c r="O12" s="55">
        <f>SUM(O11*-35)</f>
        <v>-3506.93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13793251.527999999</v>
      </c>
      <c r="E13" s="29" t="str">
        <f>+'(1)'!E13</f>
        <v>합계</v>
      </c>
      <c r="F13" s="61">
        <f>SUM(F4:F12)</f>
        <v>13792228</v>
      </c>
      <c r="G13" s="62"/>
      <c r="H13" s="29" t="str">
        <f t="shared" si="2"/>
        <v>합계</v>
      </c>
      <c r="I13" s="60">
        <f>SUM((I4-I5-I6-I7-I8-I9)*$E$1+I11)</f>
        <v>9588800.7180000003</v>
      </c>
      <c r="J13" s="29" t="str">
        <f t="shared" si="3"/>
        <v>합계</v>
      </c>
      <c r="K13" s="61">
        <f>IF(K8=0,0,SUM(K4:K12)-F8)</f>
        <v>9588573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20349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-1023.5279999990016</v>
      </c>
      <c r="G14" s="27"/>
      <c r="H14" s="27"/>
      <c r="I14" s="27"/>
      <c r="J14" s="27"/>
      <c r="K14" s="67">
        <f>SUM(K13-I13)</f>
        <v>-227.71800000034273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23382052.246000003</v>
      </c>
      <c r="P14" s="39" t="str">
        <f t="shared" si="5"/>
        <v>합계</v>
      </c>
      <c r="Q14" s="69">
        <f>SUM(Q5:Q13)</f>
        <v>23380801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-1251.2459999993443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6</v>
      </c>
      <c r="Q23" s="53">
        <f>SUM(P23*1000)</f>
        <v>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74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119</v>
      </c>
      <c r="Q26" s="69">
        <f>SUM(Q19:Q25)</f>
        <v>34000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14601</v>
      </c>
      <c r="P29" s="107">
        <v>14627</v>
      </c>
      <c r="Q29" s="108">
        <f>P29-O29</f>
        <v>26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Q24" sqref="Q24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1197</v>
      </c>
      <c r="F1" s="1"/>
      <c r="G1" s="1"/>
      <c r="H1" s="1"/>
      <c r="I1" s="1"/>
      <c r="J1" s="1"/>
      <c r="K1" s="1"/>
      <c r="L1" s="22">
        <f>+ROUND(+O5*0.584/1000,3)</f>
        <v>12.237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11.356999999999999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204.42599999999999</v>
      </c>
      <c r="M3" s="18" t="s">
        <v>10</v>
      </c>
      <c r="N3" s="3"/>
      <c r="O3" s="3"/>
      <c r="P3" s="126" t="str">
        <f>+'(1)'!C1&amp;"년"&amp;'(1)'!E1&amp;"월"&amp;C1&amp;"일"</f>
        <v>2022년5월18일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12326.861999999999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8627.5159999999996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18042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340000</v>
      </c>
      <c r="L5" s="2"/>
      <c r="M5" s="20"/>
      <c r="N5" s="45" t="str">
        <f>+C4</f>
        <v>판매량</v>
      </c>
      <c r="O5" s="46">
        <f>SUM(D4+I4+D17+I17+D35+I35)</f>
        <v>20954.377999999997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329.173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715000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329.173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45.752000000000002</v>
      </c>
      <c r="E8" s="42" t="str">
        <f>+'(1)'!E8</f>
        <v>신용카드</v>
      </c>
      <c r="F8" s="44">
        <v>13842702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23825593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70000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45.752000000000002</v>
      </c>
      <c r="P9" s="51" t="str">
        <f t="shared" si="5"/>
        <v>신용카드</v>
      </c>
      <c r="Q9" s="53">
        <f>IF(K8=0,F8,IF(F21=0,K8,IF(K21=0,F21,K21)))</f>
        <v>23825593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161.59800000000001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56.250999999999998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70000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-5655.93</v>
      </c>
      <c r="E11" s="42" t="str">
        <f>+'(1)'!E11</f>
        <v>모바일</v>
      </c>
      <c r="F11" s="44">
        <v>9000</v>
      </c>
      <c r="G11" s="27"/>
      <c r="H11" s="87" t="str">
        <f t="shared" si="2"/>
        <v>-</v>
      </c>
      <c r="I11" s="55">
        <f>SUM(I10*-35)</f>
        <v>-1968.7849999999999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217.84900000000002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-7624.7150000000011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14300812.658999998</v>
      </c>
      <c r="E13" s="29" t="str">
        <f>+'(1)'!E13</f>
        <v>합계</v>
      </c>
      <c r="F13" s="61">
        <f>SUM(F4:F12)</f>
        <v>14300702</v>
      </c>
      <c r="G13" s="62"/>
      <c r="H13" s="29" t="str">
        <f t="shared" si="2"/>
        <v>합계</v>
      </c>
      <c r="I13" s="60">
        <f>SUM((I4-I5-I6-I7-I8-I9)*$E$1+I11)</f>
        <v>10325167.866999999</v>
      </c>
      <c r="J13" s="29" t="str">
        <f t="shared" si="3"/>
        <v>합계</v>
      </c>
      <c r="K13" s="61">
        <f>IF(K8=0,0,SUM(K4:K12)-F8)</f>
        <v>10324891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-110.65899999812245</v>
      </c>
      <c r="G14" s="27"/>
      <c r="H14" s="27"/>
      <c r="I14" s="27"/>
      <c r="J14" s="27"/>
      <c r="K14" s="67">
        <f>SUM(K13-I13)</f>
        <v>-276.8669999986887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24625980.525999997</v>
      </c>
      <c r="P14" s="39" t="str">
        <f t="shared" si="5"/>
        <v>합계</v>
      </c>
      <c r="Q14" s="69">
        <f>SUM(Q5:Q13)</f>
        <v>24625593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-387.52599999681115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48</v>
      </c>
      <c r="Q19" s="48">
        <f t="shared" ref="Q19:Q23" si="12">SUM(P19*1000)</f>
        <v>48000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52</v>
      </c>
      <c r="Q20" s="53">
        <f t="shared" si="12"/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22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2</v>
      </c>
      <c r="Q22" s="53">
        <f t="shared" si="12"/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47</v>
      </c>
      <c r="Q23" s="53">
        <f t="shared" si="12"/>
        <v>47000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28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116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315</v>
      </c>
      <c r="Q26" s="69">
        <f>SUM(Q19:Q25)</f>
        <v>149000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14627</v>
      </c>
      <c r="P29" s="107">
        <v>14655</v>
      </c>
      <c r="Q29" s="108">
        <f>P29-O29</f>
        <v>28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1197</v>
      </c>
      <c r="F1" s="1"/>
      <c r="G1" s="1"/>
      <c r="H1" s="1"/>
      <c r="I1" s="1"/>
      <c r="J1" s="1"/>
      <c r="K1" s="1"/>
      <c r="L1" s="22">
        <f>+ROUND(+O5*0.584/1000,3)</f>
        <v>12.804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11.433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217.227</v>
      </c>
      <c r="M3" s="18" t="s">
        <v>10</v>
      </c>
      <c r="N3" s="3"/>
      <c r="O3" s="3"/>
      <c r="P3" s="126" t="str">
        <f>+'(1)'!C1&amp;"년"&amp;'(1)'!E1&amp;"월"&amp;C1&amp;"일"</f>
        <v>2022년5월19일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12547.062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9377.2080000000005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31608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470000</v>
      </c>
      <c r="L5" s="2"/>
      <c r="M5" s="20"/>
      <c r="N5" s="45" t="str">
        <f>+C4</f>
        <v>판매량</v>
      </c>
      <c r="O5" s="46">
        <f>SUM(D4+I4+D17+I17+D35+I35)</f>
        <v>21924.27</v>
      </c>
      <c r="P5" s="47" t="str">
        <f>+E4</f>
        <v>입금액</v>
      </c>
      <c r="Q5" s="48">
        <f>SUM(F4+K4+F17+K17+F35+K35)</f>
        <v>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301.84699999999998</v>
      </c>
      <c r="E6" s="42" t="str">
        <f>+'(1)'!E6</f>
        <v>천원권</v>
      </c>
      <c r="F6" s="44">
        <v>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845000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301.84699999999998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14238119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24983660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24983660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317.82799999999997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46.253999999999998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-11123.98</v>
      </c>
      <c r="E11" s="42" t="str">
        <f>+'(1)'!E11</f>
        <v>모바일</v>
      </c>
      <c r="F11" s="44">
        <v>30000</v>
      </c>
      <c r="G11" s="27"/>
      <c r="H11" s="87" t="str">
        <f t="shared" si="2"/>
        <v>-</v>
      </c>
      <c r="I11" s="55">
        <f>SUM(I10*-35)</f>
        <v>-1618.8899999999999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364.08199999999999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-12742.869999999999</v>
      </c>
      <c r="P12" s="51" t="str">
        <f t="shared" si="5"/>
        <v>모바일</v>
      </c>
      <c r="Q12" s="53">
        <f>SUM(F11+K11+F24+K24+F42+K42)</f>
        <v>34000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14646398.375</v>
      </c>
      <c r="E13" s="29" t="str">
        <f>+'(1)'!E13</f>
        <v>합계</v>
      </c>
      <c r="F13" s="61">
        <f>SUM(F4:F12)</f>
        <v>14647119</v>
      </c>
      <c r="G13" s="62"/>
      <c r="H13" s="29" t="str">
        <f t="shared" si="2"/>
        <v>합계</v>
      </c>
      <c r="I13" s="60">
        <f>SUM((I4-I5-I6-I7-I8-I9)*$E$1+I11)</f>
        <v>11222899.085999999</v>
      </c>
      <c r="J13" s="29" t="str">
        <f t="shared" si="3"/>
        <v>합계</v>
      </c>
      <c r="K13" s="61">
        <f>IF(K8=0,0,SUM(K4:K12)-F8)</f>
        <v>11222541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720.625</v>
      </c>
      <c r="G14" s="27"/>
      <c r="H14" s="27"/>
      <c r="I14" s="27"/>
      <c r="J14" s="27"/>
      <c r="K14" s="67">
        <f>SUM(K13-I13)</f>
        <v>-358.08599999919534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25869297.460999999</v>
      </c>
      <c r="P14" s="39" t="str">
        <f t="shared" si="5"/>
        <v>합계</v>
      </c>
      <c r="Q14" s="69">
        <f>SUM(Q5:Q13)</f>
        <v>25869660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362.53900000080466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6</v>
      </c>
      <c r="Q23" s="53">
        <f>SUM(P23*1000)</f>
        <v>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51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98</v>
      </c>
      <c r="Q26" s="69">
        <f>SUM(Q19:Q25)</f>
        <v>37000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14655</v>
      </c>
      <c r="P29" s="107">
        <v>14669</v>
      </c>
      <c r="Q29" s="108">
        <f>P29-O29</f>
        <v>14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9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9" style="85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42</v>
      </c>
      <c r="E1" s="103">
        <f>+'(1)'!I1</f>
        <v>1197</v>
      </c>
      <c r="F1" s="27"/>
      <c r="G1" s="27"/>
      <c r="H1" s="27"/>
      <c r="I1" s="27"/>
      <c r="J1" s="27"/>
      <c r="K1" s="27"/>
      <c r="L1" s="31">
        <f>+ROUND(+O5*0.584/1000,3)</f>
        <v>11.916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11.821</v>
      </c>
      <c r="M2" s="27" t="s">
        <v>7</v>
      </c>
      <c r="N2" s="114" t="s">
        <v>43</v>
      </c>
      <c r="O2" s="114"/>
      <c r="P2" s="114"/>
      <c r="Q2" s="114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23.641999999999999</v>
      </c>
      <c r="M3" s="27" t="s">
        <v>10</v>
      </c>
      <c r="N3" s="32"/>
      <c r="O3" s="32"/>
      <c r="P3" s="113" t="str">
        <f>+'(1)'!C1&amp;"년"&amp;'(1)'!E1&amp;"월"&amp;C1&amp;"일"</f>
        <v>2022년5월2일</v>
      </c>
      <c r="Q3" s="113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12783.823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7620.5230000000001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15470</v>
      </c>
      <c r="S4" s="41" t="s">
        <v>44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37"/>
      <c r="M5" s="86"/>
      <c r="N5" s="45" t="str">
        <f>+C4</f>
        <v>판매량</v>
      </c>
      <c r="O5" s="46">
        <f>SUM(D4+I4+D17+I17+D35+I35)</f>
        <v>20404.346000000001</v>
      </c>
      <c r="P5" s="47" t="str">
        <f>+E4</f>
        <v>입금액</v>
      </c>
      <c r="Q5" s="48">
        <f>SUM(F4+K4+F17+K17+F35+K35)</f>
        <v>0</v>
      </c>
      <c r="R5" s="49">
        <v>24</v>
      </c>
      <c r="S5" s="41" t="s">
        <v>45</v>
      </c>
      <c r="T5" s="27"/>
      <c r="U5" s="27"/>
      <c r="V5" s="27"/>
    </row>
    <row r="6" spans="3:22" ht="16.5" customHeight="1">
      <c r="C6" s="87" t="str">
        <f>+'(1)'!C6</f>
        <v>외상전표</v>
      </c>
      <c r="D6" s="50">
        <v>248.297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540000</v>
      </c>
      <c r="R6" s="49">
        <v>2</v>
      </c>
      <c r="S6" s="41" t="s">
        <v>46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248.297</v>
      </c>
      <c r="P7" s="51" t="str">
        <f t="shared" ref="P7:P14" si="5">+E6</f>
        <v>천원권</v>
      </c>
      <c r="Q7" s="53">
        <f>SUM(F6+K6+F19+K19+F37+K37)</f>
        <v>4000</v>
      </c>
      <c r="R7" s="40" t="s">
        <v>51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14656532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23544331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23544331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343.38900000000001</v>
      </c>
      <c r="E10" s="42" t="str">
        <f>+'(1)'!E10</f>
        <v>OK케시백</v>
      </c>
      <c r="F10" s="44">
        <v>14309</v>
      </c>
      <c r="G10" s="27"/>
      <c r="H10" s="42" t="str">
        <f t="shared" si="2"/>
        <v>고객우대</v>
      </c>
      <c r="I10" s="50">
        <v>48.603000000000002</v>
      </c>
      <c r="J10" s="42" t="str">
        <f t="shared" si="3"/>
        <v>OK케시백</v>
      </c>
      <c r="K10" s="44"/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-12018.615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-1701.105</v>
      </c>
      <c r="J11" s="42" t="str">
        <f t="shared" si="3"/>
        <v>모바일</v>
      </c>
      <c r="K11" s="44">
        <v>5000</v>
      </c>
      <c r="L11" s="37"/>
      <c r="M11" s="86"/>
      <c r="N11" s="51" t="str">
        <f t="shared" si="4"/>
        <v>고객우대</v>
      </c>
      <c r="O11" s="54">
        <f>SUM(D10+I10+D23+I23+D41+I41)</f>
        <v>391.99200000000002</v>
      </c>
      <c r="P11" s="51" t="str">
        <f t="shared" si="5"/>
        <v>OK케시백</v>
      </c>
      <c r="Q11" s="53">
        <f>SUM(F10+K10+F23+K23+F41+K41)</f>
        <v>14309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37"/>
      <c r="M12" s="86"/>
      <c r="N12" s="51" t="str">
        <f t="shared" si="4"/>
        <v>-</v>
      </c>
      <c r="O12" s="52">
        <f>SUM(O11*-35)</f>
        <v>-13719.720000000001</v>
      </c>
      <c r="P12" s="51" t="str">
        <f t="shared" si="5"/>
        <v>모바일</v>
      </c>
      <c r="Q12" s="53">
        <f>SUM(F11+K11+F24+K24+F42+K42)</f>
        <v>10000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14993006.006999999</v>
      </c>
      <c r="E13" s="29" t="str">
        <f>+'(1)'!E13</f>
        <v>합계</v>
      </c>
      <c r="F13" s="61">
        <f>SUM(F4:F12)</f>
        <v>14992841</v>
      </c>
      <c r="G13" s="62"/>
      <c r="H13" s="29" t="str">
        <f t="shared" si="2"/>
        <v>합계</v>
      </c>
      <c r="I13" s="60">
        <f>SUM((I4-I5-I6-I7-I8-I9)*$E$1+I11)</f>
        <v>9120064.925999999</v>
      </c>
      <c r="J13" s="29" t="str">
        <f t="shared" si="3"/>
        <v>합계</v>
      </c>
      <c r="K13" s="61">
        <f>IF(K8=0,0,SUM(K4:K12)-F8)</f>
        <v>9119799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-165.00699999928474</v>
      </c>
      <c r="G14" s="27"/>
      <c r="H14" s="27"/>
      <c r="I14" s="27"/>
      <c r="J14" s="27"/>
      <c r="K14" s="67">
        <f>SUM(K13-I13)</f>
        <v>-265.92599999904633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24113070.933000006</v>
      </c>
      <c r="P14" s="39" t="str">
        <f t="shared" si="5"/>
        <v>합계</v>
      </c>
      <c r="Q14" s="69">
        <f>SUM(Q5:Q13)</f>
        <v>24112640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-430.93299999833107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30</v>
      </c>
      <c r="Q19" s="48">
        <f>SUM(P19*1000)</f>
        <v>30000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27</v>
      </c>
      <c r="Q20" s="53">
        <f>SUM(P20*1000)</f>
        <v>27000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23</v>
      </c>
      <c r="Q21" s="53">
        <v>0</v>
      </c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6</v>
      </c>
      <c r="Q22" s="53">
        <f>SUM(P22*1000)</f>
        <v>6000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19</v>
      </c>
      <c r="Q23" s="53">
        <f>SUM(P23*1000)</f>
        <v>19000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21</v>
      </c>
      <c r="Q24" s="53">
        <v>0</v>
      </c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144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270</v>
      </c>
      <c r="Q26" s="69">
        <f>SUM(Q19:Q25)</f>
        <v>82000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09" t="s">
        <v>55</v>
      </c>
      <c r="O28" s="104" t="s">
        <v>56</v>
      </c>
      <c r="P28" s="104" t="s">
        <v>57</v>
      </c>
      <c r="Q28" s="105" t="s">
        <v>58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0"/>
      <c r="O29" s="106">
        <v>14122</v>
      </c>
      <c r="P29" s="107">
        <v>14160</v>
      </c>
      <c r="Q29" s="108">
        <f>P29-O29</f>
        <v>38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L17" sqref="L16:L1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1197</v>
      </c>
      <c r="F1" s="1"/>
      <c r="G1" s="1"/>
      <c r="H1" s="1"/>
      <c r="I1" s="1"/>
      <c r="J1" s="1"/>
      <c r="K1" s="1"/>
      <c r="L1" s="22">
        <f>+ROUND(+O5*0.584/1000,3)</f>
        <v>12.536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11.488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229.76</v>
      </c>
      <c r="M3" s="18" t="s">
        <v>10</v>
      </c>
      <c r="N3" s="3"/>
      <c r="O3" s="3"/>
      <c r="P3" s="126" t="str">
        <f>+'(1)'!C1&amp;"년"&amp;'(1)'!E1&amp;"월"&amp;C1&amp;"일"</f>
        <v>2022년5월20일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12796.43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8670.1740000000009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45522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425000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380000</v>
      </c>
      <c r="L5" s="2"/>
      <c r="M5" s="20"/>
      <c r="N5" s="45" t="str">
        <f>+C4</f>
        <v>판매량</v>
      </c>
      <c r="O5" s="46">
        <f>SUM(D4+I4+D17+I17+D35+I35)</f>
        <v>21466.603999999999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354.16199999999998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805000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354.16199999999998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14336472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24331900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24331900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225.58099999999999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-7895.335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225.58099999999999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62885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-7895.335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14885499.460999999</v>
      </c>
      <c r="E13" s="29" t="str">
        <f>+'(1)'!E13</f>
        <v>합계</v>
      </c>
      <c r="F13" s="61">
        <f>SUM(F4:F12)</f>
        <v>14885357</v>
      </c>
      <c r="G13" s="62"/>
      <c r="H13" s="29" t="str">
        <f t="shared" si="2"/>
        <v>합계</v>
      </c>
      <c r="I13" s="60">
        <f>SUM((I4-I5-I6-I7-I8-I9)*$E$1+I11)</f>
        <v>10378198.278000001</v>
      </c>
      <c r="J13" s="29" t="str">
        <f t="shared" si="3"/>
        <v>합계</v>
      </c>
      <c r="K13" s="61">
        <f>IF(K8=0,0,SUM(K4:K12)-F8)</f>
        <v>10377428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62885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-142.46099999919534</v>
      </c>
      <c r="G14" s="27"/>
      <c r="H14" s="27"/>
      <c r="I14" s="27"/>
      <c r="J14" s="27"/>
      <c r="K14" s="67">
        <f>SUM(K13-I13)</f>
        <v>-770.27800000086427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25263697.738999996</v>
      </c>
      <c r="P14" s="39" t="str">
        <f t="shared" si="5"/>
        <v>합계</v>
      </c>
      <c r="Q14" s="69">
        <f>SUM(Q5:Q13)</f>
        <v>25262785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-912.7390000000596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27</v>
      </c>
      <c r="Q20" s="53">
        <f>SUM(P20*1000)</f>
        <v>27000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10</v>
      </c>
      <c r="Q23" s="53">
        <f>SUM(P23*1000)</f>
        <v>10000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8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92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164</v>
      </c>
      <c r="Q26" s="69">
        <f>SUM(Q19:Q25)</f>
        <v>52000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14669</v>
      </c>
      <c r="P29" s="107">
        <v>14696</v>
      </c>
      <c r="Q29" s="108">
        <f>P29-O29</f>
        <v>27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1197</v>
      </c>
      <c r="F1" s="1"/>
      <c r="G1" s="1"/>
      <c r="H1" s="1"/>
      <c r="I1" s="1"/>
      <c r="J1" s="1"/>
      <c r="K1" s="1"/>
      <c r="L1" s="22">
        <f>+ROUND(+O5*0.584/1000,3)</f>
        <v>10.388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11.436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240.15600000000001</v>
      </c>
      <c r="M3" s="18" t="s">
        <v>10</v>
      </c>
      <c r="N3" s="3"/>
      <c r="O3" s="3"/>
      <c r="P3" s="126" t="str">
        <f>+'(1)'!C1&amp;"년"&amp;'(1)'!E1&amp;"월"&amp;C1&amp;"일"</f>
        <v>2022년5월21일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10374.550999999999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7412.4790000000003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27195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285000</v>
      </c>
      <c r="L5" s="2"/>
      <c r="M5" s="20"/>
      <c r="N5" s="45" t="str">
        <f>+C4</f>
        <v>판매량</v>
      </c>
      <c r="O5" s="46">
        <f>SUM(D4+I4+D17+I17+D35+I35)</f>
        <v>17787.03</v>
      </c>
      <c r="P5" s="47" t="str">
        <f>+E4</f>
        <v>입금액</v>
      </c>
      <c r="Q5" s="48">
        <f>SUM(F4+K4+F17+K17+F35+K35)</f>
        <v>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110.614</v>
      </c>
      <c r="E6" s="42" t="str">
        <f>+'(1)'!E6</f>
        <v>천원권</v>
      </c>
      <c r="F6" s="44">
        <v>7000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625000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110.614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11926654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20464560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20464560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63.978999999999999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-2239.2649999999999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63.978999999999999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-2239.2649999999999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12283693.323999999</v>
      </c>
      <c r="E13" s="29" t="str">
        <f>+'(1)'!E13</f>
        <v>합계</v>
      </c>
      <c r="F13" s="61">
        <f>SUM(F4:F12)</f>
        <v>12283654</v>
      </c>
      <c r="G13" s="62"/>
      <c r="H13" s="29" t="str">
        <f t="shared" si="2"/>
        <v>합계</v>
      </c>
      <c r="I13" s="60">
        <f>SUM((I4-I5-I6-I7-I8-I9)*$E$1+I11)</f>
        <v>8872737.3629999999</v>
      </c>
      <c r="J13" s="29" t="str">
        <f t="shared" si="3"/>
        <v>합계</v>
      </c>
      <c r="K13" s="61">
        <f>IF(K8=0,0,SUM(K4:K12)-F8)</f>
        <v>8872906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-39.323999999091029</v>
      </c>
      <c r="G14" s="27"/>
      <c r="H14" s="27"/>
      <c r="I14" s="27"/>
      <c r="J14" s="27"/>
      <c r="K14" s="67">
        <f>SUM(K13-I13)</f>
        <v>168.63700000010431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21156430.686999995</v>
      </c>
      <c r="P14" s="39" t="str">
        <f t="shared" si="5"/>
        <v>합계</v>
      </c>
      <c r="Q14" s="69">
        <f>SUM(Q5:Q13)</f>
        <v>21156560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129.31300000101328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9</v>
      </c>
      <c r="Q22" s="53">
        <f>SUM(P22*1000)</f>
        <v>9000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133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232</v>
      </c>
      <c r="Q26" s="69">
        <f>SUM(Q19:Q25)</f>
        <v>81000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14696</v>
      </c>
      <c r="P29" s="107">
        <v>14743</v>
      </c>
      <c r="Q29" s="108">
        <f>P29-O29</f>
        <v>47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21" sqref="P2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1197</v>
      </c>
      <c r="F1" s="1"/>
      <c r="G1" s="1"/>
      <c r="H1" s="1"/>
      <c r="I1" s="1"/>
      <c r="J1" s="1"/>
      <c r="K1" s="1"/>
      <c r="L1" s="22">
        <f>+ROUND(+O5*0.584/1000,3)</f>
        <v>8.07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11.282999999999999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248.226</v>
      </c>
      <c r="M3" s="18" t="s">
        <v>10</v>
      </c>
      <c r="N3" s="3"/>
      <c r="O3" s="3"/>
      <c r="P3" s="126" t="str">
        <f>+'(1)'!C1&amp;"년"&amp;'(1)'!E1&amp;"월"&amp;C1&amp;"일"</f>
        <v>2022년5월22일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8300.4079999999994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5518.4539999999997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48563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175000</v>
      </c>
      <c r="L5" s="2"/>
      <c r="M5" s="20"/>
      <c r="N5" s="45" t="str">
        <f>+C4</f>
        <v>판매량</v>
      </c>
      <c r="O5" s="46">
        <f>SUM(D4+I4+D17+I17+D35+I35)</f>
        <v>13818.861999999999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41.515999999999998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340000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41.515999999999998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9659591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16085846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16085846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58.533999999999999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-2048.69</v>
      </c>
      <c r="E11" s="42" t="str">
        <f>+'(1)'!E11</f>
        <v>모바일</v>
      </c>
      <c r="F11" s="44">
        <v>55000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58.533999999999999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-2048.69</v>
      </c>
      <c r="P12" s="51" t="str">
        <f t="shared" si="5"/>
        <v>모바일</v>
      </c>
      <c r="Q12" s="53">
        <f>SUM(F11+K11+F24+K24+F42+K42)</f>
        <v>55000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9883845.034</v>
      </c>
      <c r="E13" s="29" t="str">
        <f>+'(1)'!E13</f>
        <v>합계</v>
      </c>
      <c r="F13" s="61">
        <f>SUM(F4:F12)</f>
        <v>9884591</v>
      </c>
      <c r="G13" s="62"/>
      <c r="H13" s="29" t="str">
        <f t="shared" si="2"/>
        <v>합계</v>
      </c>
      <c r="I13" s="60">
        <f>SUM((I4-I5-I6-I7-I8-I9)*$E$1+I11)</f>
        <v>6605589.4380000001</v>
      </c>
      <c r="J13" s="29" t="str">
        <f t="shared" si="3"/>
        <v>합계</v>
      </c>
      <c r="K13" s="61">
        <f>IF(K8=0,0,SUM(K4:K12)-F8)</f>
        <v>6605255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745.9660000000149</v>
      </c>
      <c r="G14" s="27"/>
      <c r="H14" s="27"/>
      <c r="I14" s="27"/>
      <c r="J14" s="27"/>
      <c r="K14" s="67">
        <f>SUM(K13-I13)</f>
        <v>-334.43800000008196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16489434.471999999</v>
      </c>
      <c r="P14" s="39" t="str">
        <f t="shared" si="5"/>
        <v>합계</v>
      </c>
      <c r="Q14" s="69">
        <f>SUM(Q5:Q13)</f>
        <v>16489846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411.52799999993294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6</v>
      </c>
      <c r="Q19" s="48">
        <f t="shared" ref="Q19:Q24" si="12"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27</v>
      </c>
      <c r="Q20" s="53">
        <f t="shared" si="12"/>
        <v>27000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4</v>
      </c>
      <c r="Q22" s="53">
        <f t="shared" si="12"/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11</v>
      </c>
      <c r="Q23" s="53">
        <f t="shared" si="12"/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0</v>
      </c>
      <c r="Q24" s="53">
        <f t="shared" si="12"/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107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158</v>
      </c>
      <c r="Q26" s="69">
        <f>SUM(Q19:Q25)</f>
        <v>48000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14743</v>
      </c>
      <c r="P29" s="107">
        <v>14780</v>
      </c>
      <c r="Q29" s="108">
        <f>P29-O29</f>
        <v>37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1197</v>
      </c>
      <c r="F1" s="1"/>
      <c r="G1" s="1"/>
      <c r="H1" s="1"/>
      <c r="I1" s="1"/>
      <c r="J1" s="1"/>
      <c r="K1" s="1"/>
      <c r="L1" s="22">
        <f>+ROUND(+O5*0.584/1000,3)</f>
        <v>12.275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11.326000000000001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260.49799999999999</v>
      </c>
      <c r="M3" s="18" t="s">
        <v>10</v>
      </c>
      <c r="N3" s="3"/>
      <c r="O3" s="3"/>
      <c r="P3" s="126" t="str">
        <f>+'(1)'!C1&amp;"년"&amp;'(1)'!E1&amp;"월"&amp;C1&amp;"일"</f>
        <v>2022년5월23일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13073.243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7946.424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26925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375000</v>
      </c>
      <c r="L5" s="2"/>
      <c r="M5" s="20"/>
      <c r="N5" s="45" t="str">
        <f>+C4</f>
        <v>판매량</v>
      </c>
      <c r="O5" s="46">
        <f>SUM(D4+I4+D17+I17+D35+I35)</f>
        <v>21019.667000000001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417.02199999999999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675000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417.02199999999999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14782085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23914425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23914425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307.858</v>
      </c>
      <c r="E10" s="42" t="str">
        <f>+'(1)'!E10</f>
        <v>OK케시백</v>
      </c>
      <c r="F10" s="44">
        <v>8000</v>
      </c>
      <c r="G10" s="27"/>
      <c r="H10" s="42" t="str">
        <f t="shared" si="2"/>
        <v>고객우대</v>
      </c>
      <c r="I10" s="50">
        <v>42.161999999999999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-10775.03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-1475.67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350.02</v>
      </c>
      <c r="P11" s="51" t="str">
        <f t="shared" si="5"/>
        <v>OK케시백</v>
      </c>
      <c r="Q11" s="53">
        <f>SUM(F10+K10+F23+K23+F41+K41)</f>
        <v>8000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-12250.699999999999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15138721.506999999</v>
      </c>
      <c r="E13" s="29" t="str">
        <f>+'(1)'!E13</f>
        <v>합계</v>
      </c>
      <c r="F13" s="61">
        <f>SUM(F4:F12)</f>
        <v>15138085</v>
      </c>
      <c r="G13" s="62"/>
      <c r="H13" s="29" t="str">
        <f t="shared" si="2"/>
        <v>합계</v>
      </c>
      <c r="I13" s="60">
        <f>SUM((I4-I5-I6-I7-I8-I9)*$E$1+I11)</f>
        <v>9510393.8580000009</v>
      </c>
      <c r="J13" s="29" t="str">
        <f t="shared" si="3"/>
        <v>합계</v>
      </c>
      <c r="K13" s="61">
        <f>IF(K8=0,0,SUM(K4:K12)-F8)</f>
        <v>9510340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-636.50699999928474</v>
      </c>
      <c r="G14" s="27"/>
      <c r="H14" s="27"/>
      <c r="I14" s="27"/>
      <c r="J14" s="27"/>
      <c r="K14" s="67">
        <f>SUM(K13-I13)</f>
        <v>-53.858000000938773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24649115.365000002</v>
      </c>
      <c r="P14" s="39" t="str">
        <f t="shared" si="5"/>
        <v>합계</v>
      </c>
      <c r="Q14" s="69">
        <f>SUM(Q5:Q13)</f>
        <v>24648425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-690.36500000022352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24</v>
      </c>
      <c r="Q19" s="48">
        <f>SUM(P19*1000)</f>
        <v>24000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43</v>
      </c>
      <c r="Q20" s="53">
        <f>SUM(P20*1000)</f>
        <v>43000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19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17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128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251</v>
      </c>
      <c r="Q26" s="69">
        <f>SUM(Q19:Q25)</f>
        <v>87000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14780</v>
      </c>
      <c r="P29" s="107">
        <v>14813</v>
      </c>
      <c r="Q29" s="108">
        <f>P29-O29</f>
        <v>33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9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1197</v>
      </c>
      <c r="F1" s="1"/>
      <c r="G1" s="1"/>
      <c r="H1" s="1"/>
      <c r="I1" s="1"/>
      <c r="J1" s="1"/>
      <c r="K1" s="1"/>
      <c r="L1" s="22">
        <f>+ROUND(+O5*0.584/1000,3)</f>
        <v>12.35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11.369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272.85599999999999</v>
      </c>
      <c r="M3" s="18" t="s">
        <v>10</v>
      </c>
      <c r="N3" s="3"/>
      <c r="O3" s="3"/>
      <c r="P3" s="126" t="str">
        <f>+'(1)'!C1&amp;"년"&amp;'(1)'!E1&amp;"월"&amp;C1&amp;"일"</f>
        <v>2022년5월24일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12594.581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8553.44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40650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265000</v>
      </c>
      <c r="L5" s="2"/>
      <c r="M5" s="20"/>
      <c r="N5" s="45" t="str">
        <f>+C4</f>
        <v>판매량</v>
      </c>
      <c r="O5" s="46">
        <f>SUM(D4+I4+D17+I17+D35+I35)</f>
        <v>21148.021000000001</v>
      </c>
      <c r="P5" s="47" t="str">
        <f>+E4</f>
        <v>입금액</v>
      </c>
      <c r="Q5" s="48">
        <f>SUM(F4+K4+F17+K17+F35+K35)</f>
        <v>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172.24100000000001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51.496000000000002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655000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223.73700000000002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14407330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24312569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24312569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260.04500000000002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62.935000000000002</v>
      </c>
      <c r="J10" s="42" t="str">
        <f t="shared" si="3"/>
        <v>OK케시백</v>
      </c>
      <c r="K10" s="44">
        <v>1000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-9101.5750000000007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-2202.7249999999999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322.98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-11304.300000000001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14860439.405000001</v>
      </c>
      <c r="E13" s="29" t="str">
        <f>+'(1)'!E13</f>
        <v>합계</v>
      </c>
      <c r="F13" s="61">
        <f>SUM(F4:F12)</f>
        <v>14861330</v>
      </c>
      <c r="G13" s="62"/>
      <c r="H13" s="29" t="str">
        <f t="shared" si="2"/>
        <v>합계</v>
      </c>
      <c r="I13" s="60">
        <f>SUM((I4-I5-I6-I7-I8-I9)*$E$1+I11)</f>
        <v>10174624.243000003</v>
      </c>
      <c r="J13" s="29" t="str">
        <f t="shared" si="3"/>
        <v>합계</v>
      </c>
      <c r="K13" s="61">
        <f>IF(K8=0,0,SUM(K4:K12)-F8)</f>
        <v>10174239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890.59499999880791</v>
      </c>
      <c r="G14" s="27"/>
      <c r="H14" s="27"/>
      <c r="I14" s="27"/>
      <c r="J14" s="27"/>
      <c r="K14" s="67">
        <f>SUM(K13-I13)</f>
        <v>-385.2430000025779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25035063.647999998</v>
      </c>
      <c r="P14" s="39" t="str">
        <f t="shared" si="5"/>
        <v>합계</v>
      </c>
      <c r="Q14" s="69">
        <f>SUM(Q5:Q13)</f>
        <v>25035569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505.35199999623001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36</v>
      </c>
      <c r="Q20" s="53">
        <f>SUM(P20*1000)</f>
        <v>36000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14</v>
      </c>
      <c r="Q23" s="53">
        <f>SUM(P23*1000)</f>
        <v>14000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101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188</v>
      </c>
      <c r="Q26" s="69">
        <f>SUM(Q19:Q25)</f>
        <v>67000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14813</v>
      </c>
      <c r="P29" s="107">
        <v>14851</v>
      </c>
      <c r="Q29" s="108">
        <f>P29-O29</f>
        <v>38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1197</v>
      </c>
      <c r="F1" s="1"/>
      <c r="G1" s="1"/>
      <c r="H1" s="1"/>
      <c r="I1" s="1"/>
      <c r="J1" s="1"/>
      <c r="K1" s="1"/>
      <c r="L1" s="22">
        <f>+ROUND(+O5*0.584/1000,3)</f>
        <v>11.978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11.393000000000001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284.82500000000005</v>
      </c>
      <c r="M3" s="18" t="s">
        <v>10</v>
      </c>
      <c r="N3" s="3"/>
      <c r="O3" s="3"/>
      <c r="P3" s="126" t="str">
        <f>+'(1)'!C1&amp;"년"&amp;'(1)'!E1&amp;"월"&amp;C1&amp;"일"</f>
        <v>2022년5월25일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12081.950999999999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8427.7289999999994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19373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240000</v>
      </c>
      <c r="L5" s="2"/>
      <c r="M5" s="20"/>
      <c r="N5" s="45" t="str">
        <f>+C4</f>
        <v>판매량</v>
      </c>
      <c r="O5" s="46">
        <f>SUM(D4+I4+D17+I17+D35+I35)</f>
        <v>20509.68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428.86200000000002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20.224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535000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449.08600000000001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13627312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23449768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23449768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302.76400000000001</v>
      </c>
      <c r="E10" s="42" t="str">
        <f>+'(1)'!E10</f>
        <v>OK케시백</v>
      </c>
      <c r="F10" s="44">
        <v>3781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-10596.74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302.76400000000001</v>
      </c>
      <c r="P11" s="51" t="str">
        <f t="shared" si="5"/>
        <v>OK케시백</v>
      </c>
      <c r="Q11" s="53">
        <f>SUM(F10+K10+F23+K23+F41+K41)</f>
        <v>3781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-10596.74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13938150.793</v>
      </c>
      <c r="E13" s="29" t="str">
        <f>+'(1)'!E13</f>
        <v>합계</v>
      </c>
      <c r="F13" s="61">
        <f>SUM(F4:F12)</f>
        <v>13938093</v>
      </c>
      <c r="G13" s="62"/>
      <c r="H13" s="29" t="str">
        <f t="shared" si="2"/>
        <v>합계</v>
      </c>
      <c r="I13" s="60">
        <f>SUM((I4-I5-I6-I7-I8-I9)*$E$1+I11)</f>
        <v>10063783.484999999</v>
      </c>
      <c r="J13" s="29" t="str">
        <f t="shared" si="3"/>
        <v>합계</v>
      </c>
      <c r="K13" s="61">
        <f>IF(K8=0,0,SUM(K4:K12)-F8)</f>
        <v>10063456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-57.792999999597669</v>
      </c>
      <c r="G14" s="27"/>
      <c r="H14" s="27"/>
      <c r="I14" s="27"/>
      <c r="J14" s="27"/>
      <c r="K14" s="67">
        <f>SUM(K13-I13)</f>
        <v>-327.48499999940395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24001934.278000005</v>
      </c>
      <c r="P14" s="39" t="str">
        <f t="shared" si="5"/>
        <v>합계</v>
      </c>
      <c r="Q14" s="69">
        <f>SUM(Q5:Q13)</f>
        <v>24001549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-385.27799999900162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30</v>
      </c>
      <c r="Q20" s="53">
        <f>SUM(P20*1000)</f>
        <v>30000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9</v>
      </c>
      <c r="Q23" s="53">
        <f>SUM(P23*1000)</f>
        <v>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3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70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139</v>
      </c>
      <c r="Q26" s="69">
        <f>SUM(Q19:Q25)</f>
        <v>54000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14851</v>
      </c>
      <c r="P29" s="107">
        <v>14874</v>
      </c>
      <c r="Q29" s="108">
        <f>P29-O29</f>
        <v>23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1197</v>
      </c>
      <c r="F1" s="1"/>
      <c r="G1" s="1"/>
      <c r="H1" s="1"/>
      <c r="I1" s="1"/>
      <c r="J1" s="1"/>
      <c r="K1" s="1"/>
      <c r="L1" s="22">
        <f>+ROUND(+O5*0.584/1000,3)</f>
        <v>13.411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11.471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298.24599999999998</v>
      </c>
      <c r="M3" s="18" t="s">
        <v>10</v>
      </c>
      <c r="N3" s="3"/>
      <c r="O3" s="3"/>
      <c r="P3" s="126" t="str">
        <f>+'(1)'!C1&amp;"년"&amp;'(1)'!E1&amp;"월"&amp;C1&amp;"일"</f>
        <v>2022년5월26일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14038.388000000001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8925.0490000000009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32063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285000</v>
      </c>
      <c r="L5" s="2"/>
      <c r="M5" s="20"/>
      <c r="N5" s="45" t="str">
        <f>+C4</f>
        <v>판매량</v>
      </c>
      <c r="O5" s="46">
        <f>SUM(D4+I4+D17+I17+D35+I35)</f>
        <v>22963.437000000002</v>
      </c>
      <c r="P5" s="47" t="str">
        <f>+E4</f>
        <v>입금액</v>
      </c>
      <c r="Q5" s="48">
        <f>SUM(F4+K4+F17+K17+F35+K35)</f>
        <v>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255.23099999999999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22.7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565000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277.93099999999998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16113990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26480946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26480946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211.54499999999999</v>
      </c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>
        <v>45.283999999999999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-7404.0749999999998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-1584.94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256.82900000000001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75783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-8989.0149999999994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16491034.854000002</v>
      </c>
      <c r="E13" s="29" t="str">
        <f>+'(1)'!E13</f>
        <v>합계</v>
      </c>
      <c r="F13" s="61">
        <f>SUM(F4:F12)</f>
        <v>16490773</v>
      </c>
      <c r="G13" s="62"/>
      <c r="H13" s="29" t="str">
        <f t="shared" si="2"/>
        <v>합계</v>
      </c>
      <c r="I13" s="60">
        <f>SUM((I4-I5-I6-I7-I8-I9)*$E$1+I11)</f>
        <v>10654526.813000001</v>
      </c>
      <c r="J13" s="29" t="str">
        <f t="shared" si="3"/>
        <v>합계</v>
      </c>
      <c r="K13" s="61">
        <f>IF(K8=0,0,SUM(K4:K12)-F8)</f>
        <v>10654956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75783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-261.85400000214577</v>
      </c>
      <c r="G14" s="27"/>
      <c r="H14" s="27"/>
      <c r="I14" s="27"/>
      <c r="J14" s="27"/>
      <c r="K14" s="67">
        <f>SUM(K13-I13)</f>
        <v>429.18699999898672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27145561.666999999</v>
      </c>
      <c r="P14" s="39" t="str">
        <f t="shared" si="5"/>
        <v>합계</v>
      </c>
      <c r="Q14" s="69">
        <f>SUM(Q5:Q13)</f>
        <v>27145729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167.33299999684095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59</v>
      </c>
      <c r="Q20" s="53">
        <f>SUM(P20*1000)</f>
        <v>59000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20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36</v>
      </c>
      <c r="Q23" s="53">
        <f>SUM(P23*1000)</f>
        <v>36000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17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140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297</v>
      </c>
      <c r="Q26" s="69">
        <f>SUM(Q19:Q25)</f>
        <v>120000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14874</v>
      </c>
      <c r="P29" s="107">
        <v>14916</v>
      </c>
      <c r="Q29" s="108">
        <f>P29-O29</f>
        <v>42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1197</v>
      </c>
      <c r="F1" s="1"/>
      <c r="G1" s="1"/>
      <c r="H1" s="1"/>
      <c r="I1" s="1"/>
      <c r="J1" s="1"/>
      <c r="K1" s="1"/>
      <c r="L1" s="22">
        <f>+ROUND(+O5*0.584/1000,3)</f>
        <v>13.127000000000001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11.532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311.36399999999998</v>
      </c>
      <c r="M3" s="18" t="s">
        <v>10</v>
      </c>
      <c r="N3" s="3"/>
      <c r="O3" s="3"/>
      <c r="P3" s="126" t="str">
        <f>+'(1)'!C1&amp;"년"&amp;'(1)'!E1&amp;"월"&amp;C1&amp;"일"</f>
        <v>2022년5월27일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13095.182000000001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9382.5249999999996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43792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265000</v>
      </c>
      <c r="L5" s="2"/>
      <c r="M5" s="20"/>
      <c r="N5" s="45" t="str">
        <f>+C4</f>
        <v>판매량</v>
      </c>
      <c r="O5" s="46">
        <f>SUM(D4+I4+D17+I17+D35+I35)</f>
        <v>22477.707000000002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303.01600000000002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18.722999999999999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575000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321.73900000000003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14971607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25905499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25905499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107.08799999999999</v>
      </c>
      <c r="E10" s="42" t="str">
        <f>+'(1)'!E10</f>
        <v>OK케시백</v>
      </c>
      <c r="F10" s="44">
        <v>10000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-3748.08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107.08799999999999</v>
      </c>
      <c r="P11" s="51" t="str">
        <f t="shared" si="5"/>
        <v>OK케시백</v>
      </c>
      <c r="Q11" s="53">
        <f>SUM(F10+K10+F23+K23+F41+K41)</f>
        <v>10000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-3748.08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15308474.622000001</v>
      </c>
      <c r="E13" s="29" t="str">
        <f>+'(1)'!E13</f>
        <v>합계</v>
      </c>
      <c r="F13" s="61">
        <f>SUM(F4:F12)</f>
        <v>15309607</v>
      </c>
      <c r="G13" s="62"/>
      <c r="H13" s="29" t="str">
        <f t="shared" si="2"/>
        <v>합계</v>
      </c>
      <c r="I13" s="60">
        <f>SUM((I4-I5-I6-I7-I8-I9)*$E$1+I11)</f>
        <v>11208470.993999999</v>
      </c>
      <c r="J13" s="29" t="str">
        <f t="shared" si="3"/>
        <v>합계</v>
      </c>
      <c r="K13" s="61">
        <f>IF(K8=0,0,SUM(K4:K12)-F8)</f>
        <v>11208892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1132.3779999986291</v>
      </c>
      <c r="G14" s="27"/>
      <c r="H14" s="27"/>
      <c r="I14" s="27"/>
      <c r="J14" s="27"/>
      <c r="K14" s="67">
        <f>SUM(K13-I13)</f>
        <v>421.00600000098348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26516945.616000004</v>
      </c>
      <c r="P14" s="39" t="str">
        <f t="shared" si="5"/>
        <v>합계</v>
      </c>
      <c r="Q14" s="69">
        <f>SUM(Q5:Q13)</f>
        <v>26518499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1553.3839999996126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13</v>
      </c>
      <c r="Q23" s="53">
        <f>SUM(P23*1000)</f>
        <v>13000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8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151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232</v>
      </c>
      <c r="Q26" s="69">
        <f>SUM(Q19:Q25)</f>
        <v>65000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14916</v>
      </c>
      <c r="P29" s="107">
        <v>14963</v>
      </c>
      <c r="Q29" s="108">
        <f>P29-O29</f>
        <v>47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1197</v>
      </c>
      <c r="F1" s="1"/>
      <c r="G1" s="1"/>
      <c r="H1" s="1"/>
      <c r="I1" s="1"/>
      <c r="J1" s="1"/>
      <c r="K1" s="1"/>
      <c r="L1" s="22">
        <f>+ROUND(+O5*0.584/1000,3)</f>
        <v>10.866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11.507999999999999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322.22399999999999</v>
      </c>
      <c r="M3" s="18" t="s">
        <v>10</v>
      </c>
      <c r="N3" s="3"/>
      <c r="O3" s="3"/>
      <c r="P3" s="126" t="str">
        <f>+'(1)'!C1&amp;"년"&amp;'(1)'!E1&amp;"월"&amp;C1&amp;"일"</f>
        <v>2022년5월28일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11080.927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7525.9489999999996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24583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205000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330000</v>
      </c>
      <c r="L5" s="2"/>
      <c r="M5" s="20"/>
      <c r="N5" s="45" t="str">
        <f>+C4</f>
        <v>판매량</v>
      </c>
      <c r="O5" s="46">
        <f>SUM(D4+I4+D17+I17+D35+I35)</f>
        <v>18606.876</v>
      </c>
      <c r="P5" s="47" t="str">
        <f>+E4</f>
        <v>입금액</v>
      </c>
      <c r="Q5" s="48">
        <f>SUM(F4+K4+F17+K17+F35+K35)</f>
        <v>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176.143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535000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176.143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12737565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21410367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21410367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236.267</v>
      </c>
      <c r="E10" s="42" t="str">
        <f>+'(1)'!E10</f>
        <v>OK케시백</v>
      </c>
      <c r="F10" s="44">
        <v>36574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-8269.3449999999993</v>
      </c>
      <c r="E11" s="42" t="str">
        <f>+'(1)'!E11</f>
        <v>모바일</v>
      </c>
      <c r="F11" s="44">
        <v>14000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236.267</v>
      </c>
      <c r="P11" s="51" t="str">
        <f t="shared" si="5"/>
        <v>OK케시백</v>
      </c>
      <c r="Q11" s="53">
        <f>SUM(F10+K10+F23+K23+F41+K41)</f>
        <v>36574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-8269.3449999999993</v>
      </c>
      <c r="P12" s="51" t="str">
        <f t="shared" si="5"/>
        <v>모바일</v>
      </c>
      <c r="Q12" s="53">
        <f>SUM(F11+K11+F24+K24+F42+K42)</f>
        <v>19000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13044757.102999998</v>
      </c>
      <c r="E13" s="29" t="str">
        <f>+'(1)'!E13</f>
        <v>합계</v>
      </c>
      <c r="F13" s="61">
        <f>SUM(F4:F12)</f>
        <v>13044139</v>
      </c>
      <c r="G13" s="62"/>
      <c r="H13" s="29" t="str">
        <f t="shared" si="2"/>
        <v>합계</v>
      </c>
      <c r="I13" s="60">
        <f>SUM((I4-I5-I6-I7-I8-I9)*$E$1+I11)</f>
        <v>9008560.9529999997</v>
      </c>
      <c r="J13" s="29" t="str">
        <f t="shared" si="3"/>
        <v>합계</v>
      </c>
      <c r="K13" s="61">
        <f>IF(K8=0,0,SUM(K4:K12)-F8)</f>
        <v>9007802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-618.10299999825656</v>
      </c>
      <c r="G14" s="27"/>
      <c r="H14" s="27"/>
      <c r="I14" s="27"/>
      <c r="J14" s="27"/>
      <c r="K14" s="67">
        <f>SUM(K13-I13)</f>
        <v>-758.95299999974668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22053318.056000002</v>
      </c>
      <c r="P14" s="39" t="str">
        <f t="shared" si="5"/>
        <v>합계</v>
      </c>
      <c r="Q14" s="69">
        <f>SUM(Q5:Q13)</f>
        <v>22051941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-1377.0559999980032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11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15</v>
      </c>
      <c r="Q23" s="53">
        <f>SUM(P23*1000)</f>
        <v>15000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8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105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194</v>
      </c>
      <c r="Q26" s="69">
        <f>SUM(Q19:Q25)</f>
        <v>70000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14963</v>
      </c>
      <c r="P29" s="107">
        <v>14997</v>
      </c>
      <c r="Q29" s="108">
        <f>P29-O29</f>
        <v>34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5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1197</v>
      </c>
      <c r="F1" s="1"/>
      <c r="G1" s="1"/>
      <c r="H1" s="1"/>
      <c r="I1" s="1"/>
      <c r="J1" s="1"/>
      <c r="K1" s="1"/>
      <c r="L1" s="22">
        <f>+ROUND(+O5*0.584/1000,3)</f>
        <v>8.0410000000000004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11.388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330.25200000000001</v>
      </c>
      <c r="M3" s="18" t="s">
        <v>10</v>
      </c>
      <c r="N3" s="3"/>
      <c r="O3" s="3"/>
      <c r="P3" s="126" t="str">
        <f>+'(1)'!C1&amp;"년"&amp;'(1)'!E1&amp;"월"&amp;C1&amp;"일"</f>
        <v>2022년5월29일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7951.518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5817.7849999999999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47387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250000</v>
      </c>
      <c r="L5" s="2"/>
      <c r="M5" s="20"/>
      <c r="N5" s="45" t="str">
        <f>+C4</f>
        <v>판매량</v>
      </c>
      <c r="O5" s="46">
        <f>SUM(D4+I4+D17+I17+D35+I35)</f>
        <v>13769.303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25.157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590000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25.157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9085865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15763486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15763486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38869</v>
      </c>
      <c r="G10" s="27"/>
      <c r="H10" s="42" t="str">
        <f t="shared" si="2"/>
        <v>고객우대</v>
      </c>
      <c r="I10" s="50">
        <v>50.683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50000</v>
      </c>
      <c r="G11" s="27"/>
      <c r="H11" s="87" t="str">
        <f t="shared" si="2"/>
        <v>-</v>
      </c>
      <c r="I11" s="55">
        <f>SUM(I10*-35)</f>
        <v>-1773.905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50.683</v>
      </c>
      <c r="P11" s="51" t="str">
        <f t="shared" si="5"/>
        <v>OK케시백</v>
      </c>
      <c r="Q11" s="53">
        <f>SUM(F10+K10+F23+K23+F41+K41)</f>
        <v>40869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-1773.905</v>
      </c>
      <c r="P12" s="51" t="str">
        <f t="shared" si="5"/>
        <v>모바일</v>
      </c>
      <c r="Q12" s="53">
        <f>SUM(F11+K11+F24+K24+F42+K42)</f>
        <v>50000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9517967.0460000001</v>
      </c>
      <c r="E13" s="29" t="str">
        <f>+'(1)'!E13</f>
        <v>합계</v>
      </c>
      <c r="F13" s="61">
        <f>SUM(F4:F12)</f>
        <v>9518734</v>
      </c>
      <c r="G13" s="62"/>
      <c r="H13" s="29" t="str">
        <f t="shared" si="2"/>
        <v>합계</v>
      </c>
      <c r="I13" s="60">
        <f>SUM((I4-I5-I6-I7-I8-I9)*$E$1+I11)</f>
        <v>6932001.8109999998</v>
      </c>
      <c r="J13" s="29" t="str">
        <f t="shared" si="3"/>
        <v>합계</v>
      </c>
      <c r="K13" s="61">
        <f>IF(K8=0,0,SUM(K4:K12)-F8)</f>
        <v>6931621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766.95399999991059</v>
      </c>
      <c r="G14" s="27"/>
      <c r="H14" s="27"/>
      <c r="I14" s="27"/>
      <c r="J14" s="27"/>
      <c r="K14" s="67">
        <f>SUM(K13-I13)</f>
        <v>-380.81099999975413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16449968.857000001</v>
      </c>
      <c r="P14" s="39" t="str">
        <f t="shared" si="5"/>
        <v>합계</v>
      </c>
      <c r="Q14" s="69">
        <f>SUM(Q5:Q13)</f>
        <v>16450355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386.14300000015646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14997</v>
      </c>
      <c r="P29" s="107">
        <v>14997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F1" workbookViewId="0">
      <selection activeCell="M19" sqref="M1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9" style="10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1197</v>
      </c>
      <c r="F1" s="1"/>
      <c r="G1" s="1"/>
      <c r="H1" s="1"/>
      <c r="I1" s="1"/>
      <c r="J1" s="1"/>
      <c r="K1" s="1"/>
      <c r="L1" s="21">
        <f>+ROUND(+O5*0.584/1000,3)</f>
        <v>11.954000000000001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11.865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35.594999999999999</v>
      </c>
      <c r="M3" s="18" t="s">
        <v>10</v>
      </c>
      <c r="N3" s="3"/>
      <c r="O3" s="3"/>
      <c r="P3" s="126" t="str">
        <f>+'(1)'!C1&amp;"년"&amp;'(1)'!E1&amp;"월"&amp;C1&amp;"일"</f>
        <v>2022년5월3일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12541.165000000001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7927.8419999999996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30472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350000</v>
      </c>
      <c r="L5" s="2"/>
      <c r="M5" s="20"/>
      <c r="N5" s="45" t="str">
        <f>+C4</f>
        <v>판매량</v>
      </c>
      <c r="O5" s="46">
        <f>SUM(D4+I4+D17+I17+D35+I35)</f>
        <v>20469.007000000001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200.185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665000</v>
      </c>
      <c r="R6" s="7">
        <v>1.4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200.185</v>
      </c>
      <c r="P7" s="51" t="str">
        <f t="shared" ref="P7:P14" si="5">+E6</f>
        <v>천원권</v>
      </c>
      <c r="Q7" s="53">
        <f>SUM(F6+K6+F19+K19+F37+K37)</f>
        <v>2000</v>
      </c>
      <c r="R7" s="5" t="s">
        <v>51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14419662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23556477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23556477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281.05700000000002</v>
      </c>
      <c r="E10" s="42" t="str">
        <f>+'(1)'!E10</f>
        <v>OK케시백</v>
      </c>
      <c r="F10" s="44">
        <v>7000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-9836.9950000000008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281.05700000000002</v>
      </c>
      <c r="P11" s="51" t="str">
        <f t="shared" si="5"/>
        <v>OK케시백</v>
      </c>
      <c r="Q11" s="53">
        <f>SUM(F10+K10+F23+K23+F41+K41)</f>
        <v>7000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-9836.9950000000008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14762316.065000003</v>
      </c>
      <c r="E13" s="29" t="str">
        <f>+'(1)'!E13</f>
        <v>합계</v>
      </c>
      <c r="F13" s="61">
        <f>SUM(F4:F12)</f>
        <v>14761662</v>
      </c>
      <c r="G13" s="62"/>
      <c r="H13" s="29" t="str">
        <f t="shared" si="2"/>
        <v>합계</v>
      </c>
      <c r="I13" s="60">
        <f>SUM((I4-I5-I6-I7-I8-I9)*$E$1+I11)</f>
        <v>9489626.8739999998</v>
      </c>
      <c r="J13" s="29" t="str">
        <f t="shared" si="3"/>
        <v>합계</v>
      </c>
      <c r="K13" s="61">
        <f>IF(K8=0,0,SUM(K4:K12)-F8)</f>
        <v>9488815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-654.06500000320375</v>
      </c>
      <c r="G14" s="27"/>
      <c r="H14" s="27"/>
      <c r="I14" s="27"/>
      <c r="J14" s="27"/>
      <c r="K14" s="67">
        <f>SUM(K13-I13)</f>
        <v>-811.87399999983609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24251942.938999999</v>
      </c>
      <c r="P14" s="39" t="str">
        <f t="shared" si="5"/>
        <v>합계</v>
      </c>
      <c r="Q14" s="69">
        <f>SUM(Q5:Q13)</f>
        <v>24250477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-1465.9390000030398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37</v>
      </c>
      <c r="Q20" s="53">
        <f>SUM(P20*1000)</f>
        <v>37000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14</v>
      </c>
      <c r="Q23" s="53">
        <f>SUM(P23*1000)</f>
        <v>14000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128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213</v>
      </c>
      <c r="Q26" s="69">
        <f>SUM(Q19:Q25)</f>
        <v>67000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14160</v>
      </c>
      <c r="P29" s="107">
        <v>14195</v>
      </c>
      <c r="Q29" s="108">
        <f>P29-O29</f>
        <v>35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F11" sqref="F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1197</v>
      </c>
      <c r="F1" s="1"/>
      <c r="G1" s="1"/>
      <c r="H1" s="1"/>
      <c r="I1" s="1"/>
      <c r="J1" s="1"/>
      <c r="K1" s="1"/>
      <c r="L1" s="22">
        <f>+ROUND(+O5*0.584/1000,3)</f>
        <v>11.744999999999999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11.4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342</v>
      </c>
      <c r="M3" s="18" t="s">
        <v>10</v>
      </c>
      <c r="N3" s="3"/>
      <c r="O3" s="3"/>
      <c r="P3" s="126" t="str">
        <f>+'(1)'!C1&amp;"년"&amp;'(1)'!E1&amp;"월"&amp;C1&amp;"일"</f>
        <v>2022년5월30일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12658.813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7453.2290000000003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26542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165000</v>
      </c>
      <c r="L5" s="2"/>
      <c r="M5" s="20"/>
      <c r="N5" s="45" t="str">
        <f>+C4</f>
        <v>판매량</v>
      </c>
      <c r="O5" s="46">
        <f>SUM(D4+I4+D17+I17+D35+I35)</f>
        <v>20112.042000000001</v>
      </c>
      <c r="P5" s="47" t="str">
        <f>+E4</f>
        <v>입금액</v>
      </c>
      <c r="Q5" s="48">
        <f>SUM(F4+K4+F17+K17+F35+K35)</f>
        <v>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284.43700000000001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710000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284.43700000000001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14144097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22890849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40000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22890849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287.10000000000002</v>
      </c>
      <c r="E10" s="42" t="str">
        <f>+'(1)'!E10</f>
        <v>OK케시백</v>
      </c>
      <c r="F10" s="44">
        <v>52250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40000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-10048.5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287.10000000000002</v>
      </c>
      <c r="P11" s="51" t="str">
        <f t="shared" si="5"/>
        <v>OK케시백</v>
      </c>
      <c r="Q11" s="53">
        <f>SUM(F10+K10+F23+K23+F41+K41)</f>
        <v>52250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-10048.5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14802079.572000001</v>
      </c>
      <c r="E13" s="29" t="str">
        <f>+'(1)'!E13</f>
        <v>합계</v>
      </c>
      <c r="F13" s="61">
        <f>SUM(F4:F12)</f>
        <v>14802347</v>
      </c>
      <c r="G13" s="62"/>
      <c r="H13" s="29" t="str">
        <f t="shared" si="2"/>
        <v>합계</v>
      </c>
      <c r="I13" s="60">
        <f>SUM((I4-I5-I6-I7-I8-I9)*$E$1+I11)</f>
        <v>8921515.1129999999</v>
      </c>
      <c r="J13" s="29" t="str">
        <f t="shared" si="3"/>
        <v>합계</v>
      </c>
      <c r="K13" s="61">
        <f>IF(K8=0,0,SUM(K4:K12)-F8)</f>
        <v>8920752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267.42799999937415</v>
      </c>
      <c r="G14" s="27"/>
      <c r="H14" s="27"/>
      <c r="I14" s="27"/>
      <c r="J14" s="27"/>
      <c r="K14" s="67">
        <f>SUM(K13-I13)</f>
        <v>-763.11299999989569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23723594.684999999</v>
      </c>
      <c r="P14" s="39" t="str">
        <f t="shared" si="5"/>
        <v>합계</v>
      </c>
      <c r="Q14" s="69">
        <f>SUM(Q5:Q13)</f>
        <v>23723099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-495.68500000052154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13</v>
      </c>
      <c r="Q20" s="53">
        <f>SUM(P20*1000)</f>
        <v>13000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13</v>
      </c>
      <c r="Q23" s="53">
        <f>SUM(P23*1000)</f>
        <v>13000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65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120</v>
      </c>
      <c r="Q26" s="69">
        <f>SUM(Q19:Q25)</f>
        <v>42000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14997</v>
      </c>
      <c r="P29" s="107">
        <v>15011</v>
      </c>
      <c r="Q29" s="108">
        <f>P29-O29</f>
        <v>14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1197</v>
      </c>
      <c r="F1" s="1"/>
      <c r="G1" s="1"/>
      <c r="H1" s="1"/>
      <c r="I1" s="1"/>
      <c r="J1" s="1"/>
      <c r="K1" s="1"/>
      <c r="L1" s="22">
        <f>+ROUND(+O5*0.584/1000,3)</f>
        <v>7.83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11.285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349.83499999999998</v>
      </c>
      <c r="M3" s="18" t="s">
        <v>10</v>
      </c>
      <c r="N3" s="3"/>
      <c r="O3" s="3"/>
      <c r="P3" s="126" t="str">
        <f>+'(1)'!C1&amp;"년"&amp;'(1)'!E1&amp;"월"&amp;C1&amp;"일"</f>
        <v>2022년5월31일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12482.093999999999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925.70500000000004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21220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25000</v>
      </c>
      <c r="L5" s="2"/>
      <c r="M5" s="20"/>
      <c r="N5" s="45" t="str">
        <f>+C4</f>
        <v>판매량</v>
      </c>
      <c r="O5" s="46">
        <f>SUM(D4+I4+D17+I17+D35+I35)</f>
        <v>13407.798999999999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329.41300000000001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345000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329.41300000000001</v>
      </c>
      <c r="P7" s="51" t="str">
        <f t="shared" ref="P7:P14" si="5">+E6</f>
        <v>천원권</v>
      </c>
      <c r="Q7" s="53">
        <f>SUM(F6+K6+F19+K19+F37+K37)</f>
        <v>2000</v>
      </c>
      <c r="R7" s="5" t="s">
        <v>61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14134599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15211654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15211654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150.17599999999999</v>
      </c>
      <c r="E10" s="42" t="str">
        <f>+'(1)'!E10</f>
        <v>OK케시백</v>
      </c>
      <c r="F10" s="44">
        <v>28642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-5256.16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150.17599999999999</v>
      </c>
      <c r="P11" s="51" t="str">
        <f t="shared" si="5"/>
        <v>OK케시백</v>
      </c>
      <c r="Q11" s="53">
        <f>SUM(F10+K10+F23+K23+F41+K41)</f>
        <v>28642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56554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-5256.16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14541502.996999998</v>
      </c>
      <c r="E13" s="29" t="str">
        <f>+'(1)'!E13</f>
        <v>합계</v>
      </c>
      <c r="F13" s="61">
        <f>SUM(F4:F12)</f>
        <v>14540795</v>
      </c>
      <c r="G13" s="62"/>
      <c r="H13" s="29" t="str">
        <f t="shared" si="2"/>
        <v>합계</v>
      </c>
      <c r="I13" s="60">
        <f>SUM((I4-I5-I6-I7-I8-I9)*$E$1+I11)</f>
        <v>1108068.885</v>
      </c>
      <c r="J13" s="29" t="str">
        <f t="shared" si="3"/>
        <v>합계</v>
      </c>
      <c r="K13" s="61">
        <f>IF(K8=0,0,SUM(K4:K12)-F8)</f>
        <v>1108055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56554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-707.99699999764562</v>
      </c>
      <c r="G14" s="27"/>
      <c r="H14" s="27"/>
      <c r="I14" s="27"/>
      <c r="J14" s="27"/>
      <c r="K14" s="67">
        <f>SUM(K13-I13)</f>
        <v>-13.885000000009313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15649571.881999997</v>
      </c>
      <c r="P14" s="39" t="str">
        <f t="shared" si="5"/>
        <v>합계</v>
      </c>
      <c r="Q14" s="69">
        <f>SUM(Q5:Q13)</f>
        <v>15648850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-721.88199999765493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37</v>
      </c>
      <c r="Q20" s="53">
        <f>SUM(P20*1000)</f>
        <v>37000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122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223</v>
      </c>
      <c r="Q26" s="69">
        <f>SUM(Q19:Q25)</f>
        <v>80000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15011</v>
      </c>
      <c r="P29" s="107">
        <v>15043</v>
      </c>
      <c r="Q29" s="108">
        <f>P29-O29</f>
        <v>32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G1" workbookViewId="0">
      <selection activeCell="S13" sqref="S13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1197</v>
      </c>
      <c r="F1" s="1"/>
      <c r="G1" s="1"/>
      <c r="H1" s="1"/>
      <c r="I1" s="1"/>
      <c r="J1" s="1"/>
      <c r="K1" s="1"/>
      <c r="L1" s="21">
        <f>+ROUND(+O5*0.584/1000,3)</f>
        <v>12.680999999999999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12.069000000000001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48.276000000000003</v>
      </c>
      <c r="M3" s="18" t="s">
        <v>10</v>
      </c>
      <c r="N3" s="3"/>
      <c r="O3" s="3"/>
      <c r="P3" s="126" t="str">
        <f>+'(1)'!C1&amp;"년"&amp;'(1)'!E1&amp;"월"&amp;C1&amp;"일"</f>
        <v>2022년5월4일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12341.507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9372.8420000000006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43792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305000</v>
      </c>
      <c r="L5" s="2"/>
      <c r="M5" s="20"/>
      <c r="N5" s="45" t="str">
        <f>+C4</f>
        <v>판매량</v>
      </c>
      <c r="O5" s="46">
        <f>SUM(D4+I4+D17+I17+D35+I35)</f>
        <v>21714.349000000002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253.06100000000001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565000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253.06100000000001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14188264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25032378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25032378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18000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15000</v>
      </c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18000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14469869.862</v>
      </c>
      <c r="E13" s="29" t="str">
        <f>+'(1)'!E13</f>
        <v>합계</v>
      </c>
      <c r="F13" s="61">
        <f>SUM(F4:F12)</f>
        <v>14470264</v>
      </c>
      <c r="G13" s="62"/>
      <c r="H13" s="29" t="str">
        <f t="shared" si="2"/>
        <v>합계</v>
      </c>
      <c r="I13" s="60">
        <f>SUM((I4-I5-I6-I7-I8-I9)*$E$1+I11)</f>
        <v>11219291.874</v>
      </c>
      <c r="J13" s="29" t="str">
        <f t="shared" si="3"/>
        <v>합계</v>
      </c>
      <c r="K13" s="61">
        <f>IF(K8=0,0,SUM(K4:K12)-F8)</f>
        <v>11218114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394.13800000026822</v>
      </c>
      <c r="G14" s="27"/>
      <c r="H14" s="27"/>
      <c r="I14" s="27"/>
      <c r="J14" s="27"/>
      <c r="K14" s="67">
        <f>SUM(K13-I13)</f>
        <v>-1177.8739999998361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25689161.736000001</v>
      </c>
      <c r="P14" s="39" t="str">
        <f t="shared" si="5"/>
        <v>합계</v>
      </c>
      <c r="Q14" s="69">
        <f>SUM(Q5:Q13)</f>
        <v>25688378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-783.73599999956787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41</v>
      </c>
      <c r="Q20" s="53">
        <f>SUM(P20*1000)</f>
        <v>41000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17</v>
      </c>
      <c r="Q23" s="53">
        <f>SUM(P23*1000)</f>
        <v>17000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100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197</v>
      </c>
      <c r="Q26" s="69">
        <f>SUM(Q19:Q25)</f>
        <v>71000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14195</v>
      </c>
      <c r="P29" s="107">
        <v>14217</v>
      </c>
      <c r="Q29" s="108">
        <f>P29-O29</f>
        <v>22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F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1197</v>
      </c>
      <c r="F1" s="1"/>
      <c r="G1" s="1"/>
      <c r="H1" s="1"/>
      <c r="I1" s="101"/>
      <c r="J1" s="1"/>
      <c r="K1" s="1"/>
      <c r="L1" s="21">
        <f>+ROUND(+O5*0.584/1000,3)</f>
        <v>8.8160000000000007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11.417999999999999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57.089999999999996</v>
      </c>
      <c r="M3" s="18" t="s">
        <v>10</v>
      </c>
      <c r="N3" s="3"/>
      <c r="O3" s="3"/>
      <c r="P3" s="126" t="str">
        <f>+'(1)'!C1&amp;"년"&amp;'(1)'!E1&amp;"월"&amp;C1&amp;"일"</f>
        <v>2022년5월5일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9034.6380000000008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6060.8029999999999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28509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130000</v>
      </c>
      <c r="L5" s="2"/>
      <c r="M5" s="20"/>
      <c r="N5" s="45" t="str">
        <f>+C4</f>
        <v>판매량</v>
      </c>
      <c r="O5" s="46">
        <f>SUM(D4+I4+D17+I17+D35+I35)</f>
        <v>15095.441000000001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31.532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22.998000000000001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440000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54.53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10446668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17534514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17534514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9000</v>
      </c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24000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10776717.882000001</v>
      </c>
      <c r="E13" s="29" t="str">
        <f>+'(1)'!E13</f>
        <v>합계</v>
      </c>
      <c r="F13" s="61">
        <f>SUM(F4:F12)</f>
        <v>10776668</v>
      </c>
      <c r="G13" s="62"/>
      <c r="H13" s="29" t="str">
        <f t="shared" si="2"/>
        <v>합계</v>
      </c>
      <c r="I13" s="60">
        <f>SUM((I4-I5-I6-I7-I8-I9)*$E$1+I11)</f>
        <v>7227252.585</v>
      </c>
      <c r="J13" s="29" t="str">
        <f t="shared" si="3"/>
        <v>합계</v>
      </c>
      <c r="K13" s="61">
        <f>IF(K8=0,0,SUM(K4:K12)-F8)</f>
        <v>7226846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-49.882000001147389</v>
      </c>
      <c r="G14" s="27"/>
      <c r="H14" s="27"/>
      <c r="I14" s="27"/>
      <c r="J14" s="27"/>
      <c r="K14" s="67">
        <f>SUM(K13-I13)</f>
        <v>-406.58499999996275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18003970.467</v>
      </c>
      <c r="P14" s="39" t="str">
        <f t="shared" si="5"/>
        <v>합계</v>
      </c>
      <c r="Q14" s="69">
        <f>SUM(Q5:Q13)</f>
        <v>18003514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-456.46700000111014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9</v>
      </c>
      <c r="Q23" s="53">
        <f>SUM(P23*1000)</f>
        <v>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120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172</v>
      </c>
      <c r="Q26" s="69">
        <f>SUM(Q19:Q25)</f>
        <v>46000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14217</v>
      </c>
      <c r="P29" s="107">
        <v>14257</v>
      </c>
      <c r="Q29" s="108">
        <f>P29-O29</f>
        <v>40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F1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1197</v>
      </c>
      <c r="F1" s="1"/>
      <c r="G1" s="1"/>
      <c r="H1" s="1"/>
      <c r="I1" s="1"/>
      <c r="J1" s="1"/>
      <c r="K1" s="1"/>
      <c r="L1" s="21">
        <f>+ROUND(+O5*0.584/1000,3)</f>
        <v>11.476000000000001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11.428000000000001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68.568000000000012</v>
      </c>
      <c r="M3" s="18" t="s">
        <v>10</v>
      </c>
      <c r="N3" s="3"/>
      <c r="O3" s="3"/>
      <c r="P3" s="126" t="str">
        <f>+'(1)'!C1&amp;"년"&amp;'(1)'!E1&amp;"월"&amp;C1&amp;"일"</f>
        <v>2022년5월6일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11397.325999999999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8253.268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44114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270000</v>
      </c>
      <c r="L5" s="2"/>
      <c r="M5" s="20"/>
      <c r="N5" s="45" t="str">
        <f>+C4</f>
        <v>판매량</v>
      </c>
      <c r="O5" s="46">
        <f>SUM(D4+I4+D17+I17+D35+I35)</f>
        <v>19650.593999999997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435.62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520000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435.62</v>
      </c>
      <c r="P7" s="51" t="str">
        <f t="shared" ref="P7:P14" si="5">+E6</f>
        <v>천원권</v>
      </c>
      <c r="Q7" s="53">
        <f>SUM(F6+K6+F19+K19+F37+K37)</f>
        <v>3000</v>
      </c>
      <c r="R7" s="5" t="s">
        <v>11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12833704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22439640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22439640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153.56899999999999</v>
      </c>
      <c r="E10" s="42" t="str">
        <f>+'(1)'!E10</f>
        <v>OK케시백</v>
      </c>
      <c r="F10" s="44">
        <v>26000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-5374.915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153.56899999999999</v>
      </c>
      <c r="P11" s="51" t="str">
        <f t="shared" si="5"/>
        <v>OK케시백</v>
      </c>
      <c r="Q11" s="53">
        <f>SUM(F10+K10+F23+K23+F41+K41)</f>
        <v>26000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-5374.915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13115787.166999999</v>
      </c>
      <c r="E13" s="29" t="str">
        <f>+'(1)'!E13</f>
        <v>합계</v>
      </c>
      <c r="F13" s="61">
        <f>SUM(F4:F12)</f>
        <v>13114704</v>
      </c>
      <c r="G13" s="62"/>
      <c r="H13" s="29" t="str">
        <f t="shared" si="2"/>
        <v>합계</v>
      </c>
      <c r="I13" s="60">
        <f>SUM((I4-I5-I6-I7-I8-I9)*$E$1+I11)</f>
        <v>9879161.7960000001</v>
      </c>
      <c r="J13" s="29" t="str">
        <f t="shared" si="3"/>
        <v>합계</v>
      </c>
      <c r="K13" s="61">
        <f>IF(K8=0,0,SUM(K4:K12)-F8)</f>
        <v>9878936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-1083.1669999994338</v>
      </c>
      <c r="G14" s="27"/>
      <c r="H14" s="27"/>
      <c r="I14" s="27"/>
      <c r="J14" s="27"/>
      <c r="K14" s="67">
        <f>SUM(K13-I13)</f>
        <v>-225.79600000008941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22994948.963</v>
      </c>
      <c r="P14" s="39" t="str">
        <f t="shared" si="5"/>
        <v>합계</v>
      </c>
      <c r="Q14" s="69">
        <f>SUM(Q5:Q13)</f>
        <v>22993640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-1308.9629999995232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40</v>
      </c>
      <c r="Q20" s="53">
        <f>SUM(P20*1000)</f>
        <v>40000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18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65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172</v>
      </c>
      <c r="Q26" s="69">
        <f>SUM(Q19:Q25)</f>
        <v>80000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14257</v>
      </c>
      <c r="P29" s="107">
        <v>14284</v>
      </c>
      <c r="Q29" s="108">
        <f>P29-O29</f>
        <v>27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S13" sqref="S13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1197</v>
      </c>
      <c r="F1" s="1"/>
      <c r="G1" s="1"/>
      <c r="H1" s="1"/>
      <c r="I1" s="1"/>
      <c r="J1" s="1"/>
      <c r="K1" s="1"/>
      <c r="L1" s="21">
        <f>+ROUND(+O5*0.584/1000,3)</f>
        <v>11.262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11.404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79.828000000000003</v>
      </c>
      <c r="M3" s="18" t="s">
        <v>10</v>
      </c>
      <c r="N3" s="3"/>
      <c r="O3" s="3"/>
      <c r="P3" s="126" t="str">
        <f>+'(1)'!C1&amp;"년"&amp;'(1)'!E1&amp;"월"&amp;C1&amp;"일"</f>
        <v>2022년5월7일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11585.352000000001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7698.56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24137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260000</v>
      </c>
      <c r="L5" s="2"/>
      <c r="M5" s="20"/>
      <c r="N5" s="45" t="str">
        <f>+C4</f>
        <v>판매량</v>
      </c>
      <c r="O5" s="46">
        <f>SUM(D4+I4+D17+I17+D35+I35)</f>
        <v>19283.912</v>
      </c>
      <c r="P5" s="47" t="str">
        <f>+E4</f>
        <v>입금액</v>
      </c>
      <c r="Q5" s="48">
        <f>SUM(F4+K4+F17+K17+F35+K35)</f>
        <v>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75.161000000000001</v>
      </c>
      <c r="E6" s="42" t="str">
        <f>+'(1)'!E6</f>
        <v>천원권</v>
      </c>
      <c r="F6" s="44">
        <v>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7000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590000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75.161000000000001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13374005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22321404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10000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22321404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101.90600000000001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10000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-3566.71</v>
      </c>
      <c r="E11" s="42" t="str">
        <f>+'(1)'!E11</f>
        <v>모바일</v>
      </c>
      <c r="F11" s="44">
        <v>58000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101.90600000000001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-3566.71</v>
      </c>
      <c r="P12" s="51" t="str">
        <f t="shared" si="5"/>
        <v>모바일</v>
      </c>
      <c r="Q12" s="53">
        <f>SUM(F11+K11+F24+K24+F42+K42)</f>
        <v>58000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13774131.916999999</v>
      </c>
      <c r="E13" s="29" t="str">
        <f>+'(1)'!E13</f>
        <v>합계</v>
      </c>
      <c r="F13" s="61">
        <f>SUM(F4:F12)</f>
        <v>13774005</v>
      </c>
      <c r="G13" s="62"/>
      <c r="H13" s="29" t="str">
        <f t="shared" si="2"/>
        <v>합계</v>
      </c>
      <c r="I13" s="60">
        <f>SUM((I4-I5-I6-I7-I8-I9)*$E$1+I11)</f>
        <v>9215176.3200000003</v>
      </c>
      <c r="J13" s="29" t="str">
        <f t="shared" si="3"/>
        <v>합계</v>
      </c>
      <c r="K13" s="61">
        <f>IF(K8=0,0,SUM(K4:K12)-F8)</f>
        <v>9214399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-126.91699999943376</v>
      </c>
      <c r="G14" s="27"/>
      <c r="H14" s="27"/>
      <c r="I14" s="27"/>
      <c r="J14" s="27"/>
      <c r="K14" s="67">
        <f>SUM(K13-I13)</f>
        <v>-777.32000000029802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22989308.237</v>
      </c>
      <c r="P14" s="39" t="str">
        <f t="shared" si="5"/>
        <v>합계</v>
      </c>
      <c r="Q14" s="69">
        <f>SUM(Q5:Q13)</f>
        <v>22988404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-904.23699999973178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40</v>
      </c>
      <c r="Q20" s="53">
        <f>SUM(P20*1000)</f>
        <v>40000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20</v>
      </c>
      <c r="Q23" s="53">
        <f>SUM(P23*1000)</f>
        <v>20000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14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115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217</v>
      </c>
      <c r="Q26" s="69">
        <f>SUM(Q19:Q25)</f>
        <v>82000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14284</v>
      </c>
      <c r="P29" s="107">
        <v>14316</v>
      </c>
      <c r="Q29" s="108">
        <f>P29-O29</f>
        <v>32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20" sqref="K20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1197</v>
      </c>
      <c r="F1" s="1"/>
      <c r="G1" s="1"/>
      <c r="H1" s="1"/>
      <c r="I1" s="1"/>
      <c r="J1" s="1"/>
      <c r="K1" s="1"/>
      <c r="L1" s="22">
        <f>+ROUND(+O5*0.584/1000,3)</f>
        <v>8.2249999999999996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11.007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88.055999999999997</v>
      </c>
      <c r="M3" s="18" t="s">
        <v>10</v>
      </c>
      <c r="N3" s="3"/>
      <c r="O3" s="3"/>
      <c r="P3" s="126" t="str">
        <f>+'(1)'!C1&amp;"년"&amp;'(1)'!E1&amp;"월"&amp;C1&amp;"일"</f>
        <v>2022년5월8일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8419.6720000000005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5664.1880000000001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45336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200000</v>
      </c>
      <c r="L5" s="2"/>
      <c r="M5" s="20"/>
      <c r="N5" s="45" t="str">
        <f>+C4</f>
        <v>판매량</v>
      </c>
      <c r="O5" s="46">
        <f>SUM(D4+I4+D17+I17+D35+I35)</f>
        <v>14083.86</v>
      </c>
      <c r="P5" s="47" t="str">
        <f>+E4</f>
        <v>입금액</v>
      </c>
      <c r="Q5" s="48">
        <f>SUM(F4+K4+F17+K17+F35+K35)</f>
        <v>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23.594000000000001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575000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23.594000000000001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9674818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16220035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16220035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24321</v>
      </c>
      <c r="G10" s="27"/>
      <c r="H10" s="42" t="str">
        <f t="shared" si="2"/>
        <v>고객우대</v>
      </c>
      <c r="I10" s="50">
        <v>61.774999999999999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-2162.125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61.774999999999999</v>
      </c>
      <c r="P11" s="51" t="str">
        <f t="shared" si="5"/>
        <v>OK케시백</v>
      </c>
      <c r="Q11" s="53">
        <f>SUM(F10+K10+F23+K23+F41+K41)</f>
        <v>24321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-2162.125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10078347.384000001</v>
      </c>
      <c r="E13" s="29" t="str">
        <f>+'(1)'!E13</f>
        <v>합계</v>
      </c>
      <c r="F13" s="61">
        <f>SUM(F4:F12)</f>
        <v>10084139</v>
      </c>
      <c r="G13" s="62"/>
      <c r="H13" s="29" t="str">
        <f t="shared" si="2"/>
        <v>합계</v>
      </c>
      <c r="I13" s="60">
        <f>SUM((I4-I5-I6-I7-I8-I9)*$E$1+I11)</f>
        <v>6749628.8930000002</v>
      </c>
      <c r="J13" s="29" t="str">
        <f t="shared" si="3"/>
        <v>합계</v>
      </c>
      <c r="K13" s="61">
        <f>IF(K8=0,0,SUM(K4:K12)-F8)</f>
        <v>6749217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5791.6159999985248</v>
      </c>
      <c r="G14" s="27"/>
      <c r="H14" s="27"/>
      <c r="I14" s="27"/>
      <c r="J14" s="27"/>
      <c r="K14" s="67">
        <f>SUM(K13-I13)</f>
        <v>-411.89300000015646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16827976.277000003</v>
      </c>
      <c r="P14" s="39" t="str">
        <f t="shared" si="5"/>
        <v>합계</v>
      </c>
      <c r="Q14" s="69">
        <f>SUM(Q5:Q13)</f>
        <v>16833356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5379.7229999983683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89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135</v>
      </c>
      <c r="Q26" s="69">
        <f>SUM(Q19:Q25)</f>
        <v>43000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14316</v>
      </c>
      <c r="P29" s="107">
        <v>14341</v>
      </c>
      <c r="Q29" s="108">
        <f>P29-O29</f>
        <v>25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1197</v>
      </c>
      <c r="F1" s="1"/>
      <c r="G1" s="1"/>
      <c r="H1" s="1"/>
      <c r="I1" s="1"/>
      <c r="J1" s="1"/>
      <c r="K1" s="1"/>
      <c r="L1" s="22">
        <f>+ROUND(+O5*0.584/1000,3)</f>
        <v>11.763999999999999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11.090999999999999</v>
      </c>
      <c r="M2" s="18" t="s">
        <v>7</v>
      </c>
      <c r="N2" s="125" t="s">
        <v>1</v>
      </c>
      <c r="O2" s="125"/>
      <c r="P2" s="125"/>
      <c r="Q2" s="12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99.818999999999988</v>
      </c>
      <c r="M3" s="18" t="s">
        <v>10</v>
      </c>
      <c r="N3" s="3"/>
      <c r="O3" s="3"/>
      <c r="P3" s="126" t="str">
        <f>+'(1)'!C1&amp;"년"&amp;'(1)'!E1&amp;"월"&amp;C1&amp;"일"</f>
        <v>2022년5월9일</v>
      </c>
      <c r="Q3" s="12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12009.852999999999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8134.4340000000002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24426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105000</v>
      </c>
      <c r="L5" s="2"/>
      <c r="M5" s="20"/>
      <c r="N5" s="45" t="str">
        <f>+C4</f>
        <v>판매량</v>
      </c>
      <c r="O5" s="46">
        <f>SUM(D4+I4+D17+I17+D35+I35)</f>
        <v>20144.287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223.489</v>
      </c>
      <c r="E6" s="42" t="str">
        <f>+'(1)'!E6</f>
        <v>천원권</v>
      </c>
      <c r="F6" s="44">
        <v>5000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540000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223.489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13642437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23268665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23268665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459.02199999999999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1000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-16065.77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459.02199999999999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-16065.77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14092211.937999999</v>
      </c>
      <c r="E13" s="29" t="str">
        <f>+'(1)'!E13</f>
        <v>합계</v>
      </c>
      <c r="F13" s="61">
        <f>SUM(F4:F12)</f>
        <v>14092437</v>
      </c>
      <c r="G13" s="62"/>
      <c r="H13" s="29" t="str">
        <f t="shared" si="2"/>
        <v>합계</v>
      </c>
      <c r="I13" s="60">
        <f>SUM((I4-I5-I6-I7-I8-I9)*$E$1+I11)</f>
        <v>9736917.4979999997</v>
      </c>
      <c r="J13" s="29" t="str">
        <f t="shared" si="3"/>
        <v>합계</v>
      </c>
      <c r="K13" s="61">
        <f>IF(K8=0,0,SUM(K4:K12)-F8)</f>
        <v>9736228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225.06200000084937</v>
      </c>
      <c r="G14" s="27"/>
      <c r="H14" s="27"/>
      <c r="I14" s="27"/>
      <c r="J14" s="27"/>
      <c r="K14" s="67">
        <f>SUM(K13-I13)</f>
        <v>-689.49799999967217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23829129.436000001</v>
      </c>
      <c r="P14" s="39" t="str">
        <f t="shared" si="5"/>
        <v>합계</v>
      </c>
      <c r="Q14" s="69">
        <f>SUM(Q5:Q13)</f>
        <v>23828665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-464.43599999882281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1" t="s">
        <v>35</v>
      </c>
      <c r="O18" s="124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5" t="s">
        <v>38</v>
      </c>
      <c r="O19" s="116"/>
      <c r="P19" s="73">
        <v>38</v>
      </c>
      <c r="Q19" s="48">
        <f>SUM(P19*1000)</f>
        <v>38000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1" t="s">
        <v>39</v>
      </c>
      <c r="O20" s="122"/>
      <c r="P20" s="74">
        <v>60</v>
      </c>
      <c r="Q20" s="53">
        <f>SUM(P20*1000)</f>
        <v>60000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1" t="s">
        <v>49</v>
      </c>
      <c r="O21" s="122"/>
      <c r="P21" s="74">
        <v>22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3" t="s">
        <v>54</v>
      </c>
      <c r="O22" s="118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7" t="s">
        <v>59</v>
      </c>
      <c r="O23" s="118"/>
      <c r="P23" s="74">
        <v>26</v>
      </c>
      <c r="Q23" s="53">
        <f>SUM(P23*1000)</f>
        <v>26000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7" t="s">
        <v>53</v>
      </c>
      <c r="O24" s="118"/>
      <c r="P24" s="74">
        <v>22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19" t="s">
        <v>40</v>
      </c>
      <c r="O25" s="120"/>
      <c r="P25" s="75">
        <f>+P26-SUM(P19:P24)</f>
        <v>128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1" t="s">
        <v>41</v>
      </c>
      <c r="O26" s="112"/>
      <c r="P26" s="77">
        <v>302</v>
      </c>
      <c r="Q26" s="69">
        <f>SUM(Q19:Q25)</f>
        <v>130000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09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0"/>
      <c r="O29" s="106">
        <v>14341</v>
      </c>
      <c r="P29" s="107">
        <v>14372</v>
      </c>
      <c r="Q29" s="108">
        <f>P29-O29</f>
        <v>31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2022-05-31T23:17:55Z</dcterms:modified>
</cp:coreProperties>
</file>