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3" activeTab="29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Q24" i="158" l="1"/>
  <c r="Q24" i="157" l="1"/>
  <c r="Q24" i="156" l="1"/>
  <c r="Q24" i="154" l="1"/>
  <c r="Q24" i="1" l="1"/>
  <c r="Q26" i="159" l="1"/>
  <c r="P25" i="159"/>
  <c r="Q23" i="159"/>
  <c r="Q22" i="159"/>
  <c r="Q21" i="159"/>
  <c r="Q20" i="159"/>
  <c r="Q19" i="159"/>
  <c r="P25" i="158"/>
  <c r="Q23" i="158"/>
  <c r="Q22" i="158"/>
  <c r="Q21" i="158"/>
  <c r="Q20" i="158"/>
  <c r="Q19" i="158"/>
  <c r="P25" i="157"/>
  <c r="Q23" i="157"/>
  <c r="Q22" i="157"/>
  <c r="Q21" i="157"/>
  <c r="Q20" i="157"/>
  <c r="Q19" i="157"/>
  <c r="P25" i="156"/>
  <c r="Q23" i="156"/>
  <c r="Q22" i="156"/>
  <c r="Q21" i="156"/>
  <c r="Q20" i="156"/>
  <c r="Q19" i="156"/>
  <c r="P25" i="155"/>
  <c r="Q23" i="155"/>
  <c r="Q22" i="155"/>
  <c r="Q20" i="155"/>
  <c r="Q19" i="155"/>
  <c r="P25" i="154"/>
  <c r="Q23" i="154"/>
  <c r="Q22" i="154"/>
  <c r="Q20" i="154"/>
  <c r="Q19" i="154"/>
  <c r="P25" i="153"/>
  <c r="Q23" i="153"/>
  <c r="Q22" i="153"/>
  <c r="Q20" i="153"/>
  <c r="Q19" i="153"/>
  <c r="P25" i="152"/>
  <c r="Q23" i="152"/>
  <c r="Q22" i="152"/>
  <c r="Q20" i="152"/>
  <c r="Q19" i="152"/>
  <c r="P25" i="151"/>
  <c r="Q23" i="151"/>
  <c r="Q22" i="151"/>
  <c r="Q21" i="151"/>
  <c r="Q20" i="151"/>
  <c r="Q19" i="151"/>
  <c r="P25" i="150"/>
  <c r="Q23" i="150"/>
  <c r="Q22" i="150"/>
  <c r="Q20" i="150"/>
  <c r="Q19" i="150"/>
  <c r="P25" i="149"/>
  <c r="Q23" i="149"/>
  <c r="Q22" i="149"/>
  <c r="Q20" i="149"/>
  <c r="Q19" i="149"/>
  <c r="P25" i="148"/>
  <c r="Q23" i="148"/>
  <c r="Q22" i="148"/>
  <c r="Q20" i="148"/>
  <c r="Q19" i="148"/>
  <c r="P25" i="147"/>
  <c r="Q23" i="147"/>
  <c r="Q22" i="147"/>
  <c r="Q20" i="147"/>
  <c r="Q19" i="147"/>
  <c r="P25" i="146"/>
  <c r="Q23" i="146"/>
  <c r="Q22" i="146"/>
  <c r="Q20" i="146"/>
  <c r="Q19" i="146"/>
  <c r="P25" i="145"/>
  <c r="Q23" i="145"/>
  <c r="Q22" i="145"/>
  <c r="Q20" i="145"/>
  <c r="Q19" i="145"/>
  <c r="P25" i="144"/>
  <c r="Q22" i="144"/>
  <c r="Q20" i="144"/>
  <c r="Q19" i="144"/>
  <c r="P25" i="143"/>
  <c r="Q23" i="143"/>
  <c r="Q22" i="143"/>
  <c r="Q20" i="143"/>
  <c r="Q19" i="143"/>
  <c r="P25" i="142"/>
  <c r="Q23" i="142"/>
  <c r="Q22" i="142"/>
  <c r="Q20" i="142"/>
  <c r="Q19" i="142"/>
  <c r="P25" i="141"/>
  <c r="Q23" i="141"/>
  <c r="Q22" i="141"/>
  <c r="Q20" i="141"/>
  <c r="Q19" i="141"/>
  <c r="P25" i="140"/>
  <c r="Q23" i="140"/>
  <c r="Q22" i="140"/>
  <c r="Q19" i="140"/>
  <c r="P25" i="139"/>
  <c r="Q23" i="139"/>
  <c r="Q22" i="139"/>
  <c r="Q20" i="139"/>
  <c r="Q19" i="139"/>
  <c r="P25" i="138"/>
  <c r="Q23" i="138"/>
  <c r="Q22" i="138"/>
  <c r="Q20" i="138"/>
  <c r="Q19" i="138"/>
  <c r="P25" i="137"/>
  <c r="Q23" i="137"/>
  <c r="Q22" i="137"/>
  <c r="Q20" i="137"/>
  <c r="Q19" i="137"/>
  <c r="P25" i="136"/>
  <c r="Q23" i="136"/>
  <c r="Q22" i="136"/>
  <c r="Q20" i="136"/>
  <c r="Q19" i="136"/>
  <c r="P25" i="135"/>
  <c r="Q23" i="135"/>
  <c r="Q22" i="135"/>
  <c r="Q20" i="135"/>
  <c r="Q19" i="135"/>
  <c r="P25" i="134"/>
  <c r="Q23" i="134"/>
  <c r="Q22" i="134"/>
  <c r="Q20" i="134"/>
  <c r="Q19" i="134"/>
  <c r="P25" i="133"/>
  <c r="Q23" i="133"/>
  <c r="Q22" i="133"/>
  <c r="Q20" i="133"/>
  <c r="Q19" i="133"/>
  <c r="P25" i="132"/>
  <c r="Q23" i="132"/>
  <c r="Q22" i="132"/>
  <c r="Q20" i="132"/>
  <c r="Q19" i="132"/>
  <c r="P25" i="131"/>
  <c r="Q23" i="131"/>
  <c r="Q22" i="131"/>
  <c r="Q20" i="131"/>
  <c r="Q19" i="131"/>
  <c r="P25" i="13"/>
  <c r="Q23" i="13"/>
  <c r="Q22" i="13"/>
  <c r="Q20" i="13"/>
  <c r="Q19" i="13"/>
  <c r="Q23" i="1"/>
  <c r="Q26" i="158" l="1"/>
  <c r="Q26" i="157"/>
  <c r="Q26" i="156"/>
  <c r="Q26" i="155"/>
  <c r="Q26" i="154"/>
  <c r="Q26" i="153"/>
  <c r="Q26" i="152"/>
  <c r="Q26" i="151"/>
  <c r="Q26" i="150"/>
  <c r="Q26" i="149"/>
  <c r="Q26" i="148"/>
  <c r="Q26" i="147"/>
  <c r="Q26" i="146"/>
  <c r="Q26" i="145"/>
  <c r="Q26" i="144"/>
  <c r="Q26" i="143"/>
  <c r="Q26" i="142"/>
  <c r="Q26" i="141"/>
  <c r="Q26" i="140"/>
  <c r="Q26" i="139"/>
  <c r="Q26" i="138"/>
  <c r="Q26" i="137"/>
  <c r="Q26" i="136"/>
  <c r="Q26" i="135"/>
  <c r="Q26" i="134"/>
  <c r="Q26" i="133"/>
  <c r="Q26" i="132"/>
  <c r="Q26" i="131"/>
  <c r="Q26" i="13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O12" i="159"/>
  <c r="I11" i="159"/>
  <c r="D11" i="159"/>
  <c r="I24" i="158"/>
  <c r="H24" i="158"/>
  <c r="E24" i="158"/>
  <c r="D24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I11" i="139"/>
  <c r="D11" i="139"/>
  <c r="I24" i="138"/>
  <c r="H24" i="138"/>
  <c r="E24" i="138"/>
  <c r="D24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J20" i="13"/>
  <c r="H20" i="13"/>
  <c r="E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D13" i="13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J20" i="131"/>
  <c r="H20" i="131"/>
  <c r="E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J20" i="132"/>
  <c r="H20" i="132"/>
  <c r="E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J20" i="133"/>
  <c r="H20" i="133"/>
  <c r="E20" i="133"/>
  <c r="C20" i="133"/>
  <c r="J19" i="133"/>
  <c r="H19" i="133"/>
  <c r="E19" i="133"/>
  <c r="C19" i="133"/>
  <c r="J18" i="133"/>
  <c r="H18" i="133"/>
  <c r="E18" i="133"/>
  <c r="C18" i="133"/>
  <c r="J17" i="133"/>
  <c r="H17" i="133"/>
  <c r="E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J20" i="134"/>
  <c r="H20" i="134"/>
  <c r="E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J20" i="135"/>
  <c r="H20" i="135"/>
  <c r="E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J20" i="136"/>
  <c r="H20" i="136"/>
  <c r="E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J20" i="137"/>
  <c r="H20" i="137"/>
  <c r="E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J20" i="138"/>
  <c r="H20" i="138"/>
  <c r="E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J20" i="139"/>
  <c r="H20" i="139"/>
  <c r="E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J20" i="140"/>
  <c r="H20" i="140"/>
  <c r="E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J20" i="141"/>
  <c r="H20" i="141"/>
  <c r="E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J20" i="142"/>
  <c r="H20" i="142"/>
  <c r="E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J20" i="143"/>
  <c r="H20" i="143"/>
  <c r="E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J20" i="144"/>
  <c r="H20" i="144"/>
  <c r="E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J20" i="145"/>
  <c r="H20" i="145"/>
  <c r="E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J20" i="146"/>
  <c r="H20" i="146"/>
  <c r="E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J20" i="147"/>
  <c r="H20" i="147"/>
  <c r="E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J20" i="148"/>
  <c r="H20" i="148"/>
  <c r="E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J20" i="149"/>
  <c r="H20" i="149"/>
  <c r="E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J20" i="150"/>
  <c r="H20" i="150"/>
  <c r="E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J20" i="151"/>
  <c r="H20" i="151"/>
  <c r="E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J20" i="152"/>
  <c r="H20" i="152"/>
  <c r="E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J20" i="153"/>
  <c r="H20" i="153"/>
  <c r="E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J20" i="154"/>
  <c r="H20" i="154"/>
  <c r="E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J20" i="155"/>
  <c r="H20" i="155"/>
  <c r="E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J20" i="156"/>
  <c r="H20" i="156"/>
  <c r="E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J20" i="157"/>
  <c r="H20" i="157"/>
  <c r="E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J20" i="158"/>
  <c r="H20" i="158"/>
  <c r="E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1" l="1"/>
  <c r="F14" i="131" s="1"/>
  <c r="E1" i="132"/>
  <c r="I13" i="131"/>
  <c r="K14" i="131" s="1"/>
  <c r="D26" i="131"/>
  <c r="F27" i="131" s="1"/>
  <c r="I26" i="131"/>
  <c r="K27" i="131" s="1"/>
  <c r="I13" i="13"/>
  <c r="K14" i="13" s="1"/>
  <c r="I26" i="13"/>
  <c r="K27" i="13" s="1"/>
  <c r="D26" i="132"/>
  <c r="F27" i="132" s="1"/>
  <c r="F14" i="13"/>
  <c r="D26" i="13"/>
  <c r="F27" i="13" s="1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Q10" i="159"/>
  <c r="Q9" i="159"/>
  <c r="O9" i="159"/>
  <c r="N9" i="159"/>
  <c r="Q8" i="159"/>
  <c r="O8" i="159"/>
  <c r="Q7" i="159"/>
  <c r="O7" i="159"/>
  <c r="N7" i="159"/>
  <c r="Q6" i="159"/>
  <c r="O6" i="159"/>
  <c r="Q5" i="159"/>
  <c r="Q14" i="159" s="1"/>
  <c r="O5" i="159"/>
  <c r="N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O12" i="138" s="1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O12" i="132" s="1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J7" i="137" s="1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J7" i="131" s="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P8" i="13"/>
  <c r="J12" i="13"/>
  <c r="E12" i="13"/>
  <c r="E11" i="13"/>
  <c r="E10" i="13"/>
  <c r="E9" i="13"/>
  <c r="P10" i="13" s="1"/>
  <c r="E8" i="13"/>
  <c r="P9" i="13" s="1"/>
  <c r="E7" i="13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6" l="1"/>
  <c r="Q14" i="146"/>
  <c r="O14" i="132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P25" i="1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<sst xmlns="http://schemas.openxmlformats.org/spreadsheetml/2006/main" count="871" uniqueCount="60">
  <si>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</si>
  <si>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</si>
  <si>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</si>
  <si>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</si>
  <si>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</si>
  <si>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</si>
  <si>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</si>
  <si>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</si>
  <si>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</si>
  <si>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</si>
  <si>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</si>
  <si>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</si>
  <si>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</si>
  <si>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</si>
  <si>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</si>
  <si>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</si>
  <si>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</si>
  <si>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</si>
  <si>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</si>
  <si>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</si>
  <si>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</si>
  <si>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</si>
  <si>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</si>
  <si>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</si>
  <si>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</si>
  <si>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</si>
  <si>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</si>
  <si>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</si>
  <si>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</si>
  <si>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</si>
  <si>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</si>
  <si>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</si>
  <si>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</si>
  <si>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</si>
  <si>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</si>
  <si>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</si>
  <si>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</si>
  <si>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</si>
  <si>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</si>
  <si>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</si>
  <si>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</si>
  <si>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</si>
  <si>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</si>
  <si>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</si>
  <si>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</si>
  <si>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</si>
  <si>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</si>
  <si>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</si>
  <si>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</si>
  <si>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</si>
  <si>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</si>
  <si>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</si>
  <si>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</si>
  <si>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</si>
  <si>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</si>
  <si>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</si>
  <si>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</si>
  <si>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</si>
  <si>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양     화</t>
    <phoneticPr fontId="1" type="noConversion"/>
  </si>
  <si>
    <t>제로페이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</si>
</sst>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F22" sqref="F22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9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9" style="27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9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2022</v>
      </c>
      <c r="D1" s="24" t="str">
        <f>IF(C1&lt;2000,"◀  년 입력","년")</f>
        <v>년</v>
      </c>
      <c r="E1" s="25">
        <v>6</v>
      </c>
      <c r="F1" s="24" t="str">
        <f>IF(E1&lt;1,"◀  월 입력","월")</f>
        <v>월</v>
      </c>
      <c r="G1" s="25"/>
      <c r="H1" s="26" t="s">
        <v>11</v>
      </c>
      <c r="I1" s="25">
        <v>1197</v>
      </c>
      <c r="J1" s="24" t="str">
        <f>IF(I1&lt;100,"◀  단가입력","원")</f>
        <v>원</v>
      </c>
      <c r="L1" s="28">
        <f>+ROUND(+O5*0.584/1000,3)</f>
        <v>12.973000000000001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12.973000000000001</v>
      </c>
      <c r="M2" s="27" t="s">
        <v>7</v>
      </c>
      <c r="N2" s="114" t="s">
        <v>12</v>
      </c>
      <c r="O2" s="114"/>
      <c r="P2" s="114"/>
      <c r="Q2" s="114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0</v>
      </c>
      <c r="M3" s="27" t="s">
        <v>10</v>
      </c>
      <c r="N3" s="32"/>
      <c r="O3" s="32"/>
      <c r="P3" s="113" t="str">
        <f>+'(1)'!$C$1&amp;"년"&amp;'(1)'!$E$1&amp;"월"&amp;$G$1&amp;"일"</f>
        <v>2022년6월일</v>
      </c>
      <c r="Q3" s="113"/>
      <c r="R3" s="33"/>
    </row>
    <row r="4" spans="3:25" ht="16.5" customHeight="1" thickBot="1">
      <c r="C4" s="34" t="s">
        <v>15</v>
      </c>
      <c r="D4" s="35">
        <v>7186.18</v>
      </c>
      <c r="E4" s="34" t="s">
        <v>16</v>
      </c>
      <c r="F4" s="36"/>
      <c r="H4" s="97" t="str">
        <f>+C4</f>
        <v>판매량</v>
      </c>
      <c r="I4" s="35">
        <v>9588.1470000000008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34185</v>
      </c>
      <c r="S4" s="41" t="s">
        <v>17</v>
      </c>
      <c r="T4" s="27">
        <v>13454</v>
      </c>
    </row>
    <row r="5" spans="3:25" ht="16.5" customHeight="1">
      <c r="C5" s="42" t="s">
        <v>18</v>
      </c>
      <c r="D5" s="43"/>
      <c r="E5" s="42" t="s">
        <v>19</v>
      </c>
      <c r="F5" s="44">
        <v>245000</v>
      </c>
      <c r="H5" s="98" t="str">
        <f>+C5</f>
        <v>법인전표</v>
      </c>
      <c r="I5" s="43"/>
      <c r="J5" s="42" t="str">
        <f>+E5</f>
        <v>고액권</v>
      </c>
      <c r="K5" s="44">
        <v>230000</v>
      </c>
      <c r="M5" s="38"/>
      <c r="N5" s="45" t="str">
        <f>+C4</f>
        <v>판매량</v>
      </c>
      <c r="O5" s="46">
        <f>SUM(D4+I4+D17+I17+D35+I35)</f>
        <v>22214.521000000001</v>
      </c>
      <c r="P5" s="47" t="str">
        <f>+E4</f>
        <v>입금액</v>
      </c>
      <c r="Q5" s="48">
        <f>SUM(F4+K4+F17+K17+F35+K35)</f>
        <v>0</v>
      </c>
      <c r="R5" s="49">
        <v>19</v>
      </c>
      <c r="S5" s="41" t="s">
        <v>20</v>
      </c>
    </row>
    <row r="6" spans="3:25" ht="16.5" customHeight="1">
      <c r="C6" s="42" t="s">
        <v>21</v>
      </c>
      <c r="D6" s="50"/>
      <c r="E6" s="42" t="s">
        <v>22</v>
      </c>
      <c r="F6" s="44">
        <v>2000</v>
      </c>
      <c r="H6" s="98" t="str">
        <f t="shared" ref="H6:H13" si="2">+C6</f>
        <v>외상전표</v>
      </c>
      <c r="I6" s="50"/>
      <c r="J6" s="42" t="str">
        <f t="shared" ref="J6:J13" si="3">+E6</f>
        <v>천원권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505000</v>
      </c>
      <c r="R6" s="49">
        <v>2.5</v>
      </c>
      <c r="S6" s="41" t="s">
        <v>23</v>
      </c>
    </row>
    <row r="7" spans="3:25" ht="16.5" customHeight="1">
      <c r="C7" s="42" t="s">
        <v>24</v>
      </c>
      <c r="D7" s="50"/>
      <c r="E7" s="42" t="s">
        <v>25</v>
      </c>
      <c r="F7" s="44"/>
      <c r="H7" s="98" t="str">
        <f t="shared" si="2"/>
        <v>효신(업)</v>
      </c>
      <c r="I7" s="50"/>
      <c r="J7" s="42" t="str">
        <f t="shared" si="3"/>
        <v>동전</v>
      </c>
      <c r="K7" s="44"/>
      <c r="M7" s="38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2000</v>
      </c>
      <c r="R7" s="40" t="s">
        <v>49</v>
      </c>
      <c r="S7" s="41" t="s">
        <v>6</v>
      </c>
    </row>
    <row r="8" spans="3:25" ht="16.5" customHeight="1">
      <c r="C8" s="42" t="s">
        <v>26</v>
      </c>
      <c r="D8" s="50"/>
      <c r="E8" s="42" t="s">
        <v>27</v>
      </c>
      <c r="F8" s="44">
        <v>8350451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19548995</v>
      </c>
      <c r="M8" s="38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">
        <v>28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26028965</v>
      </c>
      <c r="R9" s="40"/>
    </row>
    <row r="10" spans="3:25" ht="16.5" customHeight="1">
      <c r="C10" s="42" t="s">
        <v>51</v>
      </c>
      <c r="D10" s="50">
        <v>0</v>
      </c>
      <c r="E10" s="42" t="s">
        <v>47</v>
      </c>
      <c r="F10" s="44"/>
      <c r="H10" s="98" t="str">
        <f t="shared" si="2"/>
        <v>고객우대</v>
      </c>
      <c r="I10" s="50">
        <v>59.484999999999999</v>
      </c>
      <c r="J10" s="42" t="str">
        <f t="shared" si="3"/>
        <v>OK케시백</v>
      </c>
      <c r="K10" s="44">
        <v>41088</v>
      </c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3:25" ht="16.5" customHeight="1">
      <c r="C11" s="42" t="s">
        <v>46</v>
      </c>
      <c r="D11" s="55">
        <f>SUM(D10*-35)</f>
        <v>0</v>
      </c>
      <c r="E11" s="42" t="s">
        <v>31</v>
      </c>
      <c r="F11" s="44">
        <v>5000</v>
      </c>
      <c r="H11" s="98" t="str">
        <f t="shared" si="2"/>
        <v>-</v>
      </c>
      <c r="I11" s="55">
        <f>SUM(I10*-35)</f>
        <v>-2081.9749999999999</v>
      </c>
      <c r="J11" s="42" t="str">
        <f t="shared" si="3"/>
        <v>모바일</v>
      </c>
      <c r="K11" s="44">
        <v>5000</v>
      </c>
      <c r="M11" s="38"/>
      <c r="N11" s="51" t="str">
        <f t="shared" si="4"/>
        <v>고객우대</v>
      </c>
      <c r="O11" s="54">
        <f>SUM(D10+I10+D23+I23+D41+I41)</f>
        <v>112.741</v>
      </c>
      <c r="P11" s="51" t="str">
        <f t="shared" si="5"/>
        <v>OK케시백</v>
      </c>
      <c r="Q11" s="53">
        <f>SUM(F10+K10+F23+K23+F41+K41)</f>
        <v>41088</v>
      </c>
      <c r="R11" s="49"/>
    </row>
    <row r="12" spans="3:25" ht="16.5" customHeight="1" thickBot="1">
      <c r="C12" s="56" t="s">
        <v>46</v>
      </c>
      <c r="D12" s="57"/>
      <c r="E12" s="56" t="s">
        <v>59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/>
      <c r="M12" s="38"/>
      <c r="N12" s="51" t="str">
        <f t="shared" si="4"/>
        <v>-</v>
      </c>
      <c r="O12" s="52">
        <f>SUM(O11*-35)</f>
        <v>-3945.9349999999999</v>
      </c>
      <c r="P12" s="51" t="str">
        <f t="shared" si="5"/>
        <v>모바일</v>
      </c>
      <c r="Q12" s="53">
        <f>SUM(F11+K11+F24+K24+F42+K42)</f>
        <v>10000</v>
      </c>
      <c r="R12" s="40"/>
    </row>
    <row r="13" spans="3:25" ht="16.5" customHeight="1" thickBot="1">
      <c r="C13" s="59" t="s">
        <v>33</v>
      </c>
      <c r="D13" s="60">
        <f>SUM((D4-D5-D6-D7-D8-D9)*$I$1+D11)</f>
        <v>8601857.4600000009</v>
      </c>
      <c r="E13" s="59" t="s">
        <v>33</v>
      </c>
      <c r="F13" s="61">
        <f>SUM(F4:F12)</f>
        <v>8602451</v>
      </c>
      <c r="G13" s="62"/>
      <c r="H13" s="96" t="str">
        <f t="shared" si="2"/>
        <v>합계</v>
      </c>
      <c r="I13" s="60">
        <f>SUM((I4-I5-I6-I7-I8-I9)*$I$1+I11)</f>
        <v>11474929.984000001</v>
      </c>
      <c r="J13" s="29" t="str">
        <f t="shared" si="3"/>
        <v>합계</v>
      </c>
      <c r="K13" s="61">
        <f>IF(K8=0,0,SUM(K4:K12)-F8)</f>
        <v>11474632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593.53999999910593</v>
      </c>
      <c r="K14" s="67">
        <f>SUM(K13-I13)</f>
        <v>-297.98400000110269</v>
      </c>
      <c r="N14" s="39" t="str">
        <f t="shared" si="4"/>
        <v>합계</v>
      </c>
      <c r="O14" s="68">
        <f>SUM((O5-O6-O7-O8-O9-O10)*+$I$1+O12)</f>
        <v>26586835.702000003</v>
      </c>
      <c r="P14" s="39" t="str">
        <f t="shared" si="5"/>
        <v>합계</v>
      </c>
      <c r="Q14" s="69">
        <f>SUM(Q5:Q13)</f>
        <v>26587053</v>
      </c>
    </row>
    <row r="15" spans="3:25" ht="16.5" customHeight="1" thickBot="1">
      <c r="C15" s="27">
        <v>3</v>
      </c>
      <c r="H15" s="27">
        <v>4</v>
      </c>
      <c r="Q15" s="70">
        <f>SUM(F14+K14+F27+K27)</f>
        <v>217.29799999762326</v>
      </c>
    </row>
    <row r="16" spans="3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5440.1940000000004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고액권</v>
      </c>
      <c r="F18" s="44">
        <v>30000</v>
      </c>
      <c r="H18" s="98" t="str">
        <f>+C5</f>
        <v>법인전표</v>
      </c>
      <c r="I18" s="43"/>
      <c r="J18" s="42" t="str">
        <f>+E5</f>
        <v>고액권</v>
      </c>
      <c r="K18" s="44"/>
      <c r="N18" s="111" t="s">
        <v>34</v>
      </c>
      <c r="O18" s="124"/>
      <c r="P18" s="71" t="s">
        <v>35</v>
      </c>
      <c r="Q18" s="72" t="s">
        <v>36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/>
      <c r="E19" s="42" t="str">
        <f t="shared" ref="E19:E26" si="8">+E6</f>
        <v>천원권</v>
      </c>
      <c r="F19" s="44"/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15" t="s">
        <v>37</v>
      </c>
      <c r="O19" s="116"/>
      <c r="P19" s="73">
        <v>7</v>
      </c>
      <c r="Q19" s="48">
        <f>SUM(P19*1000)</f>
        <v>7000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42" t="str">
        <f t="shared" si="8"/>
        <v>동전</v>
      </c>
      <c r="F20" s="44"/>
      <c r="H20" s="98" t="str">
        <f t="shared" si="9"/>
        <v>효신(업)</v>
      </c>
      <c r="I20" s="50"/>
      <c r="J20" s="42" t="str">
        <f t="shared" si="10"/>
        <v>동전</v>
      </c>
      <c r="K20" s="44"/>
      <c r="N20" s="121" t="s">
        <v>38</v>
      </c>
      <c r="O20" s="122"/>
      <c r="P20" s="74">
        <v>25</v>
      </c>
      <c r="Q20" s="53">
        <f>SUM(P20*1000)</f>
        <v>25000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26028965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21" t="s">
        <v>48</v>
      </c>
      <c r="O21" s="122"/>
      <c r="P21" s="74">
        <v>4</v>
      </c>
      <c r="Q21" s="53"/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23" t="s">
        <v>53</v>
      </c>
      <c r="O22" s="118"/>
      <c r="P22" s="74">
        <v>3</v>
      </c>
      <c r="Q22" s="53">
        <f>SUM(P22*1000)</f>
        <v>3000</v>
      </c>
      <c r="R22" s="32"/>
      <c r="S22" s="32"/>
    </row>
    <row r="23" spans="3:19" ht="16.5" customHeight="1">
      <c r="C23" s="98" t="str">
        <f t="shared" si="7"/>
        <v>고객우대</v>
      </c>
      <c r="D23" s="50">
        <v>53.256</v>
      </c>
      <c r="E23" s="42" t="str">
        <f t="shared" si="8"/>
        <v>OK케시백</v>
      </c>
      <c r="F23" s="44"/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17" t="s">
        <v>58</v>
      </c>
      <c r="O23" s="118"/>
      <c r="P23" s="74">
        <v>16</v>
      </c>
      <c r="Q23" s="53">
        <f>SUM(P23*1000)</f>
        <v>16000</v>
      </c>
      <c r="R23" s="32"/>
      <c r="S23" s="32"/>
    </row>
    <row r="24" spans="3:19" ht="16.5" customHeight="1">
      <c r="C24" s="98" t="str">
        <f t="shared" si="7"/>
        <v>-</v>
      </c>
      <c r="D24" s="55">
        <f>SUM(D23*-35)</f>
        <v>-1863.96</v>
      </c>
      <c r="E24" s="42" t="str">
        <f t="shared" si="8"/>
        <v>모바일</v>
      </c>
      <c r="F24" s="44"/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17" t="s">
        <v>52</v>
      </c>
      <c r="O24" s="118"/>
      <c r="P24" s="74">
        <v>0</v>
      </c>
      <c r="Q24" s="53">
        <f>SUM(P24*1000)</f>
        <v>0</v>
      </c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19" t="s">
        <v>39</v>
      </c>
      <c r="O25" s="120"/>
      <c r="P25" s="75">
        <f>+P26-SUM(P19:P24)</f>
        <v>120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6510048.2580000004</v>
      </c>
      <c r="E26" s="29" t="str">
        <f t="shared" si="8"/>
        <v>합계</v>
      </c>
      <c r="F26" s="61">
        <f>IF(F21=0,0,SUM(F17:F25)-K8)</f>
        <v>6509970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11" t="s">
        <v>40</v>
      </c>
      <c r="O26" s="112"/>
      <c r="P26" s="77">
        <v>175</v>
      </c>
      <c r="Q26" s="69">
        <f>SUM(Q19:Q25)</f>
        <v>51000</v>
      </c>
      <c r="R26" s="32"/>
      <c r="S26" s="32"/>
    </row>
    <row r="27" spans="3:19" ht="15.75" customHeight="1" thickBot="1">
      <c r="F27" s="67">
        <f>SUM(F26-D26)</f>
        <v>-78.25800000037998</v>
      </c>
      <c r="K27" s="67">
        <f>SUM(K26-I26)</f>
        <v>0</v>
      </c>
    </row>
    <row r="28" spans="3:19" ht="23.25" customHeight="1">
      <c r="F28" s="67"/>
      <c r="K28" s="67"/>
      <c r="N28" s="109" t="s">
        <v>54</v>
      </c>
      <c r="O28" s="104" t="s">
        <v>55</v>
      </c>
      <c r="P28" s="104" t="s">
        <v>56</v>
      </c>
      <c r="Q28" s="105" t="s">
        <v>57</v>
      </c>
    </row>
    <row r="29" spans="3:19" ht="21.75" customHeight="1" thickBot="1">
      <c r="F29" s="67"/>
      <c r="K29" s="67"/>
      <c r="N29" s="110"/>
      <c r="O29" s="106">
        <v>15043</v>
      </c>
      <c r="P29" s="107">
        <v>15071</v>
      </c>
      <c r="Q29" s="108">
        <f>P29-O29</f>
        <v>28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8"/>
      <c r="E35" s="34" t="s">
        <v>16</v>
      </c>
      <c r="F35" s="36"/>
      <c r="H35" s="34" t="s">
        <v>15</v>
      </c>
      <c r="I35" s="78"/>
      <c r="J35" s="34" t="s">
        <v>16</v>
      </c>
      <c r="K35" s="36"/>
    </row>
    <row r="36" spans="3:11" ht="21.75" customHeight="1">
      <c r="C36" s="42" t="s">
        <v>18</v>
      </c>
      <c r="D36" s="79"/>
      <c r="E36" s="42" t="s">
        <v>19</v>
      </c>
      <c r="F36" s="44"/>
      <c r="H36" s="42" t="s">
        <v>18</v>
      </c>
      <c r="I36" s="79"/>
      <c r="J36" s="42" t="s">
        <v>19</v>
      </c>
      <c r="K36" s="44"/>
    </row>
    <row r="37" spans="3:11" ht="21.75" customHeight="1">
      <c r="C37" s="42" t="s">
        <v>21</v>
      </c>
      <c r="D37" s="80"/>
      <c r="E37" s="42" t="s">
        <v>22</v>
      </c>
      <c r="F37" s="44"/>
      <c r="H37" s="42" t="s">
        <v>21</v>
      </c>
      <c r="I37" s="80"/>
      <c r="J37" s="42" t="s">
        <v>22</v>
      </c>
      <c r="K37" s="44"/>
    </row>
    <row r="38" spans="3:11" ht="21.75" customHeight="1">
      <c r="C38" s="42" t="s">
        <v>24</v>
      </c>
      <c r="D38" s="80"/>
      <c r="E38" s="42" t="s">
        <v>25</v>
      </c>
      <c r="F38" s="44"/>
      <c r="H38" s="42" t="s">
        <v>24</v>
      </c>
      <c r="I38" s="80"/>
      <c r="J38" s="42" t="s">
        <v>25</v>
      </c>
      <c r="K38" s="44"/>
    </row>
    <row r="39" spans="3:11" ht="21.75" customHeight="1">
      <c r="C39" s="42" t="s">
        <v>26</v>
      </c>
      <c r="D39" s="80"/>
      <c r="E39" s="42" t="s">
        <v>27</v>
      </c>
      <c r="F39" s="44"/>
      <c r="H39" s="42" t="s">
        <v>26</v>
      </c>
      <c r="I39" s="80"/>
      <c r="J39" s="42" t="s">
        <v>27</v>
      </c>
      <c r="K39" s="44"/>
    </row>
    <row r="40" spans="3:11" ht="21.75" customHeight="1">
      <c r="C40" s="42"/>
      <c r="D40" s="80"/>
      <c r="E40" s="42" t="s">
        <v>28</v>
      </c>
      <c r="F40" s="44"/>
      <c r="H40" s="42"/>
      <c r="I40" s="80"/>
      <c r="J40" s="42" t="s">
        <v>28</v>
      </c>
      <c r="K40" s="44"/>
    </row>
    <row r="41" spans="3:11" ht="21.75" customHeight="1">
      <c r="C41" s="42" t="s">
        <v>29</v>
      </c>
      <c r="D41" s="80"/>
      <c r="E41" s="42" t="s">
        <v>30</v>
      </c>
      <c r="F41" s="44"/>
      <c r="H41" s="42" t="s">
        <v>29</v>
      </c>
      <c r="I41" s="80"/>
      <c r="J41" s="42" t="s">
        <v>30</v>
      </c>
      <c r="K41" s="44"/>
    </row>
    <row r="42" spans="3:11" ht="21.75" customHeight="1">
      <c r="C42" s="42"/>
      <c r="D42" s="81">
        <f>SUM(D41*-50)</f>
        <v>0</v>
      </c>
      <c r="E42" s="42" t="s">
        <v>31</v>
      </c>
      <c r="F42" s="44"/>
      <c r="H42" s="42"/>
      <c r="I42" s="81">
        <f>SUM(I41*-50)</f>
        <v>0</v>
      </c>
      <c r="J42" s="42" t="s">
        <v>31</v>
      </c>
      <c r="K42" s="44"/>
    </row>
    <row r="43" spans="3:11" ht="21.75" customHeight="1" thickBot="1">
      <c r="C43" s="56"/>
      <c r="D43" s="82"/>
      <c r="E43" s="56" t="s">
        <v>32</v>
      </c>
      <c r="F43" s="58"/>
      <c r="H43" s="56"/>
      <c r="I43" s="82"/>
      <c r="J43" s="56" t="s">
        <v>32</v>
      </c>
      <c r="K43" s="58"/>
    </row>
    <row r="44" spans="3:11" ht="21.75" customHeight="1" thickBot="1">
      <c r="C44" s="59" t="s">
        <v>33</v>
      </c>
      <c r="D44" s="83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83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1197</v>
      </c>
      <c r="F1" s="1"/>
      <c r="G1" s="1"/>
      <c r="H1" s="1"/>
      <c r="I1" s="1"/>
      <c r="J1" s="1"/>
      <c r="K1" s="1"/>
      <c r="L1" s="22">
        <f>+ROUND(+O5*0.584/1000,3)</f>
        <v>12.451000000000001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11.49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114.9</v>
      </c>
      <c r="M3" s="18" t="s">
        <v>10</v>
      </c>
      <c r="N3" s="3"/>
      <c r="O3" s="3"/>
      <c r="P3" s="126" t="str">
        <f>+'(1)'!C1&amp;"년"&amp;'(1)'!E1&amp;"월"&amp;C1&amp;"일"</f>
        <v>2022년6월10일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12592.352000000001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8728.5930000000008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33362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250000</v>
      </c>
      <c r="L5" s="2"/>
      <c r="M5" s="20"/>
      <c r="N5" s="45" t="str">
        <f>+C4</f>
        <v>판매량</v>
      </c>
      <c r="O5" s="46">
        <f>SUM(D4+I4+D17+I17+D35+I35)</f>
        <v>21320.945</v>
      </c>
      <c r="P5" s="47" t="str">
        <f>+E4</f>
        <v>입금액</v>
      </c>
      <c r="Q5" s="48">
        <f>SUM(F4+K4+F17+K17+F35+K35)</f>
        <v>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355.53199999999998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625000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355.53199999999998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14225003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24410185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24410185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224.93600000000001</v>
      </c>
      <c r="E10" s="42" t="str">
        <f>+'(1)'!E10</f>
        <v>OK케시백</v>
      </c>
      <c r="F10" s="44">
        <v>33000</v>
      </c>
      <c r="G10" s="27"/>
      <c r="H10" s="42" t="str">
        <f t="shared" si="2"/>
        <v>고객우대</v>
      </c>
      <c r="I10" s="50">
        <v>111.846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-7872.76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-3914.61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336.78200000000004</v>
      </c>
      <c r="P11" s="51" t="str">
        <f t="shared" si="5"/>
        <v>OK케시백</v>
      </c>
      <c r="Q11" s="53">
        <f>SUM(F10+K10+F23+K23+F41+K41)</f>
        <v>33000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-11787.37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14639600.780000001</v>
      </c>
      <c r="E13" s="29" t="str">
        <f>+'(1)'!E13</f>
        <v>합계</v>
      </c>
      <c r="F13" s="61">
        <f>SUM(F4:F12)</f>
        <v>14640003</v>
      </c>
      <c r="G13" s="62"/>
      <c r="H13" s="29" t="str">
        <f t="shared" si="2"/>
        <v>합계</v>
      </c>
      <c r="I13" s="60">
        <f>SUM((I4-I5-I6-I7-I8-I9)*$E$1+I11)</f>
        <v>10444211.211000001</v>
      </c>
      <c r="J13" s="29" t="str">
        <f t="shared" si="3"/>
        <v>합계</v>
      </c>
      <c r="K13" s="61">
        <f>IF(K8=0,0,SUM(K4:K12)-F8)</f>
        <v>10444182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402.21999999880791</v>
      </c>
      <c r="G14" s="27"/>
      <c r="H14" s="27"/>
      <c r="I14" s="27"/>
      <c r="J14" s="27"/>
      <c r="K14" s="67">
        <f>SUM(K13-I13)</f>
        <v>-29.211000001057982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25083811.991</v>
      </c>
      <c r="P14" s="39" t="str">
        <f t="shared" si="5"/>
        <v>합계</v>
      </c>
      <c r="Q14" s="69">
        <f>SUM(Q5:Q13)</f>
        <v>25084185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373.00899999774992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29</v>
      </c>
      <c r="Q20" s="53">
        <f>SUM(P20*1000)</f>
        <v>29000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23</v>
      </c>
      <c r="Q23" s="53">
        <f>SUM(P23*1000)</f>
        <v>23000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83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175</v>
      </c>
      <c r="Q26" s="69">
        <f>SUM(Q19:Q25)</f>
        <v>71000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15310</v>
      </c>
      <c r="P29" s="107">
        <v>15330</v>
      </c>
      <c r="Q29" s="108">
        <f>P29-O29</f>
        <v>20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1197</v>
      </c>
      <c r="F1" s="1"/>
      <c r="G1" s="1"/>
      <c r="H1" s="1"/>
      <c r="I1" s="1"/>
      <c r="J1" s="1"/>
      <c r="K1" s="1"/>
      <c r="L1" s="22">
        <f>+ROUND(+O5*0.584/1000,3)</f>
        <v>11.672000000000001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11.507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126.577</v>
      </c>
      <c r="M3" s="18" t="s">
        <v>10</v>
      </c>
      <c r="N3" s="3"/>
      <c r="O3" s="3"/>
      <c r="P3" s="126" t="str">
        <f>+'(1)'!C1&amp;"년"&amp;'(1)'!E1&amp;"월"&amp;C1&amp;"일"</f>
        <v>2022년6월11일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12136.94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7849.1610000000001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48699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215000</v>
      </c>
      <c r="L5" s="2"/>
      <c r="M5" s="20"/>
      <c r="N5" s="45" t="str">
        <f>+C4</f>
        <v>판매량</v>
      </c>
      <c r="O5" s="46">
        <f>SUM(D4+I4+D17+I17+D35+I35)</f>
        <v>19986.101000000002</v>
      </c>
      <c r="P5" s="47" t="str">
        <f>+E4</f>
        <v>입금액</v>
      </c>
      <c r="Q5" s="48">
        <f>SUM(F4+K4+F17+K17+F35+K35)</f>
        <v>0</v>
      </c>
      <c r="R5" s="7">
        <v>29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82.195999999999998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560000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82.195999999999998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14052523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23227837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23227837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177.179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-6201.2650000000003</v>
      </c>
      <c r="E11" s="42" t="str">
        <f>+'(1)'!E11</f>
        <v>모바일</v>
      </c>
      <c r="F11" s="44">
        <v>25000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177.179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-6201.2650000000003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14423327.302999999</v>
      </c>
      <c r="E13" s="29" t="str">
        <f>+'(1)'!E13</f>
        <v>합계</v>
      </c>
      <c r="F13" s="61">
        <f>SUM(F4:F12)</f>
        <v>14423523</v>
      </c>
      <c r="G13" s="62"/>
      <c r="H13" s="29" t="str">
        <f t="shared" si="2"/>
        <v>합계</v>
      </c>
      <c r="I13" s="60">
        <f>SUM((I4-I5-I6-I7-I8-I9)*$E$1+I11)</f>
        <v>9395445.7170000002</v>
      </c>
      <c r="J13" s="29" t="str">
        <f t="shared" si="3"/>
        <v>합계</v>
      </c>
      <c r="K13" s="61">
        <f>IF(K8=0,0,SUM(K4:K12)-F8)</f>
        <v>9394314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195.69700000062585</v>
      </c>
      <c r="G14" s="27"/>
      <c r="H14" s="27"/>
      <c r="I14" s="27"/>
      <c r="J14" s="27"/>
      <c r="K14" s="67">
        <f>SUM(K13-I13)</f>
        <v>-1131.7170000001788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23818773.020000003</v>
      </c>
      <c r="P14" s="39" t="str">
        <f t="shared" si="5"/>
        <v>합계</v>
      </c>
      <c r="Q14" s="69">
        <f>SUM(Q5:Q13)</f>
        <v>23817837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-936.01999999955297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28</v>
      </c>
      <c r="Q19" s="48">
        <f>SUM(P19*1000)</f>
        <v>28000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57</v>
      </c>
      <c r="Q20" s="53">
        <f>SUM(P20*1000)</f>
        <v>57000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14</v>
      </c>
      <c r="Q22" s="53">
        <f>SUM(P22*1000)</f>
        <v>14000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24</v>
      </c>
      <c r="Q23" s="53">
        <f>SUM(P23*1000)</f>
        <v>24000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155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309</v>
      </c>
      <c r="Q26" s="69">
        <f>SUM(Q19:Q25)</f>
        <v>123000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15330</v>
      </c>
      <c r="P29" s="107">
        <v>15376</v>
      </c>
      <c r="Q29" s="108">
        <f>P29-O29</f>
        <v>46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1197</v>
      </c>
      <c r="F1" s="1"/>
      <c r="G1" s="1"/>
      <c r="H1" s="1"/>
      <c r="I1" s="1"/>
      <c r="J1" s="1"/>
      <c r="K1" s="1"/>
      <c r="L1" s="22">
        <f>+ROUND(+O5*0.584/1000,3)</f>
        <v>7.8159999999999998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11.199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134.38800000000001</v>
      </c>
      <c r="M3" s="18" t="s">
        <v>10</v>
      </c>
      <c r="N3" s="3"/>
      <c r="O3" s="3"/>
      <c r="P3" s="126" t="str">
        <f>+'(1)'!C1&amp;"년"&amp;'(1)'!E1&amp;"월"&amp;C1&amp;"일"</f>
        <v>2022년6월12일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7793.5129999999999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5589.78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34664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70000</v>
      </c>
      <c r="L5" s="2"/>
      <c r="M5" s="20"/>
      <c r="N5" s="45" t="str">
        <f>+C4</f>
        <v>판매량</v>
      </c>
      <c r="O5" s="46">
        <f>SUM(D4+I4+D17+I17+D35+I35)</f>
        <v>13383.293</v>
      </c>
      <c r="P5" s="47" t="str">
        <f>+E4</f>
        <v>입금액</v>
      </c>
      <c r="Q5" s="48">
        <f>SUM(F4+K4+F17+K17+F35+K35)</f>
        <v>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20.873000000000001</v>
      </c>
      <c r="J6" s="42" t="str">
        <f t="shared" ref="J6:J13" si="3">+E6</f>
        <v>천원권</v>
      </c>
      <c r="K6" s="44">
        <v>7000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200000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20.873000000000001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9010866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15599794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15599794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51.716999999999999</v>
      </c>
      <c r="E10" s="42" t="str">
        <f>+'(1)'!E10</f>
        <v>OK케시백</v>
      </c>
      <c r="F10" s="44">
        <v>48698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-1810.095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51.716999999999999</v>
      </c>
      <c r="P11" s="51" t="str">
        <f t="shared" si="5"/>
        <v>OK케시백</v>
      </c>
      <c r="Q11" s="53">
        <f>SUM(F10+K10+F23+K23+F41+K41)</f>
        <v>48698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131547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-1810.095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9327024.966</v>
      </c>
      <c r="E13" s="29" t="str">
        <f>+'(1)'!E13</f>
        <v>합계</v>
      </c>
      <c r="F13" s="61">
        <f>SUM(F4:F12)</f>
        <v>9327111</v>
      </c>
      <c r="G13" s="62"/>
      <c r="H13" s="29" t="str">
        <f t="shared" si="2"/>
        <v>합계</v>
      </c>
      <c r="I13" s="60">
        <f>SUM((I4-I5-I6-I7-I8-I9)*$E$1+I11)</f>
        <v>6665981.6790000005</v>
      </c>
      <c r="J13" s="29" t="str">
        <f t="shared" si="3"/>
        <v>합계</v>
      </c>
      <c r="K13" s="61">
        <f>IF(K8=0,0,SUM(K4:K12)-F8)</f>
        <v>6665928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131547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86.033999999985099</v>
      </c>
      <c r="G14" s="27"/>
      <c r="H14" s="27"/>
      <c r="I14" s="27"/>
      <c r="J14" s="27"/>
      <c r="K14" s="67">
        <f>SUM(K13-I13)</f>
        <v>-53.679000000469387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15993006.645</v>
      </c>
      <c r="P14" s="39" t="str">
        <f t="shared" si="5"/>
        <v>합계</v>
      </c>
      <c r="Q14" s="69">
        <f>SUM(Q5:Q13)</f>
        <v>15993039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32.354999999515712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27</v>
      </c>
      <c r="Q20" s="53">
        <v>27000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114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176</v>
      </c>
      <c r="Q26" s="69">
        <f>SUM(Q19:Q25)</f>
        <v>55000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15376</v>
      </c>
      <c r="P29" s="107">
        <v>15416</v>
      </c>
      <c r="Q29" s="108">
        <f>P29-O29</f>
        <v>40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1197</v>
      </c>
      <c r="F1" s="1"/>
      <c r="G1" s="1"/>
      <c r="H1" s="1"/>
      <c r="I1" s="1"/>
      <c r="J1" s="1"/>
      <c r="K1" s="1"/>
      <c r="L1" s="22">
        <f>+ROUND(+O5*0.584/1000,3)</f>
        <v>12.247999999999999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11.28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146.63999999999999</v>
      </c>
      <c r="M3" s="18" t="s">
        <v>10</v>
      </c>
      <c r="N3" s="3"/>
      <c r="O3" s="3"/>
      <c r="P3" s="126" t="str">
        <f>+'(1)'!C1&amp;"년"&amp;'(1)'!E1&amp;"월"&amp;C1&amp;"일"</f>
        <v>2022년6월13일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12863.463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8109.3609999999999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12406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185000</v>
      </c>
      <c r="L5" s="2"/>
      <c r="M5" s="20"/>
      <c r="N5" s="45" t="str">
        <f>+C4</f>
        <v>판매량</v>
      </c>
      <c r="O5" s="46">
        <f>SUM(D4+I4+D17+I17+D35+I35)</f>
        <v>20972.824000000001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376.63900000000001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455000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376.63900000000001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14656623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24176984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24176984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157.13300000000001</v>
      </c>
      <c r="E10" s="42" t="str">
        <f>+'(1)'!E10</f>
        <v>OK케시백</v>
      </c>
      <c r="F10" s="44">
        <v>13201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-5499.6550000000007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157.13300000000001</v>
      </c>
      <c r="P11" s="51" t="str">
        <f t="shared" si="5"/>
        <v>OK케시백</v>
      </c>
      <c r="Q11" s="53">
        <f>SUM(F10+K10+F23+K23+F41+K41)</f>
        <v>13201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-5499.6550000000007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14941228.673</v>
      </c>
      <c r="E13" s="29" t="str">
        <f>+'(1)'!E13</f>
        <v>합계</v>
      </c>
      <c r="F13" s="61">
        <f>SUM(F4:F12)</f>
        <v>14940824</v>
      </c>
      <c r="G13" s="62"/>
      <c r="H13" s="29" t="str">
        <f t="shared" si="2"/>
        <v>합계</v>
      </c>
      <c r="I13" s="60">
        <f>SUM((I4-I5-I6-I7-I8-I9)*$E$1+I11)</f>
        <v>9706905.1170000006</v>
      </c>
      <c r="J13" s="29" t="str">
        <f t="shared" si="3"/>
        <v>합계</v>
      </c>
      <c r="K13" s="61">
        <f>IF(K8=0,0,SUM(K4:K12)-F8)</f>
        <v>9706361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-404.67300000041723</v>
      </c>
      <c r="G14" s="27"/>
      <c r="H14" s="27"/>
      <c r="I14" s="27"/>
      <c r="J14" s="27"/>
      <c r="K14" s="67">
        <f>SUM(K13-I13)</f>
        <v>-544.11700000055134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24648133.789999999</v>
      </c>
      <c r="P14" s="39" t="str">
        <f t="shared" si="5"/>
        <v>합계</v>
      </c>
      <c r="Q14" s="69">
        <f>SUM(Q5:Q13)</f>
        <v>24647185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-948.79000000096858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26</v>
      </c>
      <c r="Q20" s="53">
        <f>SUM(P20*1000)</f>
        <v>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20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24</v>
      </c>
      <c r="Q23" s="53">
        <f>SUM(P23*1000)</f>
        <v>24000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113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217</v>
      </c>
      <c r="Q26" s="69">
        <f>SUM(Q19:Q25)</f>
        <v>68000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15416</v>
      </c>
      <c r="P29" s="107">
        <v>15444</v>
      </c>
      <c r="Q29" s="108">
        <f>P29-O29</f>
        <v>28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1197</v>
      </c>
      <c r="F1" s="1"/>
      <c r="G1" s="1"/>
      <c r="H1" s="1"/>
      <c r="I1" s="1"/>
      <c r="J1" s="1"/>
      <c r="K1" s="1"/>
      <c r="L1" s="22">
        <f>+ROUND(+O5*0.584/1000,3)</f>
        <v>12.356999999999999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11.356999999999999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158.99799999999999</v>
      </c>
      <c r="M3" s="18" t="s">
        <v>10</v>
      </c>
      <c r="N3" s="3"/>
      <c r="O3" s="3"/>
      <c r="P3" s="126" t="str">
        <f>+'(1)'!C1&amp;"년"&amp;'(1)'!E1&amp;"월"&amp;C1&amp;"일"</f>
        <v>2022년6월14일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12297.307000000001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8862.6479999999992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26767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95000</v>
      </c>
      <c r="L5" s="2"/>
      <c r="M5" s="20"/>
      <c r="N5" s="45" t="str">
        <f>+C4</f>
        <v>판매량</v>
      </c>
      <c r="O5" s="46">
        <f>SUM(D4+I4+D17+I17+D35+I35)</f>
        <v>21159.955000000002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319.61599999999999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9000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340000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319.61599999999999</v>
      </c>
      <c r="P7" s="51" t="str">
        <f t="shared" ref="P7:P14" si="5">+E6</f>
        <v>천원권</v>
      </c>
      <c r="Q7" s="53">
        <f>SUM(F6+K6+F19+K19+F37+K37)</f>
        <v>9000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14077678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24564374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24564374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431.74599999999998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116.63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-15111.109999999999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-4082.0499999999997</v>
      </c>
      <c r="J11" s="42" t="str">
        <f t="shared" si="3"/>
        <v>모바일</v>
      </c>
      <c r="K11" s="44">
        <v>13000</v>
      </c>
      <c r="L11" s="2"/>
      <c r="M11" s="20"/>
      <c r="N11" s="51" t="str">
        <f t="shared" si="4"/>
        <v>고객우대</v>
      </c>
      <c r="O11" s="54">
        <f>SUM(D10+I10+D23+I23+D41+I41)</f>
        <v>548.37599999999998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-19193.16</v>
      </c>
      <c r="P12" s="51" t="str">
        <f t="shared" si="5"/>
        <v>모바일</v>
      </c>
      <c r="Q12" s="53">
        <f>SUM(F11+K11+F24+K24+F42+K42)</f>
        <v>13000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14322185.017000001</v>
      </c>
      <c r="E13" s="29" t="str">
        <f>+'(1)'!E13</f>
        <v>합계</v>
      </c>
      <c r="F13" s="61">
        <f>SUM(F4:F12)</f>
        <v>14322678</v>
      </c>
      <c r="G13" s="62"/>
      <c r="H13" s="29" t="str">
        <f t="shared" si="2"/>
        <v>합계</v>
      </c>
      <c r="I13" s="60">
        <f>SUM((I4-I5-I6-I7-I8-I9)*$E$1+I11)</f>
        <v>10604507.605999999</v>
      </c>
      <c r="J13" s="29" t="str">
        <f t="shared" si="3"/>
        <v>합계</v>
      </c>
      <c r="K13" s="61">
        <f>IF(K8=0,0,SUM(K4:K12)-F8)</f>
        <v>10603696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492.98299999907613</v>
      </c>
      <c r="G14" s="27"/>
      <c r="H14" s="27"/>
      <c r="I14" s="27"/>
      <c r="J14" s="27"/>
      <c r="K14" s="67">
        <f>SUM(K13-I13)</f>
        <v>-811.6059999987483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24926692.623</v>
      </c>
      <c r="P14" s="39" t="str">
        <f t="shared" si="5"/>
        <v>합계</v>
      </c>
      <c r="Q14" s="69">
        <f>SUM(Q5:Q13)</f>
        <v>24926374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-318.62299999967217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26</v>
      </c>
      <c r="Q20" s="53">
        <f>SUM(P20*1000)</f>
        <v>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14</v>
      </c>
      <c r="Q23" s="53">
        <f>SUM(P23*1000)</f>
        <v>14000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98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168</v>
      </c>
      <c r="Q26" s="69">
        <f>SUM(Q19:Q25)</f>
        <v>49000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15444</v>
      </c>
      <c r="P29" s="107">
        <v>15476</v>
      </c>
      <c r="Q29" s="108">
        <f>P29-O29</f>
        <v>32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19" sqref="R19:R2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1197</v>
      </c>
      <c r="F1" s="1"/>
      <c r="G1" s="1"/>
      <c r="H1" s="1"/>
      <c r="I1" s="1"/>
      <c r="J1" s="1"/>
      <c r="K1" s="1"/>
      <c r="L1" s="22">
        <f>+ROUND(+O5*0.584/1000,3)</f>
        <v>12.141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11.409000000000001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171.13500000000002</v>
      </c>
      <c r="M3" s="18" t="s">
        <v>10</v>
      </c>
      <c r="N3" s="3"/>
      <c r="O3" s="3"/>
      <c r="P3" s="126" t="str">
        <f>+'(1)'!C1&amp;"년"&amp;'(1)'!E1&amp;"월"&amp;C1&amp;"일"</f>
        <v>2022년6월15일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11851.98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8936.7000000000007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41625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190000</v>
      </c>
      <c r="L5" s="2"/>
      <c r="M5" s="20"/>
      <c r="N5" s="45" t="str">
        <f>+C4</f>
        <v>판매량</v>
      </c>
      <c r="O5" s="46">
        <f>SUM(D4+I4+D17+I17+D35+I35)</f>
        <v>20788.68</v>
      </c>
      <c r="P5" s="47" t="str">
        <f>+E4</f>
        <v>입금액</v>
      </c>
      <c r="Q5" s="48">
        <f>SUM(F4+K4+F17+K17+F35+K35)</f>
        <v>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335.30099999999999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475000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335.30099999999999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13478290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23975422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23975422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175.90199999999999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109.07299999999999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-6156.57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-3817.5549999999998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284.97499999999997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-9974.1249999999982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13779308.193</v>
      </c>
      <c r="E13" s="29" t="str">
        <f>+'(1)'!E13</f>
        <v>합계</v>
      </c>
      <c r="F13" s="61">
        <f>SUM(F4:F12)</f>
        <v>13776290</v>
      </c>
      <c r="G13" s="62"/>
      <c r="H13" s="29" t="str">
        <f t="shared" si="2"/>
        <v>합계</v>
      </c>
      <c r="I13" s="60">
        <f>SUM((I4-I5-I6-I7-I8-I9)*$E$1+I11)</f>
        <v>10693412.345000001</v>
      </c>
      <c r="J13" s="29" t="str">
        <f t="shared" si="3"/>
        <v>합계</v>
      </c>
      <c r="K13" s="61">
        <f>IF(K8=0,0,SUM(K4:K12)-F8)</f>
        <v>10693132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-3018.1929999999702</v>
      </c>
      <c r="G14" s="27"/>
      <c r="H14" s="27"/>
      <c r="I14" s="27"/>
      <c r="J14" s="27"/>
      <c r="K14" s="67">
        <f>SUM(K13-I13)</f>
        <v>-280.34500000067055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24472720.538000003</v>
      </c>
      <c r="P14" s="39" t="str">
        <f t="shared" si="5"/>
        <v>합계</v>
      </c>
      <c r="Q14" s="69">
        <f>SUM(Q5:Q13)</f>
        <v>24469422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-3298.5380000006407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2</v>
      </c>
      <c r="Q19" s="48">
        <f>SUM(P19*1000)</f>
        <v>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</v>
      </c>
      <c r="Q20" s="53">
        <f>SUM(P20*1000)</f>
        <v>3000</v>
      </c>
      <c r="R20" s="18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2</v>
      </c>
      <c r="Q23" s="53">
        <f>SUM(P23*1000)</f>
        <v>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14</v>
      </c>
      <c r="Q26" s="69">
        <f>SUM(Q19:Q25)</f>
        <v>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15476</v>
      </c>
      <c r="P29" s="107">
        <v>15477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1197</v>
      </c>
      <c r="F1" s="1"/>
      <c r="G1" s="1"/>
      <c r="H1" s="1"/>
      <c r="I1" s="1"/>
      <c r="J1" s="1"/>
      <c r="K1" s="1"/>
      <c r="L1" s="22">
        <f>+ROUND(+O5*0.584/1000,3)</f>
        <v>13.055999999999999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11.512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184.19200000000001</v>
      </c>
      <c r="M3" s="18" t="s">
        <v>10</v>
      </c>
      <c r="N3" s="3"/>
      <c r="O3" s="3"/>
      <c r="P3" s="126" t="str">
        <f>+'(1)'!C1&amp;"년"&amp;'(1)'!E1&amp;"월"&amp;C1&amp;"일"</f>
        <v>2022년6월16일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13401.972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8953.5120000000006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17832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235000</v>
      </c>
      <c r="L5" s="2"/>
      <c r="M5" s="20"/>
      <c r="N5" s="45" t="str">
        <f>+C4</f>
        <v>판매량</v>
      </c>
      <c r="O5" s="46">
        <f>SUM(D4+I4+D17+I17+D35+I35)</f>
        <v>22355.484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276.07900000000001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44.710999999999999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480000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320.79000000000002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15434886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25857400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25857400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270.61099999999999</v>
      </c>
      <c r="E10" s="42" t="str">
        <f>+'(1)'!E10</f>
        <v>OK케시백</v>
      </c>
      <c r="F10" s="44">
        <v>14955</v>
      </c>
      <c r="G10" s="27"/>
      <c r="H10" s="42" t="str">
        <f t="shared" si="2"/>
        <v>고객우대</v>
      </c>
      <c r="I10" s="50">
        <v>67.915999999999997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-9471.3850000000002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-2377.06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338.52699999999999</v>
      </c>
      <c r="P11" s="51" t="str">
        <f t="shared" si="5"/>
        <v>OK케시백</v>
      </c>
      <c r="Q11" s="53">
        <f>SUM(F10+K10+F23+K23+F41+K41)</f>
        <v>14955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-11848.445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15702222.536</v>
      </c>
      <c r="E13" s="29" t="str">
        <f>+'(1)'!E13</f>
        <v>합계</v>
      </c>
      <c r="F13" s="61">
        <f>SUM(F4:F12)</f>
        <v>15702841</v>
      </c>
      <c r="G13" s="62"/>
      <c r="H13" s="29" t="str">
        <f t="shared" si="2"/>
        <v>합계</v>
      </c>
      <c r="I13" s="60">
        <f>SUM((I4-I5-I6-I7-I8-I9)*$E$1+I11)</f>
        <v>10661457.737000002</v>
      </c>
      <c r="J13" s="29" t="str">
        <f t="shared" si="3"/>
        <v>합계</v>
      </c>
      <c r="K13" s="61">
        <f>IF(K8=0,0,SUM(K4:K12)-F8)</f>
        <v>10660514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618.46399999968708</v>
      </c>
      <c r="G14" s="27"/>
      <c r="H14" s="27"/>
      <c r="I14" s="27"/>
      <c r="J14" s="27"/>
      <c r="K14" s="67">
        <f>SUM(K13-I13)</f>
        <v>-943.73700000159442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26363680.272999998</v>
      </c>
      <c r="P14" s="39" t="str">
        <f t="shared" si="5"/>
        <v>합계</v>
      </c>
      <c r="Q14" s="69">
        <f>SUM(Q5:Q13)</f>
        <v>26363355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-325.27300000190735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39</v>
      </c>
      <c r="Q20" s="53">
        <f>SUM(P20*1000)</f>
        <v>39000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34</v>
      </c>
      <c r="Q23" s="53">
        <v>34000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103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235</v>
      </c>
      <c r="Q26" s="69">
        <f>SUM(Q19:Q25)</f>
        <v>99000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15477</v>
      </c>
      <c r="P29" s="107">
        <v>15506</v>
      </c>
      <c r="Q29" s="108">
        <f>P29-O29</f>
        <v>29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L9" sqref="L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1197</v>
      </c>
      <c r="F1" s="1"/>
      <c r="G1" s="1"/>
      <c r="H1" s="1"/>
      <c r="I1" s="1"/>
      <c r="J1" s="1"/>
      <c r="K1" s="1"/>
      <c r="L1" s="22">
        <f>+ROUND(+O5*0.584/1000,3)</f>
        <v>12.999000000000001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11.599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197.18299999999999</v>
      </c>
      <c r="M3" s="18" t="s">
        <v>10</v>
      </c>
      <c r="N3" s="3"/>
      <c r="O3" s="3"/>
      <c r="P3" s="126" t="str">
        <f>+'(1)'!C1&amp;"년"&amp;'(1)'!E1&amp;"월"&amp;C1&amp;"일"</f>
        <v>2022년6월17일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13042.279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9216.2340000000004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31131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22258.512999999999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446.505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42.173000000000002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488.678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14644156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25389922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25389922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227.73400000000001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-7970.6900000000005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227.73400000000001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57867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-7970.6900000000005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15069170.788000003</v>
      </c>
      <c r="E13" s="29" t="str">
        <f>+'(1)'!E13</f>
        <v>합계</v>
      </c>
      <c r="F13" s="61">
        <f>SUM(F4:F12)</f>
        <v>15068023</v>
      </c>
      <c r="G13" s="62"/>
      <c r="H13" s="29" t="str">
        <f t="shared" si="2"/>
        <v>합계</v>
      </c>
      <c r="I13" s="60">
        <f>SUM((I4-I5-I6-I7-I8-I9)*$E$1+I11)</f>
        <v>10981351.016999999</v>
      </c>
      <c r="J13" s="29" t="str">
        <f t="shared" si="3"/>
        <v>합계</v>
      </c>
      <c r="K13" s="61">
        <f>IF(K8=0,0,SUM(K4:K12)-F8)</f>
        <v>10980766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57867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-1147.7880000025034</v>
      </c>
      <c r="G14" s="27"/>
      <c r="H14" s="27"/>
      <c r="I14" s="27"/>
      <c r="J14" s="27"/>
      <c r="K14" s="67">
        <f>SUM(K13-I13)</f>
        <v>-585.01699999906123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26050521.804999996</v>
      </c>
      <c r="P14" s="39" t="str">
        <f t="shared" si="5"/>
        <v>합계</v>
      </c>
      <c r="Q14" s="69">
        <f>SUM(Q5:Q13)</f>
        <v>26048789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-1732.8050000015646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8</v>
      </c>
      <c r="Q23" s="53">
        <f>SUM(P23*1000)</f>
        <v>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111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174</v>
      </c>
      <c r="Q26" s="69">
        <f>SUM(Q19:Q25)</f>
        <v>48000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15506</v>
      </c>
      <c r="P29" s="107">
        <v>15540</v>
      </c>
      <c r="Q29" s="108">
        <f>P29-O29</f>
        <v>34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L8" sqref="L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1197</v>
      </c>
      <c r="F1" s="1"/>
      <c r="G1" s="1"/>
      <c r="H1" s="1"/>
      <c r="I1" s="1"/>
      <c r="J1" s="1"/>
      <c r="K1" s="1"/>
      <c r="L1" s="22">
        <f>+ROUND(+O5*0.584/1000,3)</f>
        <v>11.169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11.574999999999999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208.35</v>
      </c>
      <c r="M3" s="18" t="s">
        <v>10</v>
      </c>
      <c r="N3" s="3"/>
      <c r="O3" s="3"/>
      <c r="P3" s="126" t="str">
        <f>+'(1)'!C1&amp;"년"&amp;'(1)'!E1&amp;"월"&amp;C1&amp;"일"</f>
        <v>2022년6월18일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10929.203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8196.4410000000007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36625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145000</v>
      </c>
      <c r="L5" s="2"/>
      <c r="M5" s="20"/>
      <c r="N5" s="45" t="str">
        <f>+C4</f>
        <v>판매량</v>
      </c>
      <c r="O5" s="46">
        <f>SUM(D4+I4+D17+I17+D35+I35)</f>
        <v>19125.644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161.75700000000001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530000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161.75700000000001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12468637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22082712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22082712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117.88800000000001</v>
      </c>
      <c r="E10" s="42" t="str">
        <f>+'(1)'!E10</f>
        <v>OK케시백</v>
      </c>
      <c r="F10" s="44">
        <v>12002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-4126.08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117.88800000000001</v>
      </c>
      <c r="P11" s="51" t="str">
        <f t="shared" si="5"/>
        <v>OK케시백</v>
      </c>
      <c r="Q11" s="53">
        <f>SUM(F10+K10+F23+K23+F41+K41)</f>
        <v>12002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-4126.08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12884506.782</v>
      </c>
      <c r="E13" s="29" t="str">
        <f>+'(1)'!E13</f>
        <v>합계</v>
      </c>
      <c r="F13" s="61">
        <f>SUM(F4:F12)</f>
        <v>12883639</v>
      </c>
      <c r="G13" s="62"/>
      <c r="H13" s="29" t="str">
        <f t="shared" si="2"/>
        <v>합계</v>
      </c>
      <c r="I13" s="60">
        <f>SUM((I4-I5-I6-I7-I8-I9)*$E$1+I11)</f>
        <v>9811139.8770000003</v>
      </c>
      <c r="J13" s="29" t="str">
        <f t="shared" si="3"/>
        <v>합계</v>
      </c>
      <c r="K13" s="61">
        <f>IF(K8=0,0,SUM(K4:K12)-F8)</f>
        <v>9812075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-867.78199999965727</v>
      </c>
      <c r="G14" s="27"/>
      <c r="H14" s="27"/>
      <c r="I14" s="27"/>
      <c r="J14" s="27"/>
      <c r="K14" s="67">
        <f>SUM(K13-I13)</f>
        <v>935.12299999967217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22695646.659000002</v>
      </c>
      <c r="P14" s="39" t="str">
        <f t="shared" si="5"/>
        <v>합계</v>
      </c>
      <c r="Q14" s="69">
        <f>SUM(Q5:Q13)</f>
        <v>22695714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67.341000000014901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66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148</v>
      </c>
      <c r="Q26" s="69">
        <f>SUM(Q19:Q25)</f>
        <v>60000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15540</v>
      </c>
      <c r="P29" s="107">
        <v>15571</v>
      </c>
      <c r="Q29" s="108">
        <f>P29-O29</f>
        <v>31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1197</v>
      </c>
      <c r="F1" s="1"/>
      <c r="G1" s="1"/>
      <c r="H1" s="1"/>
      <c r="I1" s="1"/>
      <c r="J1" s="1"/>
      <c r="K1" s="1"/>
      <c r="L1" s="22">
        <f>+ROUND(+O5*0.584/1000,3)</f>
        <v>8.0429999999999993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11.388999999999999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216.39099999999999</v>
      </c>
      <c r="M3" s="18" t="s">
        <v>10</v>
      </c>
      <c r="N3" s="3"/>
      <c r="O3" s="3"/>
      <c r="P3" s="126" t="str">
        <f>+'(1)'!C1&amp;"년"&amp;'(1)'!E1&amp;"월"&amp;C1&amp;"일"</f>
        <v>2022년6월19일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8078.4480000000003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5694.4989999999998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33385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280000</v>
      </c>
      <c r="L5" s="2"/>
      <c r="M5" s="20"/>
      <c r="N5" s="45" t="str">
        <f>+C4</f>
        <v>판매량</v>
      </c>
      <c r="O5" s="46">
        <f>SUM(D4+I4+D17+I17+D35+I35)</f>
        <v>13772.947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780000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9100994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15626372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15626372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112.473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109.68899999999999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-3936.5549999999998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-3839.1149999999998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222.16199999999998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-7775.6699999999992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9665965.7010000013</v>
      </c>
      <c r="E13" s="29" t="str">
        <f>+'(1)'!E13</f>
        <v>합계</v>
      </c>
      <c r="F13" s="61">
        <f>SUM(F4:F12)</f>
        <v>9664994</v>
      </c>
      <c r="G13" s="62"/>
      <c r="H13" s="29" t="str">
        <f t="shared" si="2"/>
        <v>합계</v>
      </c>
      <c r="I13" s="60">
        <f>SUM((I4-I5-I6-I7-I8-I9)*$E$1+I11)</f>
        <v>6812476.1879999992</v>
      </c>
      <c r="J13" s="29" t="str">
        <f t="shared" si="3"/>
        <v>합계</v>
      </c>
      <c r="K13" s="61">
        <f>IF(K8=0,0,SUM(K4:K12)-F8)</f>
        <v>6813378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-971.7010000012815</v>
      </c>
      <c r="G14" s="27"/>
      <c r="H14" s="27"/>
      <c r="I14" s="27"/>
      <c r="J14" s="27"/>
      <c r="K14" s="67">
        <f>SUM(K13-I13)</f>
        <v>901.81200000084937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16478441.889</v>
      </c>
      <c r="P14" s="39" t="str">
        <f t="shared" si="5"/>
        <v>합계</v>
      </c>
      <c r="Q14" s="69">
        <f>SUM(Q5:Q13)</f>
        <v>16478372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-69.889000000432134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13</v>
      </c>
      <c r="Q23" s="53">
        <f>SUM(P23*1000)</f>
        <v>13000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83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141</v>
      </c>
      <c r="Q26" s="69">
        <f>SUM(Q19:Q25)</f>
        <v>52000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15571</v>
      </c>
      <c r="P29" s="107">
        <v>15598</v>
      </c>
      <c r="Q29" s="108">
        <f>P29-O29</f>
        <v>27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4" sqref="R4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9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9" style="85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41</v>
      </c>
      <c r="E1" s="103">
        <f>+'(1)'!I1</f>
        <v>1197</v>
      </c>
      <c r="F1" s="27"/>
      <c r="G1" s="27"/>
      <c r="H1" s="27"/>
      <c r="I1" s="27"/>
      <c r="J1" s="27"/>
      <c r="K1" s="27"/>
      <c r="L1" s="31">
        <f>+ROUND(+O5*0.584/1000,3)</f>
        <v>11.646000000000001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12.31</v>
      </c>
      <c r="M2" s="27" t="s">
        <v>7</v>
      </c>
      <c r="N2" s="114" t="s">
        <v>42</v>
      </c>
      <c r="O2" s="114"/>
      <c r="P2" s="114"/>
      <c r="Q2" s="114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24.62</v>
      </c>
      <c r="M3" s="27" t="s">
        <v>10</v>
      </c>
      <c r="N3" s="32"/>
      <c r="O3" s="32"/>
      <c r="P3" s="113" t="str">
        <f>+'(1)'!C1&amp;"년"&amp;'(1)'!E1&amp;"월"&amp;C1&amp;"일"</f>
        <v>2022년6월2일</v>
      </c>
      <c r="Q3" s="113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11589.745999999999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8351.4130000000005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22578</v>
      </c>
      <c r="S4" s="41" t="s">
        <v>43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85000</v>
      </c>
      <c r="L5" s="37"/>
      <c r="M5" s="86"/>
      <c r="N5" s="45" t="str">
        <f>+C4</f>
        <v>판매량</v>
      </c>
      <c r="O5" s="46">
        <f>SUM(D4+I4+D17+I17+D35+I35)</f>
        <v>19941.159</v>
      </c>
      <c r="P5" s="47" t="str">
        <f>+E4</f>
        <v>입금액</v>
      </c>
      <c r="Q5" s="48">
        <f>SUM(F4+K4+F17+K17+F35+K35)</f>
        <v>0</v>
      </c>
      <c r="R5" s="49">
        <v>25</v>
      </c>
      <c r="S5" s="41" t="s">
        <v>44</v>
      </c>
      <c r="T5" s="27"/>
      <c r="U5" s="27"/>
      <c r="V5" s="27"/>
    </row>
    <row r="6" spans="3:22" ht="16.5" customHeight="1">
      <c r="C6" s="87" t="str">
        <f>+'(1)'!C6</f>
        <v>외상전표</v>
      </c>
      <c r="D6" s="50">
        <v>259.35199999999998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370000</v>
      </c>
      <c r="R6" s="49">
        <v>2.5</v>
      </c>
      <c r="S6" s="41" t="s">
        <v>45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259.35199999999998</v>
      </c>
      <c r="P7" s="51" t="str">
        <f t="shared" ref="P7:P14" si="5">+E6</f>
        <v>천원권</v>
      </c>
      <c r="Q7" s="53">
        <f>SUM(F6+K6+F19+K19+F37+K37)</f>
        <v>4000</v>
      </c>
      <c r="R7" s="40" t="s">
        <v>50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13258284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23159426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23159426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366.69799999999998</v>
      </c>
      <c r="E10" s="42" t="str">
        <f>+'(1)'!E10</f>
        <v>OK케시백</v>
      </c>
      <c r="F10" s="44">
        <v>3669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-12834.429999999998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8000</v>
      </c>
      <c r="L11" s="37"/>
      <c r="M11" s="86"/>
      <c r="N11" s="51" t="str">
        <f t="shared" si="4"/>
        <v>고객우대</v>
      </c>
      <c r="O11" s="54">
        <f>SUM(D10+I10+D23+I23+D41+I41)</f>
        <v>366.69799999999998</v>
      </c>
      <c r="P11" s="51" t="str">
        <f t="shared" si="5"/>
        <v>OK케시백</v>
      </c>
      <c r="Q11" s="53">
        <f>SUM(F10+K10+F23+K23+F41+K41)</f>
        <v>3669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37"/>
      <c r="M12" s="86"/>
      <c r="N12" s="51" t="str">
        <f t="shared" si="4"/>
        <v>-</v>
      </c>
      <c r="O12" s="52">
        <f>SUM(O11*-35)</f>
        <v>-12834.429999999998</v>
      </c>
      <c r="P12" s="51" t="str">
        <f t="shared" si="5"/>
        <v>모바일</v>
      </c>
      <c r="Q12" s="53">
        <f>SUM(F11+K11+F24+K24+F42+K42)</f>
        <v>8000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13549647.187999999</v>
      </c>
      <c r="E13" s="29" t="str">
        <f>+'(1)'!E13</f>
        <v>합계</v>
      </c>
      <c r="F13" s="61">
        <f>SUM(F4:F12)</f>
        <v>13548953</v>
      </c>
      <c r="G13" s="62"/>
      <c r="H13" s="29" t="str">
        <f t="shared" si="2"/>
        <v>합계</v>
      </c>
      <c r="I13" s="60">
        <f>SUM((I4-I5-I6-I7-I8-I9)*$E$1+I11)</f>
        <v>9996641.3610000014</v>
      </c>
      <c r="J13" s="29" t="str">
        <f t="shared" si="3"/>
        <v>합계</v>
      </c>
      <c r="K13" s="61">
        <f>IF(K8=0,0,SUM(K4:K12)-F8)</f>
        <v>9996142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-694.18799999915063</v>
      </c>
      <c r="G14" s="27"/>
      <c r="H14" s="27"/>
      <c r="I14" s="27"/>
      <c r="J14" s="27"/>
      <c r="K14" s="67">
        <f>SUM(K13-I13)</f>
        <v>-499.36100000143051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23546288.549000002</v>
      </c>
      <c r="P14" s="39" t="str">
        <f t="shared" si="5"/>
        <v>합계</v>
      </c>
      <c r="Q14" s="69">
        <f>SUM(Q5:Q13)</f>
        <v>23545095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-1193.5490000005811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17</v>
      </c>
      <c r="Q19" s="48">
        <f>SUM(P19*1000)</f>
        <v>17000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35</v>
      </c>
      <c r="Q20" s="53">
        <f>SUM(P20*1000)</f>
        <v>35000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15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15</v>
      </c>
      <c r="Q23" s="53">
        <f>SUM(P23*1000)</f>
        <v>15000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13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101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198</v>
      </c>
      <c r="Q26" s="69">
        <f>SUM(Q19:Q25)</f>
        <v>69000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09" t="s">
        <v>54</v>
      </c>
      <c r="O28" s="104" t="s">
        <v>55</v>
      </c>
      <c r="P28" s="104" t="s">
        <v>56</v>
      </c>
      <c r="Q28" s="105" t="s">
        <v>57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0"/>
      <c r="O29" s="106">
        <v>15071</v>
      </c>
      <c r="P29" s="107">
        <v>15100</v>
      </c>
      <c r="Q29" s="108">
        <f>P29-O29</f>
        <v>29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1197</v>
      </c>
      <c r="F1" s="1"/>
      <c r="G1" s="1"/>
      <c r="H1" s="1"/>
      <c r="I1" s="1"/>
      <c r="J1" s="1"/>
      <c r="K1" s="1"/>
      <c r="L1" s="22">
        <f>+ROUND(+O5*0.584/1000,3)</f>
        <v>12.231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11.430999999999999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228.61999999999998</v>
      </c>
      <c r="M3" s="18" t="s">
        <v>10</v>
      </c>
      <c r="N3" s="3"/>
      <c r="O3" s="3"/>
      <c r="P3" s="126" t="str">
        <f>+'(1)'!C1&amp;"년"&amp;'(1)'!E1&amp;"월"&amp;C1&amp;"일"</f>
        <v>2022년6월20일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12028.040999999999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8915.4419999999991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47387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425000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330000</v>
      </c>
      <c r="L5" s="2"/>
      <c r="M5" s="20"/>
      <c r="N5" s="45" t="str">
        <f>+C4</f>
        <v>판매량</v>
      </c>
      <c r="O5" s="46">
        <f>SUM(D4+I4+D17+I17+D35+I35)</f>
        <v>20943.483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277.41399999999999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755000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277.41399999999999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52.542000000000002</v>
      </c>
      <c r="E8" s="42" t="str">
        <f>+'(1)'!E8</f>
        <v>신용카드</v>
      </c>
      <c r="F8" s="44">
        <v>13561040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23887452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52.542000000000002</v>
      </c>
      <c r="P9" s="51" t="str">
        <f t="shared" si="5"/>
        <v>신용카드</v>
      </c>
      <c r="Q9" s="53">
        <f>IF(K8=0,F8,IF(F21=0,K8,IF(K21=0,F21,K21)))</f>
        <v>23887452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314.71100000000001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62.241999999999997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-11014.885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-2178.4699999999998</v>
      </c>
      <c r="J11" s="42" t="str">
        <f t="shared" si="3"/>
        <v>모바일</v>
      </c>
      <c r="K11" s="44">
        <v>13000</v>
      </c>
      <c r="L11" s="2"/>
      <c r="M11" s="20"/>
      <c r="N11" s="51" t="str">
        <f t="shared" si="4"/>
        <v>고객우대</v>
      </c>
      <c r="O11" s="54">
        <f>SUM(D10+I10+D23+I23+D41+I41)</f>
        <v>376.95300000000003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-13193.355000000001</v>
      </c>
      <c r="P12" s="51" t="str">
        <f t="shared" si="5"/>
        <v>모바일</v>
      </c>
      <c r="Q12" s="53">
        <f>SUM(F11+K11+F24+K24+F42+K42)</f>
        <v>18000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13991592.859999999</v>
      </c>
      <c r="E13" s="29" t="str">
        <f>+'(1)'!E13</f>
        <v>합계</v>
      </c>
      <c r="F13" s="61">
        <f>SUM(F4:F12)</f>
        <v>13991040</v>
      </c>
      <c r="G13" s="62"/>
      <c r="H13" s="29" t="str">
        <f t="shared" si="2"/>
        <v>합계</v>
      </c>
      <c r="I13" s="60">
        <f>SUM((I4-I5-I6-I7-I8-I9)*$E$1+I11)</f>
        <v>10669605.603999998</v>
      </c>
      <c r="J13" s="29" t="str">
        <f t="shared" si="3"/>
        <v>합계</v>
      </c>
      <c r="K13" s="61">
        <f>IF(K8=0,0,SUM(K4:K12)-F8)</f>
        <v>10669412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-552.85999999940395</v>
      </c>
      <c r="G14" s="27"/>
      <c r="H14" s="27"/>
      <c r="I14" s="27"/>
      <c r="J14" s="27"/>
      <c r="K14" s="67">
        <f>SUM(K13-I13)</f>
        <v>-193.60399999842048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24661198.463999998</v>
      </c>
      <c r="P14" s="39" t="str">
        <f t="shared" si="5"/>
        <v>합계</v>
      </c>
      <c r="Q14" s="69">
        <f>SUM(Q5:Q13)</f>
        <v>24660452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-746.46399999782443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25</v>
      </c>
      <c r="Q19" s="48">
        <f>SUM(P19*1000)</f>
        <v>25000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23</v>
      </c>
      <c r="Q20" s="53">
        <f>SUM(P20*1000)</f>
        <v>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25</v>
      </c>
      <c r="Q23" s="53">
        <f>SUM(P23*1000)</f>
        <v>25000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96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205</v>
      </c>
      <c r="Q26" s="69">
        <f>SUM(Q19:Q25)</f>
        <v>76000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15598</v>
      </c>
      <c r="P29" s="107">
        <v>15623</v>
      </c>
      <c r="Q29" s="108">
        <f>P29-O29</f>
        <v>25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1197</v>
      </c>
      <c r="F1" s="1"/>
      <c r="G1" s="1"/>
      <c r="H1" s="1"/>
      <c r="I1" s="1"/>
      <c r="J1" s="1"/>
      <c r="K1" s="1"/>
      <c r="L1" s="22">
        <f>+ROUND(+O5*0.584/1000,3)</f>
        <v>12.737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11.493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241.35300000000001</v>
      </c>
      <c r="M3" s="18" t="s">
        <v>10</v>
      </c>
      <c r="N3" s="3"/>
      <c r="O3" s="3"/>
      <c r="P3" s="126" t="str">
        <f>+'(1)'!C1&amp;"년"&amp;'(1)'!E1&amp;"월"&amp;C1&amp;"일"</f>
        <v>2022년6월21일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13597.366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8212.2099999999991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24583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275000</v>
      </c>
      <c r="L5" s="2"/>
      <c r="M5" s="20"/>
      <c r="N5" s="45" t="str">
        <f>+C4</f>
        <v>판매량</v>
      </c>
      <c r="O5" s="46">
        <f>SUM(D4+I4+D17+I17+D35+I35)</f>
        <v>21809.576000000001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294.92500000000001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740000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294.92500000000001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15426771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24957662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24957662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586.31399999999996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-20520.989999999998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586.31399999999996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20349</v>
      </c>
      <c r="L12" s="2"/>
      <c r="M12" s="20"/>
      <c r="N12" s="51" t="str">
        <f t="shared" si="4"/>
        <v>-</v>
      </c>
      <c r="O12" s="55">
        <f>SUM(O11*-35)</f>
        <v>-20520.989999999998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15902500.887</v>
      </c>
      <c r="E13" s="29" t="str">
        <f>+'(1)'!E13</f>
        <v>합계</v>
      </c>
      <c r="F13" s="61">
        <f>SUM(F4:F12)</f>
        <v>15901771</v>
      </c>
      <c r="G13" s="62"/>
      <c r="H13" s="29" t="str">
        <f t="shared" si="2"/>
        <v>합계</v>
      </c>
      <c r="I13" s="60">
        <f>SUM((I4-I5-I6-I7-I8-I9)*$E$1+I11)</f>
        <v>9830015.3699999992</v>
      </c>
      <c r="J13" s="29" t="str">
        <f t="shared" si="3"/>
        <v>합계</v>
      </c>
      <c r="K13" s="61">
        <f>IF(K8=0,0,SUM(K4:K12)-F8)</f>
        <v>9830240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20349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-729.88700000010431</v>
      </c>
      <c r="G14" s="27"/>
      <c r="H14" s="27"/>
      <c r="I14" s="27"/>
      <c r="J14" s="27"/>
      <c r="K14" s="67">
        <f>SUM(K13-I13)</f>
        <v>224.63000000081956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25732516.257000003</v>
      </c>
      <c r="P14" s="39" t="str">
        <f t="shared" si="5"/>
        <v>합계</v>
      </c>
      <c r="Q14" s="69">
        <f>SUM(Q5:Q13)</f>
        <v>25732011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-505.25699999928474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116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201</v>
      </c>
      <c r="Q26" s="69">
        <f>SUM(Q19:Q25)</f>
        <v>63000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15623</v>
      </c>
      <c r="P29" s="107">
        <v>15649</v>
      </c>
      <c r="Q29" s="108">
        <f>P29-O29</f>
        <v>26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1197</v>
      </c>
      <c r="F1" s="1"/>
      <c r="G1" s="1"/>
      <c r="H1" s="1"/>
      <c r="I1" s="1"/>
      <c r="J1" s="1"/>
      <c r="K1" s="1"/>
      <c r="L1" s="22">
        <f>+ROUND(+O5*0.584/1000,3)</f>
        <v>12.685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11.547000000000001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254.03400000000002</v>
      </c>
      <c r="M3" s="18" t="s">
        <v>10</v>
      </c>
      <c r="N3" s="3"/>
      <c r="O3" s="3"/>
      <c r="P3" s="126" t="str">
        <f>+'(1)'!C1&amp;"년"&amp;'(1)'!E1&amp;"월"&amp;C1&amp;"일"</f>
        <v>2022년6월22일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13056.853999999999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8663.2960000000003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37661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245000</v>
      </c>
      <c r="L5" s="2"/>
      <c r="M5" s="20"/>
      <c r="N5" s="45" t="str">
        <f>+C4</f>
        <v>판매량</v>
      </c>
      <c r="O5" s="46">
        <f>SUM(D4+I4+D17+I17+D35+I35)</f>
        <v>21720.15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334.61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635000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334.61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14760533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24876871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24876871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277.86399999999998</v>
      </c>
      <c r="E10" s="42" t="str">
        <f>+'(1)'!E10</f>
        <v>OK케시백</v>
      </c>
      <c r="F10" s="44">
        <v>52569</v>
      </c>
      <c r="G10" s="27"/>
      <c r="H10" s="42" t="str">
        <f t="shared" si="2"/>
        <v>고객우대</v>
      </c>
      <c r="I10" s="50">
        <v>57.509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-9725.24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-2012.8150000000001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335.37299999999999</v>
      </c>
      <c r="P11" s="51" t="str">
        <f t="shared" si="5"/>
        <v>OK케시백</v>
      </c>
      <c r="Q11" s="53">
        <f>SUM(F10+K10+F23+K23+F41+K41)</f>
        <v>52569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-11738.055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15218800.827999998</v>
      </c>
      <c r="E13" s="29" t="str">
        <f>+'(1)'!E13</f>
        <v>합계</v>
      </c>
      <c r="F13" s="61">
        <f>SUM(F4:F12)</f>
        <v>15220102</v>
      </c>
      <c r="G13" s="62"/>
      <c r="H13" s="29" t="str">
        <f t="shared" si="2"/>
        <v>합계</v>
      </c>
      <c r="I13" s="60">
        <f>SUM((I4-I5-I6-I7-I8-I9)*$E$1+I11)</f>
        <v>10367952.497000001</v>
      </c>
      <c r="J13" s="29" t="str">
        <f t="shared" si="3"/>
        <v>합계</v>
      </c>
      <c r="K13" s="61">
        <f>IF(K8=0,0,SUM(K4:K12)-F8)</f>
        <v>10367338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1301.172000002116</v>
      </c>
      <c r="G14" s="27"/>
      <c r="H14" s="27"/>
      <c r="I14" s="27"/>
      <c r="J14" s="27"/>
      <c r="K14" s="67">
        <f>SUM(K13-I13)</f>
        <v>-614.49700000137091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25586753.325000003</v>
      </c>
      <c r="P14" s="39" t="str">
        <f t="shared" si="5"/>
        <v>합계</v>
      </c>
      <c r="Q14" s="69">
        <f>SUM(Q5:Q13)</f>
        <v>25587440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686.67500000074506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78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142</v>
      </c>
      <c r="Q26" s="69">
        <f>SUM(Q19:Q25)</f>
        <v>51000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15649</v>
      </c>
      <c r="P29" s="107">
        <v>15675</v>
      </c>
      <c r="Q29" s="108">
        <f>P29-O29</f>
        <v>26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1197</v>
      </c>
      <c r="F1" s="1"/>
      <c r="G1" s="1"/>
      <c r="H1" s="1"/>
      <c r="I1" s="1"/>
      <c r="J1" s="1"/>
      <c r="K1" s="1"/>
      <c r="L1" s="22">
        <f>+ROUND(+O5*0.584/1000,3)</f>
        <v>11.629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11.551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265.673</v>
      </c>
      <c r="M3" s="18" t="s">
        <v>10</v>
      </c>
      <c r="N3" s="3"/>
      <c r="O3" s="3"/>
      <c r="P3" s="126" t="str">
        <f>+'(1)'!C1&amp;"년"&amp;'(1)'!E1&amp;"월"&amp;C1&amp;"일"</f>
        <v>2022년6월23일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12394.445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7517.8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16631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19912.244999999999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291.56299999999999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345000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291.56299999999999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14349116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23111376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23111376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220.58</v>
      </c>
      <c r="E10" s="42" t="str">
        <f>+'(1)'!E10</f>
        <v>OK케시백</v>
      </c>
      <c r="F10" s="44">
        <v>3015</v>
      </c>
      <c r="G10" s="27"/>
      <c r="H10" s="42" t="str">
        <f t="shared" si="2"/>
        <v>고객우대</v>
      </c>
      <c r="I10" s="50">
        <v>176.523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-7720.3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-6178.3050000000003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397.10300000000001</v>
      </c>
      <c r="P11" s="51" t="str">
        <f t="shared" si="5"/>
        <v>OK케시백</v>
      </c>
      <c r="Q11" s="53">
        <f>SUM(F10+K10+F23+K23+F41+K41)</f>
        <v>3015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-13898.605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14479429.453999998</v>
      </c>
      <c r="E13" s="29" t="str">
        <f>+'(1)'!E13</f>
        <v>합계</v>
      </c>
      <c r="F13" s="61">
        <f>SUM(F4:F12)</f>
        <v>14479131</v>
      </c>
      <c r="G13" s="62"/>
      <c r="H13" s="29" t="str">
        <f t="shared" si="2"/>
        <v>합계</v>
      </c>
      <c r="I13" s="60">
        <f>SUM((I4-I5-I6-I7-I8-I9)*$E$1+I11)</f>
        <v>8992628.2949999999</v>
      </c>
      <c r="J13" s="29" t="str">
        <f t="shared" si="3"/>
        <v>합계</v>
      </c>
      <c r="K13" s="61">
        <f>IF(K8=0,0,SUM(K4:K12)-F8)</f>
        <v>8993260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-298.45399999804795</v>
      </c>
      <c r="G14" s="27"/>
      <c r="H14" s="27"/>
      <c r="I14" s="27"/>
      <c r="J14" s="27"/>
      <c r="K14" s="67">
        <f>SUM(K13-I13)</f>
        <v>631.70500000007451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23472057.749000002</v>
      </c>
      <c r="P14" s="39" t="str">
        <f t="shared" si="5"/>
        <v>합계</v>
      </c>
      <c r="Q14" s="69">
        <f>SUM(Q5:Q13)</f>
        <v>23472391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333.25100000202656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3</v>
      </c>
      <c r="Q19" s="48">
        <f>SUM(P19*1000)</f>
        <v>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</v>
      </c>
      <c r="Q20" s="53">
        <f>SUM(P20*1000)</f>
        <v>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0</v>
      </c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3</v>
      </c>
      <c r="Q23" s="53">
        <f>SUM(P23*1000)</f>
        <v>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24</v>
      </c>
      <c r="Q26" s="69">
        <f>SUM(Q19:Q25)</f>
        <v>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15675</v>
      </c>
      <c r="P29" s="107">
        <v>15678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L8" sqref="L8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9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1197</v>
      </c>
      <c r="F1" s="1"/>
      <c r="G1" s="1"/>
      <c r="H1" s="1"/>
      <c r="I1" s="1"/>
      <c r="J1" s="1"/>
      <c r="K1" s="1"/>
      <c r="L1" s="22">
        <f>+ROUND(+O5*0.584/1000,3)</f>
        <v>13.128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11.617000000000001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278.80799999999999</v>
      </c>
      <c r="M3" s="18" t="s">
        <v>10</v>
      </c>
      <c r="N3" s="3"/>
      <c r="O3" s="3"/>
      <c r="P3" s="126" t="str">
        <f>+'(1)'!C1&amp;"년"&amp;'(1)'!E1&amp;"월"&amp;C1&amp;"일"</f>
        <v>2022년6월24일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13704.543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8774.8559999999998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30131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320000</v>
      </c>
      <c r="L5" s="2"/>
      <c r="M5" s="20"/>
      <c r="N5" s="45" t="str">
        <f>+C4</f>
        <v>판매량</v>
      </c>
      <c r="O5" s="46">
        <f>SUM(D4+I4+D17+I17+D35+I35)</f>
        <v>22479.398999999998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425.79199999999997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585000</v>
      </c>
      <c r="R6" s="7">
        <v>25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425.79199999999997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15527315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25705553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25705553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515.39499999999998</v>
      </c>
      <c r="E10" s="42" t="str">
        <f>+'(1)'!E10</f>
        <v>OK케시백</v>
      </c>
      <c r="F10" s="44">
        <v>5000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-18038.825000000001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515.39499999999998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55112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-18038.825000000001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15876626.122000001</v>
      </c>
      <c r="E13" s="29" t="str">
        <f>+'(1)'!E13</f>
        <v>합계</v>
      </c>
      <c r="F13" s="61">
        <f>SUM(F4:F12)</f>
        <v>15876427</v>
      </c>
      <c r="G13" s="62"/>
      <c r="H13" s="29" t="str">
        <f t="shared" si="2"/>
        <v>합계</v>
      </c>
      <c r="I13" s="60">
        <f>SUM((I4-I5-I6-I7-I8-I9)*$E$1+I11)</f>
        <v>10503502.631999999</v>
      </c>
      <c r="J13" s="29" t="str">
        <f t="shared" si="3"/>
        <v>합계</v>
      </c>
      <c r="K13" s="61">
        <f>IF(K8=0,0,SUM(K4:K12)-F8)</f>
        <v>10502238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55112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-199.12200000137091</v>
      </c>
      <c r="G14" s="27"/>
      <c r="H14" s="27"/>
      <c r="I14" s="27"/>
      <c r="J14" s="27"/>
      <c r="K14" s="67">
        <f>SUM(K13-I13)</f>
        <v>-1264.6319999992847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26380128.753999997</v>
      </c>
      <c r="P14" s="39" t="str">
        <f t="shared" si="5"/>
        <v>합계</v>
      </c>
      <c r="Q14" s="69">
        <f>SUM(Q5:Q13)</f>
        <v>26378665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-1463.7540000006557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27</v>
      </c>
      <c r="Q20" s="53">
        <f>SUM(P20*1000)</f>
        <v>27000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26</v>
      </c>
      <c r="Q23" s="53">
        <f>SUM(P23*1000)</f>
        <v>26000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72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161</v>
      </c>
      <c r="Q26" s="69">
        <f>SUM(Q19:Q25)</f>
        <v>69000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15678</v>
      </c>
      <c r="P29" s="107">
        <v>15698</v>
      </c>
      <c r="Q29" s="108">
        <f>P29-O29</f>
        <v>20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1197</v>
      </c>
      <c r="F1" s="1"/>
      <c r="G1" s="1"/>
      <c r="H1" s="1"/>
      <c r="I1" s="1"/>
      <c r="J1" s="1"/>
      <c r="K1" s="1"/>
      <c r="L1" s="22">
        <f>+ROUND(+O5*0.584/1000,3)</f>
        <v>11.082000000000001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11.596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289.89999999999998</v>
      </c>
      <c r="M3" s="18" t="s">
        <v>10</v>
      </c>
      <c r="N3" s="3"/>
      <c r="O3" s="3"/>
      <c r="P3" s="126" t="str">
        <f>+'(1)'!C1&amp;"년"&amp;'(1)'!E1&amp;"월"&amp;C1&amp;"일"</f>
        <v>2022년6월25일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11087.634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7888.1239999999998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46786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170000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135000</v>
      </c>
      <c r="L5" s="2"/>
      <c r="M5" s="20"/>
      <c r="N5" s="45" t="str">
        <f>+C4</f>
        <v>판매량</v>
      </c>
      <c r="O5" s="46">
        <f>SUM(D4+I4+D17+I17+D35+I35)</f>
        <v>18975.758000000002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154.376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305000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154.376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12849349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22152763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22152763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54.734999999999999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>
        <v>49.923999999999999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-1915.7249999999999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-1747.34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104.65899999999999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-3663.0649999999996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13085194.101</v>
      </c>
      <c r="E13" s="29" t="str">
        <f>+'(1)'!E13</f>
        <v>합계</v>
      </c>
      <c r="F13" s="61">
        <f>SUM(F4:F12)</f>
        <v>13085349</v>
      </c>
      <c r="G13" s="62"/>
      <c r="H13" s="29" t="str">
        <f t="shared" si="2"/>
        <v>합계</v>
      </c>
      <c r="I13" s="60">
        <f>SUM((I4-I5-I6-I7-I8-I9)*$E$1+I11)</f>
        <v>9440337.0879999995</v>
      </c>
      <c r="J13" s="29" t="str">
        <f t="shared" si="3"/>
        <v>합계</v>
      </c>
      <c r="K13" s="61">
        <f>IF(K8=0,0,SUM(K4:K12)-F8)</f>
        <v>9440414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154.89900000020862</v>
      </c>
      <c r="G14" s="27"/>
      <c r="H14" s="27"/>
      <c r="I14" s="27"/>
      <c r="J14" s="27"/>
      <c r="K14" s="67">
        <f>SUM(K13-I13)</f>
        <v>76.912000000476837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22525531.188999999</v>
      </c>
      <c r="P14" s="39" t="str">
        <f t="shared" si="5"/>
        <v>합계</v>
      </c>
      <c r="Q14" s="69">
        <f>SUM(Q5:Q13)</f>
        <v>22525763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231.81100000068545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15</v>
      </c>
      <c r="Q23" s="53">
        <f>SUM(P23*1000)</f>
        <v>15000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82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157</v>
      </c>
      <c r="Q26" s="69">
        <f>SUM(Q19:Q25)</f>
        <v>57000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15698</v>
      </c>
      <c r="P29" s="107">
        <v>15726</v>
      </c>
      <c r="Q29" s="108">
        <f>P29-O29</f>
        <v>28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1197</v>
      </c>
      <c r="F1" s="1"/>
      <c r="G1" s="1"/>
      <c r="H1" s="1"/>
      <c r="I1" s="1"/>
      <c r="J1" s="1"/>
      <c r="K1" s="1"/>
      <c r="L1" s="22">
        <f>+ROUND(+O5*0.584/1000,3)</f>
        <v>8.9719999999999995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11.494999999999999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298.87</v>
      </c>
      <c r="M3" s="18" t="s">
        <v>10</v>
      </c>
      <c r="N3" s="3"/>
      <c r="O3" s="3"/>
      <c r="P3" s="126" t="str">
        <f>+'(1)'!C1&amp;"년"&amp;'(1)'!E1&amp;"월"&amp;C1&amp;"일"</f>
        <v>2022년6월26일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8886.7019999999993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6476.402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30768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205000</v>
      </c>
      <c r="L5" s="2"/>
      <c r="M5" s="20"/>
      <c r="N5" s="45" t="str">
        <f>+C4</f>
        <v>판매량</v>
      </c>
      <c r="O5" s="46">
        <f>SUM(D4+I4+D17+I17+D35+I35)</f>
        <v>15363.103999999999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565000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10248390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17725996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17725996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117.232</v>
      </c>
      <c r="E10" s="42" t="str">
        <f>+'(1)'!E10</f>
        <v>OK케시백</v>
      </c>
      <c r="F10" s="44">
        <v>7791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20497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-4103.12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117.232</v>
      </c>
      <c r="P11" s="51" t="str">
        <f t="shared" si="5"/>
        <v>OK케시백</v>
      </c>
      <c r="Q11" s="53">
        <f>SUM(F10+K10+F23+K23+F41+K41)</f>
        <v>28288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-4103.12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10633279.174000001</v>
      </c>
      <c r="E13" s="29" t="str">
        <f>+'(1)'!E13</f>
        <v>합계</v>
      </c>
      <c r="F13" s="61">
        <f>SUM(F4:F12)</f>
        <v>10633181</v>
      </c>
      <c r="G13" s="62"/>
      <c r="H13" s="29" t="str">
        <f t="shared" si="2"/>
        <v>합계</v>
      </c>
      <c r="I13" s="60">
        <f>SUM((I4-I5-I6-I7-I8-I9)*$E$1+I11)</f>
        <v>7752253.1940000001</v>
      </c>
      <c r="J13" s="29" t="str">
        <f t="shared" si="3"/>
        <v>합계</v>
      </c>
      <c r="K13" s="61">
        <f>IF(K8=0,0,SUM(K4:K12)-F8)</f>
        <v>7710103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-98.174000000581145</v>
      </c>
      <c r="G14" s="27"/>
      <c r="H14" s="27"/>
      <c r="I14" s="27"/>
      <c r="J14" s="27"/>
      <c r="K14" s="67">
        <f>SUM(K13-I13)</f>
        <v>-42150.194000000134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18385532.367999997</v>
      </c>
      <c r="P14" s="39" t="str">
        <f t="shared" si="5"/>
        <v>합계</v>
      </c>
      <c r="Q14" s="69">
        <f>SUM(Q5:Q13)</f>
        <v>18343284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-42248.368000000715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6</v>
      </c>
      <c r="Q20" s="53">
        <f>SUM(P20*1000)</f>
        <v>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0</v>
      </c>
      <c r="Q24" s="53">
        <f>SUM(P24*1000)</f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64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91</v>
      </c>
      <c r="Q26" s="69">
        <f>SUM(Q19:Q25)</f>
        <v>25000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15726</v>
      </c>
      <c r="P29" s="107">
        <v>15744</v>
      </c>
      <c r="Q29" s="108">
        <f>P29-O29</f>
        <v>18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L14" sqref="L14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1197</v>
      </c>
      <c r="F1" s="1"/>
      <c r="G1" s="1"/>
      <c r="H1" s="1"/>
      <c r="I1" s="1"/>
      <c r="J1" s="1"/>
      <c r="K1" s="1"/>
      <c r="L1" s="22">
        <f>+ROUND(+O5*0.584/1000,3)</f>
        <v>12.066000000000001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11.516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310.93200000000002</v>
      </c>
      <c r="M3" s="18" t="s">
        <v>10</v>
      </c>
      <c r="N3" s="3"/>
      <c r="O3" s="3"/>
      <c r="P3" s="126" t="str">
        <f>+'(1)'!C1&amp;"년"&amp;'(1)'!E1&amp;"월"&amp;C1&amp;"일"</f>
        <v>2022년6월27일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12439.466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8221.9259999999995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45730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260000</v>
      </c>
      <c r="L5" s="2"/>
      <c r="M5" s="20"/>
      <c r="N5" s="45" t="str">
        <f>+C4</f>
        <v>판매량</v>
      </c>
      <c r="O5" s="46">
        <f>SUM(D4+I4+D17+I17+D35+I35)</f>
        <v>20661.392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250.53800000000001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640000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250.53800000000001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90.644000000000005</v>
      </c>
      <c r="E8" s="42" t="str">
        <f>+'(1)'!E8</f>
        <v>신용카드</v>
      </c>
      <c r="F8" s="44">
        <v>13986028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23558709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90.644000000000005</v>
      </c>
      <c r="P9" s="51" t="str">
        <f t="shared" si="5"/>
        <v>신용카드</v>
      </c>
      <c r="Q9" s="53">
        <f>IF(K8=0,F8,IF(F21=0,K8,IF(K21=0,F21,K21)))</f>
        <v>23558709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224.815</v>
      </c>
      <c r="E10" s="42" t="str">
        <f>+'(1)'!E10</f>
        <v>OK케시백</v>
      </c>
      <c r="F10" s="44">
        <v>38784</v>
      </c>
      <c r="G10" s="27"/>
      <c r="H10" s="42" t="str">
        <f t="shared" si="2"/>
        <v>고객우대</v>
      </c>
      <c r="I10" s="50">
        <v>162.142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-7868.5249999999996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-5674.97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386.95699999999999</v>
      </c>
      <c r="P11" s="51" t="str">
        <f t="shared" si="5"/>
        <v>OK케시백</v>
      </c>
      <c r="Q11" s="53">
        <f>SUM(F10+K10+F23+K23+F41+K41)</f>
        <v>40784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20349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-13543.494999999999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14473777.422999999</v>
      </c>
      <c r="E13" s="29" t="str">
        <f>+'(1)'!E13</f>
        <v>합계</v>
      </c>
      <c r="F13" s="61">
        <f>SUM(F4:F12)</f>
        <v>14515161</v>
      </c>
      <c r="G13" s="62"/>
      <c r="H13" s="29" t="str">
        <f t="shared" si="2"/>
        <v>합계</v>
      </c>
      <c r="I13" s="60">
        <f>SUM((I4-I5-I6-I7-I8-I9)*$E$1+I11)</f>
        <v>9835970.4519999996</v>
      </c>
      <c r="J13" s="29" t="str">
        <f t="shared" si="3"/>
        <v>합계</v>
      </c>
      <c r="K13" s="61">
        <f>IF(K8=0,0,SUM(K4:K12)-F8)</f>
        <v>9838681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20349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41383.577000001445</v>
      </c>
      <c r="G14" s="27"/>
      <c r="H14" s="27"/>
      <c r="I14" s="27"/>
      <c r="J14" s="27"/>
      <c r="K14" s="67">
        <f>SUM(K13-I13)</f>
        <v>2710.5480000004172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24309747.874999996</v>
      </c>
      <c r="P14" s="39" t="str">
        <f t="shared" si="5"/>
        <v>합계</v>
      </c>
      <c r="Q14" s="69">
        <f>SUM(Q5:Q13)</f>
        <v>24353842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44094.125000001863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</v>
      </c>
      <c r="Q19" s="48">
        <f>SUM(P19*1000)</f>
        <v>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</v>
      </c>
      <c r="Q20" s="53">
        <f>SUM(P20*1000)</f>
        <v>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3</v>
      </c>
      <c r="Q23" s="53">
        <f>SUM(P23*1000)</f>
        <v>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15</v>
      </c>
      <c r="Q26" s="69">
        <f>SUM(Q19:Q25)</f>
        <v>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15744</v>
      </c>
      <c r="P29" s="107">
        <v>15745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1197</v>
      </c>
      <c r="F1" s="1"/>
      <c r="G1" s="1"/>
      <c r="H1" s="1"/>
      <c r="I1" s="1"/>
      <c r="J1" s="1"/>
      <c r="K1" s="1"/>
      <c r="L1" s="22">
        <f>+ROUND(+O5*0.584/1000,3)</f>
        <v>11.587999999999999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11.519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322.53199999999998</v>
      </c>
      <c r="M3" s="18" t="s">
        <v>10</v>
      </c>
      <c r="N3" s="3"/>
      <c r="O3" s="3"/>
      <c r="P3" s="126" t="str">
        <f>+'(1)'!C1&amp;"년"&amp;'(1)'!E1&amp;"월"&amp;C1&amp;"일"</f>
        <v>2022년6월28일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12546.39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7295.5439999999999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24650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220000</v>
      </c>
      <c r="L5" s="2"/>
      <c r="M5" s="20"/>
      <c r="N5" s="45" t="str">
        <f>+C4</f>
        <v>판매량</v>
      </c>
      <c r="O5" s="46">
        <f>SUM(D4+I4+D17+I17+D35+I35)</f>
        <v>19841.934000000001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315.05700000000002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40.512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470000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355.56900000000002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14274700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22674419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22674419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326.90199999999999</v>
      </c>
      <c r="E10" s="42" t="str">
        <f>+'(1)'!E10</f>
        <v>OK케시백</v>
      </c>
      <c r="F10" s="44">
        <v>4007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-11441.57</v>
      </c>
      <c r="E11" s="42" t="str">
        <f>+'(1)'!E11</f>
        <v>모바일</v>
      </c>
      <c r="F11" s="44">
        <v>45000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326.90199999999999</v>
      </c>
      <c r="P11" s="51" t="str">
        <f t="shared" si="5"/>
        <v>OK케시백</v>
      </c>
      <c r="Q11" s="53">
        <f>SUM(F10+K10+F23+K23+F41+K41)</f>
        <v>4007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62179</v>
      </c>
      <c r="L12" s="2"/>
      <c r="M12" s="20"/>
      <c r="N12" s="51" t="str">
        <f t="shared" si="4"/>
        <v>-</v>
      </c>
      <c r="O12" s="55">
        <f>SUM(O11*-35)</f>
        <v>-11441.57</v>
      </c>
      <c r="P12" s="51" t="str">
        <f t="shared" si="5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14629464.030999998</v>
      </c>
      <c r="E13" s="29" t="str">
        <f>+'(1)'!E13</f>
        <v>합계</v>
      </c>
      <c r="F13" s="61">
        <f>SUM(F4:F12)</f>
        <v>14626707</v>
      </c>
      <c r="G13" s="62"/>
      <c r="H13" s="29" t="str">
        <f t="shared" si="2"/>
        <v>합계</v>
      </c>
      <c r="I13" s="60">
        <f>SUM((I4-I5-I6-I7-I8-I9)*$E$1+I11)</f>
        <v>8684273.3039999995</v>
      </c>
      <c r="J13" s="29" t="str">
        <f t="shared" si="3"/>
        <v>합계</v>
      </c>
      <c r="K13" s="61">
        <f>IF(K8=0,0,SUM(K4:K12)-F8)</f>
        <v>8683898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62179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-2757.0309999976307</v>
      </c>
      <c r="G14" s="27"/>
      <c r="H14" s="27"/>
      <c r="I14" s="27"/>
      <c r="J14" s="27"/>
      <c r="K14" s="67">
        <f>SUM(K13-I13)</f>
        <v>-375.30399999953806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23313737.335000001</v>
      </c>
      <c r="P14" s="39" t="str">
        <f t="shared" si="5"/>
        <v>합계</v>
      </c>
      <c r="Q14" s="69">
        <f>SUM(Q5:Q13)</f>
        <v>23310605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-3132.3349999971688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5</v>
      </c>
      <c r="Q19" s="48">
        <f t="shared" ref="Q19:Q24" si="12"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7</v>
      </c>
      <c r="Q20" s="53">
        <f t="shared" si="12"/>
        <v>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0</v>
      </c>
      <c r="Q21" s="53">
        <f t="shared" si="12"/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1</v>
      </c>
      <c r="Q22" s="53">
        <f t="shared" si="12"/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9</v>
      </c>
      <c r="Q23" s="53">
        <f t="shared" si="12"/>
        <v>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0</v>
      </c>
      <c r="Q24" s="53">
        <f t="shared" si="12"/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23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45</v>
      </c>
      <c r="Q26" s="69">
        <f>SUM(Q19:Q25)</f>
        <v>22000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15745</v>
      </c>
      <c r="P29" s="107">
        <v>15747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1197</v>
      </c>
      <c r="F1" s="1"/>
      <c r="G1" s="1"/>
      <c r="H1" s="1"/>
      <c r="I1" s="1"/>
      <c r="J1" s="1"/>
      <c r="K1" s="1"/>
      <c r="L1" s="22">
        <f>+ROUND(+O5*0.584/1000,3)</f>
        <v>11.018000000000001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11.502000000000001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333.55799999999999</v>
      </c>
      <c r="M3" s="18" t="s">
        <v>10</v>
      </c>
      <c r="N3" s="3"/>
      <c r="O3" s="3"/>
      <c r="P3" s="126" t="str">
        <f>+'(1)'!C1&amp;"년"&amp;'(1)'!E1&amp;"월"&amp;C1&amp;"일"</f>
        <v>2022년6월29일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12285.564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6581.4279999999999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34230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135000</v>
      </c>
      <c r="L5" s="2"/>
      <c r="M5" s="20"/>
      <c r="N5" s="45" t="str">
        <f>+C4</f>
        <v>판매량</v>
      </c>
      <c r="O5" s="46">
        <f>SUM(D4+I4+D17+I17+D35+I35)</f>
        <v>18866.991999999998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413.84899999999999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350000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413.84899999999999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13927043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21668612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21668612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383.69400000000002</v>
      </c>
      <c r="E10" s="42" t="str">
        <f>+'(1)'!E10</f>
        <v>OK케시백</v>
      </c>
      <c r="F10" s="44">
        <v>35638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-13429.29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383.69400000000002</v>
      </c>
      <c r="P11" s="51" t="str">
        <f t="shared" si="5"/>
        <v>OK케시백</v>
      </c>
      <c r="Q11" s="53">
        <f>SUM(F10+K10+F23+K23+F41+K41)</f>
        <v>35638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-13429.29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14197013.565000001</v>
      </c>
      <c r="E13" s="29" t="str">
        <f>+'(1)'!E13</f>
        <v>합계</v>
      </c>
      <c r="F13" s="61">
        <f>SUM(F4:F12)</f>
        <v>14195681</v>
      </c>
      <c r="G13" s="62"/>
      <c r="H13" s="29" t="str">
        <f t="shared" si="2"/>
        <v>합계</v>
      </c>
      <c r="I13" s="60">
        <f>SUM((I4-I5-I6-I7-I8-I9)*$E$1+I11)</f>
        <v>7877969.3159999996</v>
      </c>
      <c r="J13" s="29" t="str">
        <f t="shared" si="3"/>
        <v>합계</v>
      </c>
      <c r="K13" s="61">
        <f>IF(K8=0,0,SUM(K4:K12)-F8)</f>
        <v>7877569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-1332.5650000013411</v>
      </c>
      <c r="G14" s="27"/>
      <c r="H14" s="27"/>
      <c r="I14" s="27"/>
      <c r="J14" s="27"/>
      <c r="K14" s="67">
        <f>SUM(K13-I13)</f>
        <v>-400.31599999964237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22074982.881000001</v>
      </c>
      <c r="P14" s="39" t="str">
        <f t="shared" si="5"/>
        <v>합계</v>
      </c>
      <c r="Q14" s="69">
        <f>SUM(Q5:Q13)</f>
        <v>22073250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-1732.8810000009835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</v>
      </c>
      <c r="Q19" s="48">
        <f t="shared" ref="Q19:Q24" si="12">SUM(P19*1000)</f>
        <v>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0</v>
      </c>
      <c r="Q20" s="53">
        <f t="shared" si="12"/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0</v>
      </c>
      <c r="Q21" s="53">
        <f t="shared" si="12"/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0</v>
      </c>
      <c r="Q22" s="53">
        <f t="shared" si="12"/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2</v>
      </c>
      <c r="Q23" s="53">
        <f t="shared" si="12"/>
        <v>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0</v>
      </c>
      <c r="Q24" s="53">
        <f t="shared" si="12"/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6</v>
      </c>
      <c r="Q26" s="69">
        <f>SUM(Q19:Q25)</f>
        <v>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15747</v>
      </c>
      <c r="P29" s="107">
        <v>15747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9" style="10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1197</v>
      </c>
      <c r="F1" s="1"/>
      <c r="G1" s="1"/>
      <c r="H1" s="1"/>
      <c r="I1" s="1"/>
      <c r="J1" s="1"/>
      <c r="K1" s="1"/>
      <c r="L1" s="21">
        <f>+ROUND(+O5*0.584/1000,3)</f>
        <v>13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12.54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37.619999999999997</v>
      </c>
      <c r="M3" s="18" t="s">
        <v>10</v>
      </c>
      <c r="N3" s="3"/>
      <c r="O3" s="3"/>
      <c r="P3" s="126" t="str">
        <f>+'(1)'!C1&amp;"년"&amp;'(1)'!E1&amp;"월"&amp;C1&amp;"일"</f>
        <v>2022년6월3일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13092.547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9168.0429999999997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26699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75000</v>
      </c>
      <c r="L5" s="2"/>
      <c r="M5" s="20"/>
      <c r="N5" s="45" t="str">
        <f>+C4</f>
        <v>판매량</v>
      </c>
      <c r="O5" s="46">
        <f>SUM(D4+I4+D17+I17+D35+I35)</f>
        <v>22260.59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542.34400000000005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565000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542.34400000000005</v>
      </c>
      <c r="P7" s="51" t="str">
        <f t="shared" ref="P7:P14" si="5">+E6</f>
        <v>천원권</v>
      </c>
      <c r="Q7" s="53">
        <f>SUM(F6+K6+F19+K19+F37+K37)</f>
        <v>4000</v>
      </c>
      <c r="R7" s="5" t="s">
        <v>50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14465810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25265844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25265844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141.26</v>
      </c>
      <c r="E10" s="42" t="str">
        <f>+'(1)'!E10</f>
        <v>OK케시백</v>
      </c>
      <c r="F10" s="44">
        <v>44696</v>
      </c>
      <c r="G10" s="27"/>
      <c r="H10" s="42" t="str">
        <f t="shared" si="2"/>
        <v>고객우대</v>
      </c>
      <c r="I10" s="50">
        <v>60.8</v>
      </c>
      <c r="J10" s="42" t="str">
        <f t="shared" si="3"/>
        <v>OK케시백</v>
      </c>
      <c r="K10" s="44">
        <v>9000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-4944.0999999999995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-2128</v>
      </c>
      <c r="J11" s="42" t="str">
        <f t="shared" si="3"/>
        <v>모바일</v>
      </c>
      <c r="K11" s="44">
        <v>34000</v>
      </c>
      <c r="L11" s="2"/>
      <c r="M11" s="20"/>
      <c r="N11" s="51" t="str">
        <f t="shared" si="4"/>
        <v>고객우대</v>
      </c>
      <c r="O11" s="54">
        <f>SUM(D10+I10+D23+I23+D41+I41)</f>
        <v>202.06</v>
      </c>
      <c r="P11" s="51" t="str">
        <f t="shared" si="5"/>
        <v>OK케시백</v>
      </c>
      <c r="Q11" s="53">
        <f>SUM(F10+K10+F23+K23+F41+K41)</f>
        <v>53696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-7072.1</v>
      </c>
      <c r="P12" s="51" t="str">
        <f t="shared" si="5"/>
        <v>모바일</v>
      </c>
      <c r="Q12" s="53">
        <f>SUM(F11+K11+F24+K24+F42+K42)</f>
        <v>49000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15017648.891000003</v>
      </c>
      <c r="E13" s="29" t="str">
        <f>+'(1)'!E13</f>
        <v>합계</v>
      </c>
      <c r="F13" s="61">
        <f>SUM(F4:F12)</f>
        <v>15015506</v>
      </c>
      <c r="G13" s="62"/>
      <c r="H13" s="29" t="str">
        <f t="shared" si="2"/>
        <v>합계</v>
      </c>
      <c r="I13" s="60">
        <f>SUM((I4-I5-I6-I7-I8-I9)*$E$1+I11)</f>
        <v>10972019.470999999</v>
      </c>
      <c r="J13" s="29" t="str">
        <f t="shared" si="3"/>
        <v>합계</v>
      </c>
      <c r="K13" s="61">
        <f>IF(K8=0,0,SUM(K4:K12)-F8)</f>
        <v>10972034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-2142.8910000026226</v>
      </c>
      <c r="G14" s="27"/>
      <c r="H14" s="27"/>
      <c r="I14" s="27"/>
      <c r="J14" s="27"/>
      <c r="K14" s="67">
        <f>SUM(K13-I13)</f>
        <v>14.52900000102818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25989668.361999996</v>
      </c>
      <c r="P14" s="39" t="str">
        <f t="shared" si="5"/>
        <v>합계</v>
      </c>
      <c r="Q14" s="69">
        <f>SUM(Q5:Q13)</f>
        <v>25987540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-2128.3620000015944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14</v>
      </c>
      <c r="Q23" s="53">
        <f>SUM(P23*1000)</f>
        <v>14000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105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196</v>
      </c>
      <c r="Q26" s="69">
        <f>SUM(Q19:Q25)</f>
        <v>70000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15100</v>
      </c>
      <c r="P29" s="107">
        <v>15130</v>
      </c>
      <c r="Q29" s="108">
        <f>P29-O29</f>
        <v>30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1197</v>
      </c>
      <c r="F1" s="1"/>
      <c r="G1" s="1"/>
      <c r="H1" s="1"/>
      <c r="I1" s="1"/>
      <c r="J1" s="1"/>
      <c r="K1" s="1"/>
      <c r="L1" s="22">
        <f>+ROUND(+O5*0.584/1000,3)</f>
        <v>8.4730000000000008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11.401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342.03</v>
      </c>
      <c r="M3" s="18" t="s">
        <v>10</v>
      </c>
      <c r="N3" s="3"/>
      <c r="O3" s="3"/>
      <c r="P3" s="126" t="str">
        <f>+'(1)'!C1&amp;"년"&amp;'(1)'!E1&amp;"월"&amp;C1&amp;"일"</f>
        <v>2022년6월30일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13139.367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1369.424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18450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14508.791000000001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290.209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290.209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15255334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16889512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16889512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298.38200000000001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-10443.370000000001</v>
      </c>
      <c r="E11" s="42" t="str">
        <f>+'(1)'!E11</f>
        <v>모바일</v>
      </c>
      <c r="F11" s="44">
        <v>30000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298.38200000000001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-10443.370000000001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15369998.756000001</v>
      </c>
      <c r="E13" s="29" t="str">
        <f>+'(1)'!E13</f>
        <v>합계</v>
      </c>
      <c r="F13" s="61">
        <f>SUM(F4:F12)</f>
        <v>15370334</v>
      </c>
      <c r="G13" s="62"/>
      <c r="H13" s="29" t="str">
        <f t="shared" si="2"/>
        <v>합계</v>
      </c>
      <c r="I13" s="60">
        <f>SUM((I4-I5-I6-I7-I8-I9)*$E$1+I11)</f>
        <v>1639200.5279999999</v>
      </c>
      <c r="J13" s="29" t="str">
        <f t="shared" si="3"/>
        <v>합계</v>
      </c>
      <c r="K13" s="61">
        <f>IF(K8=0,0,SUM(K4:K12)-F8)</f>
        <v>1639178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335.24399999901652</v>
      </c>
      <c r="G14" s="27"/>
      <c r="H14" s="27"/>
      <c r="I14" s="27"/>
      <c r="J14" s="27"/>
      <c r="K14" s="67">
        <f>SUM(K13-I13)</f>
        <v>-22.527999999932945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17009199.283999998</v>
      </c>
      <c r="P14" s="39" t="str">
        <f t="shared" si="5"/>
        <v>합계</v>
      </c>
      <c r="Q14" s="69">
        <f>SUM(Q5:Q13)</f>
        <v>17009512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312.71599999908358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0</v>
      </c>
      <c r="Q19" s="48">
        <f t="shared" ref="Q19:Q24" si="12"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0</v>
      </c>
      <c r="Q20" s="53">
        <f t="shared" si="12"/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0</v>
      </c>
      <c r="Q21" s="53">
        <f t="shared" si="12"/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0</v>
      </c>
      <c r="Q22" s="53">
        <f t="shared" si="12"/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 t="shared" si="12"/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0</v>
      </c>
      <c r="Q24" s="53">
        <f t="shared" si="12"/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0</v>
      </c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15747</v>
      </c>
      <c r="P29" s="107">
        <v>15747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N18" sqref="N18:Q2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1197</v>
      </c>
      <c r="F1" s="1"/>
      <c r="G1" s="1"/>
      <c r="H1" s="1"/>
      <c r="I1" s="1"/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11.032999999999999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342.02299999999997</v>
      </c>
      <c r="M3" s="18" t="s">
        <v>10</v>
      </c>
      <c r="N3" s="3"/>
      <c r="O3" s="3"/>
      <c r="P3" s="126" t="str">
        <f>+'(1)'!C1&amp;"년"&amp;'(1)'!E1&amp;"월"&amp;C1&amp;"일"</f>
        <v>2022년6월31일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+'(1)'!E4</f>
        <v>입금액</v>
      </c>
      <c r="F4" s="36"/>
      <c r="G4" s="27"/>
      <c r="H4" s="34" t="str">
        <f>+C4</f>
        <v>판매량</v>
      </c>
      <c r="I4" s="35"/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/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입금액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/>
      <c r="G8" s="27"/>
      <c r="H8" s="34" t="str">
        <f t="shared" si="2"/>
        <v>자가소비</v>
      </c>
      <c r="I8" s="50"/>
      <c r="J8" s="42" t="str">
        <f t="shared" si="3"/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0</v>
      </c>
      <c r="E13" s="29" t="str">
        <f>+'(1)'!E13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SUM((I4-I5-I6-I7-I8-I9)*$E$1+I11)</f>
        <v>0</v>
      </c>
      <c r="J13" s="29" t="str">
        <f t="shared" si="3"/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/>
      <c r="P29" s="107"/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1197</v>
      </c>
      <c r="F1" s="1"/>
      <c r="G1" s="1"/>
      <c r="H1" s="1"/>
      <c r="I1" s="1"/>
      <c r="J1" s="1"/>
      <c r="K1" s="1"/>
      <c r="L1" s="21">
        <f>+ROUND(+O5*0.584/1000,3)</f>
        <v>11.207000000000001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12.207000000000001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48.828000000000003</v>
      </c>
      <c r="M3" s="18" t="s">
        <v>10</v>
      </c>
      <c r="N3" s="3"/>
      <c r="O3" s="3"/>
      <c r="P3" s="126" t="str">
        <f>+'(1)'!C1&amp;"년"&amp;'(1)'!E1&amp;"월"&amp;C1&amp;"일"</f>
        <v>2022년6월4일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11125.062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8065.3789999999999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43277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260000</v>
      </c>
      <c r="L5" s="2"/>
      <c r="M5" s="20"/>
      <c r="N5" s="45" t="str">
        <f>+C4</f>
        <v>판매량</v>
      </c>
      <c r="O5" s="46">
        <f>SUM(D4+I4+D17+I17+D35+I35)</f>
        <v>19190.440999999999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137.15799999999999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525000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137.15799999999999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12863876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22252478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22252478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63.837000000000003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-2234.2950000000001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63.837000000000003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-2234.2950000000001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13150286.793000001</v>
      </c>
      <c r="E13" s="29" t="str">
        <f>+'(1)'!E13</f>
        <v>합계</v>
      </c>
      <c r="F13" s="61">
        <f>SUM(F4:F12)</f>
        <v>13149876</v>
      </c>
      <c r="G13" s="62"/>
      <c r="H13" s="29" t="str">
        <f t="shared" si="2"/>
        <v>합계</v>
      </c>
      <c r="I13" s="60">
        <f>SUM((I4-I5-I6-I7-I8-I9)*$E$1+I11)</f>
        <v>9654258.6630000006</v>
      </c>
      <c r="J13" s="29" t="str">
        <f t="shared" si="3"/>
        <v>합계</v>
      </c>
      <c r="K13" s="61">
        <f>IF(K8=0,0,SUM(K4:K12)-F8)</f>
        <v>9654602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-410.79300000146031</v>
      </c>
      <c r="G14" s="27"/>
      <c r="H14" s="27"/>
      <c r="I14" s="27"/>
      <c r="J14" s="27"/>
      <c r="K14" s="67">
        <f>SUM(K13-I13)</f>
        <v>343.33699999935925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22804545.455999997</v>
      </c>
      <c r="P14" s="39" t="str">
        <f t="shared" si="5"/>
        <v>합계</v>
      </c>
      <c r="Q14" s="69">
        <f>SUM(Q5:Q13)</f>
        <v>22804478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-67.456000002101064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35</v>
      </c>
      <c r="Q20" s="53">
        <f>SUM(P20*1000)</f>
        <v>35000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11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20</v>
      </c>
      <c r="Q23" s="53">
        <f>SUM(P23*1000)</f>
        <v>20000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102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203</v>
      </c>
      <c r="Q26" s="69">
        <f>SUM(Q19:Q25)</f>
        <v>81000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15130</v>
      </c>
      <c r="P29" s="107">
        <v>15160</v>
      </c>
      <c r="Q29" s="108">
        <f>P29-O29</f>
        <v>30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1197</v>
      </c>
      <c r="F1" s="1"/>
      <c r="G1" s="1"/>
      <c r="H1" s="1"/>
      <c r="I1" s="101"/>
      <c r="J1" s="1"/>
      <c r="K1" s="1"/>
      <c r="L1" s="21">
        <f>+ROUND(+O5*0.584/1000,3)</f>
        <v>7.0579999999999998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11.177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55.884999999999998</v>
      </c>
      <c r="M3" s="18" t="s">
        <v>10</v>
      </c>
      <c r="N3" s="3"/>
      <c r="O3" s="3"/>
      <c r="P3" s="126" t="str">
        <f>+'(1)'!C1&amp;"년"&amp;'(1)'!E1&amp;"월"&amp;C1&amp;"일"</f>
        <v>2022년6월5일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6667.4669999999996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5418.6859999999997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30472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305000</v>
      </c>
      <c r="L5" s="2"/>
      <c r="M5" s="20"/>
      <c r="N5" s="45" t="str">
        <f>+C4</f>
        <v>판매량</v>
      </c>
      <c r="O5" s="46">
        <f>SUM(D4+I4+D17+I17+D35+I35)</f>
        <v>12086.152999999998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5000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9000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7649195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13826165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13826165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61.256999999999998</v>
      </c>
      <c r="E10" s="42" t="str">
        <f>+'(1)'!E10</f>
        <v>OK케시백</v>
      </c>
      <c r="F10" s="44">
        <v>19750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-2143.9949999999999</v>
      </c>
      <c r="E11" s="42" t="str">
        <f>+'(1)'!E11</f>
        <v>모바일</v>
      </c>
      <c r="F11" s="44">
        <v>30000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61.256999999999998</v>
      </c>
      <c r="P11" s="51" t="str">
        <f t="shared" si="5"/>
        <v>OK케시백</v>
      </c>
      <c r="Q11" s="53">
        <f>SUM(F10+K10+F23+K23+F41+K41)</f>
        <v>19750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-2143.9949999999999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7978814.0039999997</v>
      </c>
      <c r="E13" s="29" t="str">
        <f>+'(1)'!E13</f>
        <v>합계</v>
      </c>
      <c r="F13" s="61">
        <f>SUM(F4:F12)</f>
        <v>7977945</v>
      </c>
      <c r="G13" s="62"/>
      <c r="H13" s="29" t="str">
        <f t="shared" si="2"/>
        <v>합계</v>
      </c>
      <c r="I13" s="60">
        <f>SUM((I4-I5-I6-I7-I8-I9)*$E$1+I11)</f>
        <v>6486167.142</v>
      </c>
      <c r="J13" s="29" t="str">
        <f t="shared" si="3"/>
        <v>합계</v>
      </c>
      <c r="K13" s="61">
        <f>IF(K8=0,0,SUM(K4:K12)-F8)</f>
        <v>6486970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-869.00399999972433</v>
      </c>
      <c r="G14" s="27"/>
      <c r="H14" s="27"/>
      <c r="I14" s="27"/>
      <c r="J14" s="27"/>
      <c r="K14" s="67">
        <f>SUM(K13-I13)</f>
        <v>802.85800000000745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14464981.146</v>
      </c>
      <c r="P14" s="39" t="str">
        <f t="shared" si="5"/>
        <v>합계</v>
      </c>
      <c r="Q14" s="69">
        <f>SUM(Q5:Q13)</f>
        <v>14464915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-66.145999999716878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63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104</v>
      </c>
      <c r="Q26" s="69">
        <f>SUM(Q19:Q25)</f>
        <v>37000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15160</v>
      </c>
      <c r="P29" s="107">
        <v>15180</v>
      </c>
      <c r="Q29" s="108">
        <f>P29-O29</f>
        <v>20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1197</v>
      </c>
      <c r="F1" s="1"/>
      <c r="G1" s="1"/>
      <c r="H1" s="1"/>
      <c r="I1" s="1"/>
      <c r="J1" s="1"/>
      <c r="K1" s="1"/>
      <c r="L1" s="21">
        <f>+ROUND(+O5*0.584/1000,3)</f>
        <v>7.9089999999999998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10.632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63.792000000000002</v>
      </c>
      <c r="M3" s="18" t="s">
        <v>10</v>
      </c>
      <c r="N3" s="3"/>
      <c r="O3" s="3"/>
      <c r="P3" s="126" t="str">
        <f>+'(1)'!C1&amp;"년"&amp;'(1)'!E1&amp;"월"&amp;C1&amp;"일"</f>
        <v>2022년6월6일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8903.3050000000003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4640.2709999999997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51741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20000</v>
      </c>
      <c r="L5" s="2"/>
      <c r="M5" s="20"/>
      <c r="N5" s="45" t="str">
        <f>+C4</f>
        <v>판매량</v>
      </c>
      <c r="O5" s="46">
        <f>SUM(D4+I4+D17+I17+D35+I35)</f>
        <v>13543.576000000001</v>
      </c>
      <c r="P5" s="47" t="str">
        <f>+E4</f>
        <v>입금액</v>
      </c>
      <c r="Q5" s="48">
        <f>SUM(F4+K4+F17+K17+F35+K35)</f>
        <v>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335000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10290161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15816267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15816267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10657256.085000001</v>
      </c>
      <c r="E13" s="29" t="str">
        <f>+'(1)'!E13</f>
        <v>합계</v>
      </c>
      <c r="F13" s="61">
        <f>SUM(F4:F12)</f>
        <v>10660161</v>
      </c>
      <c r="G13" s="62"/>
      <c r="H13" s="29" t="str">
        <f t="shared" si="2"/>
        <v>합계</v>
      </c>
      <c r="I13" s="60">
        <f>SUM((I4-I5-I6-I7-I8-I9)*$E$1+I11)</f>
        <v>5554404.3870000001</v>
      </c>
      <c r="J13" s="29" t="str">
        <f t="shared" si="3"/>
        <v>합계</v>
      </c>
      <c r="K13" s="61">
        <f>IF(K8=0,0,SUM(K4:K12)-F8)</f>
        <v>5555106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2904.9149999991059</v>
      </c>
      <c r="G14" s="27"/>
      <c r="H14" s="27"/>
      <c r="I14" s="27"/>
      <c r="J14" s="27"/>
      <c r="K14" s="67">
        <f>SUM(K13-I13)</f>
        <v>701.61299999989569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16211660.472000001</v>
      </c>
      <c r="P14" s="39" t="str">
        <f t="shared" si="5"/>
        <v>합계</v>
      </c>
      <c r="Q14" s="69">
        <f>SUM(Q5:Q13)</f>
        <v>16215267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3606.5279999990016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25</v>
      </c>
      <c r="Q23" s="53">
        <f>SUM(P23*1000)</f>
        <v>25000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82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165</v>
      </c>
      <c r="Q26" s="69">
        <f>SUM(Q19:Q25)</f>
        <v>78000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15180</v>
      </c>
      <c r="P29" s="107">
        <v>15215</v>
      </c>
      <c r="Q29" s="108">
        <f>P29-O29</f>
        <v>35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1197</v>
      </c>
      <c r="F1" s="1"/>
      <c r="G1" s="1"/>
      <c r="H1" s="1"/>
      <c r="I1" s="1"/>
      <c r="J1" s="1"/>
      <c r="K1" s="1"/>
      <c r="L1" s="21">
        <f>+ROUND(+O5*0.584/1000,3)</f>
        <v>12.994999999999999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10.97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76.790000000000006</v>
      </c>
      <c r="M3" s="18" t="s">
        <v>10</v>
      </c>
      <c r="N3" s="3"/>
      <c r="O3" s="3"/>
      <c r="P3" s="126" t="str">
        <f>+'(1)'!C1&amp;"년"&amp;'(1)'!E1&amp;"월"&amp;C1&amp;"일"</f>
        <v>2022년6월7일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13613.583000000001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8637.49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28646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130000</v>
      </c>
      <c r="L5" s="2"/>
      <c r="M5" s="20"/>
      <c r="N5" s="45" t="str">
        <f>+C4</f>
        <v>판매량</v>
      </c>
      <c r="O5" s="46">
        <f>SUM(D4+I4+D17+I17+D35+I35)</f>
        <v>22251.073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355.85599999999999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345000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355.85599999999999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15575774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25770182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25770182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313.72000000000003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49.332999999999998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-10980.2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-1726.655</v>
      </c>
      <c r="J11" s="42" t="str">
        <f t="shared" si="3"/>
        <v>모바일</v>
      </c>
      <c r="K11" s="44">
        <v>9000</v>
      </c>
      <c r="L11" s="2"/>
      <c r="M11" s="20"/>
      <c r="N11" s="51" t="str">
        <f t="shared" si="4"/>
        <v>고객우대</v>
      </c>
      <c r="O11" s="54">
        <f>SUM(D10+I10+D23+I23+D41+I41)</f>
        <v>363.053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52088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-12706.855</v>
      </c>
      <c r="P12" s="51" t="str">
        <f t="shared" si="5"/>
        <v>모바일</v>
      </c>
      <c r="Q12" s="53">
        <f>SUM(F11+K11+F24+K24+F42+K42)</f>
        <v>24000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15858519.019000001</v>
      </c>
      <c r="E13" s="29" t="str">
        <f>+'(1)'!E13</f>
        <v>합계</v>
      </c>
      <c r="F13" s="61">
        <f>SUM(F4:F12)</f>
        <v>15857862</v>
      </c>
      <c r="G13" s="62"/>
      <c r="H13" s="29" t="str">
        <f t="shared" si="2"/>
        <v>합계</v>
      </c>
      <c r="I13" s="60">
        <f>SUM((I4-I5-I6-I7-I8-I9)*$E$1+I11)</f>
        <v>10337348.875</v>
      </c>
      <c r="J13" s="29" t="str">
        <f t="shared" si="3"/>
        <v>합계</v>
      </c>
      <c r="K13" s="61">
        <f>IF(K8=0,0,SUM(K4:K12)-F8)</f>
        <v>10335408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52088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-657.0190000012517</v>
      </c>
      <c r="G14" s="27"/>
      <c r="H14" s="27"/>
      <c r="I14" s="27"/>
      <c r="J14" s="27"/>
      <c r="K14" s="67">
        <f>SUM(K13-I13)</f>
        <v>-1940.875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26195867.894000001</v>
      </c>
      <c r="P14" s="39" t="str">
        <f t="shared" si="5"/>
        <v>합계</v>
      </c>
      <c r="Q14" s="69">
        <f>SUM(Q5:Q13)</f>
        <v>26193270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-2597.8940000012517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23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22</v>
      </c>
      <c r="Q23" s="53">
        <f>SUM(P23*1000)</f>
        <v>22000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113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229</v>
      </c>
      <c r="Q26" s="69">
        <f>SUM(Q19:Q25)</f>
        <v>77000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15215</v>
      </c>
      <c r="P29" s="107">
        <v>15245</v>
      </c>
      <c r="Q29" s="108">
        <f>P29-O29</f>
        <v>30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1197</v>
      </c>
      <c r="F1" s="1"/>
      <c r="G1" s="1"/>
      <c r="H1" s="1"/>
      <c r="I1" s="1"/>
      <c r="J1" s="1"/>
      <c r="K1" s="1"/>
      <c r="L1" s="22">
        <f>+ROUND(+O5*0.584/1000,3)</f>
        <v>12.478999999999999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11.159000000000001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89.272000000000006</v>
      </c>
      <c r="M3" s="18" t="s">
        <v>10</v>
      </c>
      <c r="N3" s="3"/>
      <c r="O3" s="3"/>
      <c r="P3" s="126" t="str">
        <f>+'(1)'!C1&amp;"년"&amp;'(1)'!E1&amp;"월"&amp;C1&amp;"일"</f>
        <v>2022년6월8일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12883.72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8485.1730000000007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43277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230000</v>
      </c>
      <c r="L5" s="2"/>
      <c r="M5" s="20"/>
      <c r="N5" s="45" t="str">
        <f>+C4</f>
        <v>판매량</v>
      </c>
      <c r="O5" s="46">
        <f>SUM(D4+I4+D17+I17+D35+I35)</f>
        <v>21368.893</v>
      </c>
      <c r="P5" s="47" t="str">
        <f>+E4</f>
        <v>입금액</v>
      </c>
      <c r="Q5" s="48">
        <f>SUM(F4+K4+F17+K17+F35+K35)</f>
        <v>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352.62299999999999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410000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352.62299999999999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60.996000000000002</v>
      </c>
      <c r="E8" s="42" t="str">
        <f>+'(1)'!E8</f>
        <v>신용카드</v>
      </c>
      <c r="F8" s="44">
        <v>14733653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24648748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60.996000000000002</v>
      </c>
      <c r="P9" s="51" t="str">
        <f t="shared" si="5"/>
        <v>신용카드</v>
      </c>
      <c r="Q9" s="53">
        <f>IF(K8=0,F8,IF(F21=0,K8,IF(K21=0,F21,K21)))</f>
        <v>24648748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284.66399999999999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8000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-9963.24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284.66399999999999</v>
      </c>
      <c r="P11" s="51" t="str">
        <f t="shared" si="5"/>
        <v>OK케시백</v>
      </c>
      <c r="Q11" s="53">
        <f>SUM(F10+K10+F23+K23+F41+K41)</f>
        <v>8000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-9963.24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14916747.657</v>
      </c>
      <c r="E13" s="29" t="str">
        <f>+'(1)'!E13</f>
        <v>합계</v>
      </c>
      <c r="F13" s="61">
        <f>SUM(F4:F12)</f>
        <v>14915653</v>
      </c>
      <c r="G13" s="62"/>
      <c r="H13" s="29" t="str">
        <f t="shared" si="2"/>
        <v>합계</v>
      </c>
      <c r="I13" s="60">
        <f>SUM((I4-I5-I6-I7-I8-I9)*$E$1+I11)</f>
        <v>10156752.081</v>
      </c>
      <c r="J13" s="29" t="str">
        <f t="shared" si="3"/>
        <v>합계</v>
      </c>
      <c r="K13" s="61">
        <f>IF(K8=0,0,SUM(K4:K12)-F8)</f>
        <v>10156095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-1094.6569999996573</v>
      </c>
      <c r="G14" s="27"/>
      <c r="H14" s="27"/>
      <c r="I14" s="27"/>
      <c r="J14" s="27"/>
      <c r="K14" s="67">
        <f>SUM(K13-I13)</f>
        <v>-657.08100000023842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25073499.738000002</v>
      </c>
      <c r="P14" s="39" t="str">
        <f t="shared" si="5"/>
        <v>합계</v>
      </c>
      <c r="Q14" s="69">
        <f>SUM(Q5:Q13)</f>
        <v>25071748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-1751.7379999998957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23</v>
      </c>
      <c r="Q20" s="53">
        <f>SUM(P20*1000)</f>
        <v>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89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170</v>
      </c>
      <c r="Q26" s="69">
        <f>SUM(Q19:Q25)</f>
        <v>63000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15245</v>
      </c>
      <c r="P29" s="107">
        <v>15275</v>
      </c>
      <c r="Q29" s="108">
        <f>P29-O29</f>
        <v>30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13" sqref="F13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1197</v>
      </c>
      <c r="F1" s="1"/>
      <c r="G1" s="1"/>
      <c r="H1" s="1"/>
      <c r="I1" s="1"/>
      <c r="J1" s="1"/>
      <c r="K1" s="1"/>
      <c r="L1" s="22">
        <f>+ROUND(+O5*0.584/1000,3)</f>
        <v>13.178000000000001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11.382999999999999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102.44699999999999</v>
      </c>
      <c r="M3" s="18" t="s">
        <v>10</v>
      </c>
      <c r="N3" s="3"/>
      <c r="O3" s="3"/>
      <c r="P3" s="126" t="str">
        <f>+'(1)'!C1&amp;"년"&amp;'(1)'!E1&amp;"월"&amp;C1&amp;"일"</f>
        <v>2022년6월9일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13840.588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8725.1219999999994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19373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240000</v>
      </c>
      <c r="L5" s="2"/>
      <c r="M5" s="20"/>
      <c r="N5" s="45" t="str">
        <f>+C4</f>
        <v>판매량</v>
      </c>
      <c r="O5" s="46">
        <f>SUM(D4+I4+D17+I17+D35+I35)</f>
        <v>22565.71</v>
      </c>
      <c r="P5" s="47" t="str">
        <f>+E4</f>
        <v>입금액</v>
      </c>
      <c r="Q5" s="48">
        <f>SUM(F4+K4+F17+K17+F35+K35)</f>
        <v>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256.28300000000002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805000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256.28300000000002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15595472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25747434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25747434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221.68</v>
      </c>
      <c r="E10" s="42" t="str">
        <f>+'(1)'!E10</f>
        <v>OK케시백</v>
      </c>
      <c r="F10" s="44">
        <v>80908</v>
      </c>
      <c r="G10" s="27"/>
      <c r="H10" s="42" t="str">
        <f t="shared" si="2"/>
        <v>고객우대</v>
      </c>
      <c r="I10" s="50">
        <v>45.192</v>
      </c>
      <c r="J10" s="42" t="str">
        <f t="shared" si="3"/>
        <v>OK케시백</v>
      </c>
      <c r="K10" s="44">
        <v>1000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-7758.8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-1581.72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266.87200000000001</v>
      </c>
      <c r="P11" s="51" t="str">
        <f t="shared" si="5"/>
        <v>OK케시백</v>
      </c>
      <c r="Q11" s="53">
        <f>SUM(F10+K10+F23+K23+F41+K41)</f>
        <v>81908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-9340.52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16252654.285</v>
      </c>
      <c r="E13" s="29" t="str">
        <f>+'(1)'!E13</f>
        <v>합계</v>
      </c>
      <c r="F13" s="61">
        <f>SUM(F4:F12)</f>
        <v>16282380</v>
      </c>
      <c r="G13" s="62"/>
      <c r="H13" s="29" t="str">
        <f t="shared" si="2"/>
        <v>합계</v>
      </c>
      <c r="I13" s="60">
        <f>SUM((I4-I5-I6-I7-I8-I9)*$E$1+I11)</f>
        <v>10442389.313999999</v>
      </c>
      <c r="J13" s="29" t="str">
        <f t="shared" si="3"/>
        <v>합계</v>
      </c>
      <c r="K13" s="61">
        <f>IF(K8=0,0,SUM(K4:K12)-F8)</f>
        <v>10392962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29725.714999999851</v>
      </c>
      <c r="G14" s="27"/>
      <c r="H14" s="27"/>
      <c r="I14" s="27"/>
      <c r="J14" s="27"/>
      <c r="K14" s="67">
        <f>SUM(K13-I13)</f>
        <v>-49427.313999999315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26695043.598999999</v>
      </c>
      <c r="P14" s="39" t="str">
        <f t="shared" si="5"/>
        <v>합계</v>
      </c>
      <c r="Q14" s="69">
        <f>SUM(Q5:Q13)</f>
        <v>26675342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-19701.598999999464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35</v>
      </c>
      <c r="Q20" s="53">
        <f>SUM(P20*1000)</f>
        <v>35000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20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32</v>
      </c>
      <c r="Q23" s="53">
        <f>SUM(P23*1000)</f>
        <v>32000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101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239</v>
      </c>
      <c r="Q26" s="69">
        <f>SUM(Q19:Q25)</f>
        <v>103000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15275</v>
      </c>
      <c r="P29" s="107">
        <v>15310</v>
      </c>
      <c r="Q29" s="108">
        <f>P29-O29</f>
        <v>35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2022-06-30T23:52:10Z</dcterms:modified>
</cp:coreProperties>
</file>