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I11" i="149" l="1"/>
  <c r="Q24" i="131" l="1"/>
  <c r="P25" i="159" l="1"/>
  <c r="Q23" i="159"/>
  <c r="Q22" i="159"/>
  <c r="Q20" i="159"/>
  <c r="Q19" i="159"/>
  <c r="P25" i="158"/>
  <c r="Q23" i="158"/>
  <c r="Q22" i="158"/>
  <c r="Q20" i="158"/>
  <c r="Q19" i="158"/>
  <c r="P25" i="157"/>
  <c r="Q23" i="157"/>
  <c r="Q22" i="157"/>
  <c r="Q20" i="157"/>
  <c r="Q19" i="157"/>
  <c r="P25" i="156"/>
  <c r="Q23" i="156"/>
  <c r="Q22" i="156"/>
  <c r="Q26" i="156"/>
  <c r="P25" i="155"/>
  <c r="Q23" i="155"/>
  <c r="Q22" i="155"/>
  <c r="Q20" i="155"/>
  <c r="Q19" i="155"/>
  <c r="P25" i="154"/>
  <c r="Q23" i="154"/>
  <c r="Q22" i="154"/>
  <c r="Q20" i="154"/>
  <c r="Q19" i="154"/>
  <c r="P25" i="153"/>
  <c r="Q23" i="153"/>
  <c r="Q22" i="153"/>
  <c r="Q20" i="153"/>
  <c r="Q19" i="153"/>
  <c r="P25" i="152"/>
  <c r="Q23" i="152"/>
  <c r="Q22" i="152"/>
  <c r="Q20" i="152"/>
  <c r="Q19" i="152"/>
  <c r="P25" i="151"/>
  <c r="Q23" i="151"/>
  <c r="Q22" i="151"/>
  <c r="Q20" i="151"/>
  <c r="Q19" i="151"/>
  <c r="P25" i="150"/>
  <c r="Q23" i="150"/>
  <c r="Q22" i="150"/>
  <c r="Q20" i="150"/>
  <c r="Q19" i="150"/>
  <c r="P25" i="149"/>
  <c r="Q23" i="149"/>
  <c r="Q22" i="149"/>
  <c r="Q20" i="149"/>
  <c r="Q19" i="149"/>
  <c r="P25" i="148"/>
  <c r="Q23" i="148"/>
  <c r="Q22" i="148"/>
  <c r="Q20" i="148"/>
  <c r="Q26" i="148" s="1"/>
  <c r="Q19" i="148"/>
  <c r="P25" i="147"/>
  <c r="Q23" i="147"/>
  <c r="Q22" i="147"/>
  <c r="Q20" i="147"/>
  <c r="Q19" i="147"/>
  <c r="P25" i="146"/>
  <c r="Q23" i="146"/>
  <c r="Q22" i="146"/>
  <c r="Q20" i="146"/>
  <c r="Q19" i="146"/>
  <c r="P25" i="145"/>
  <c r="Q23" i="145"/>
  <c r="Q22" i="145"/>
  <c r="Q20" i="145"/>
  <c r="Q19" i="145"/>
  <c r="P25" i="144"/>
  <c r="Q23" i="144"/>
  <c r="Q22" i="144"/>
  <c r="Q20" i="144"/>
  <c r="Q19" i="144"/>
  <c r="P25" i="143"/>
  <c r="Q23" i="143"/>
  <c r="Q22" i="143"/>
  <c r="Q20" i="143"/>
  <c r="Q19" i="143"/>
  <c r="P25" i="142"/>
  <c r="Q23" i="142"/>
  <c r="Q22" i="142"/>
  <c r="Q20" i="142"/>
  <c r="Q19" i="142"/>
  <c r="P25" i="141"/>
  <c r="Q23" i="141"/>
  <c r="Q22" i="141"/>
  <c r="Q21" i="141"/>
  <c r="Q20" i="141"/>
  <c r="Q26" i="141" s="1"/>
  <c r="Q19" i="141"/>
  <c r="P25" i="140"/>
  <c r="Q23" i="140"/>
  <c r="Q22" i="140"/>
  <c r="Q20" i="140"/>
  <c r="Q19" i="140"/>
  <c r="P25" i="139"/>
  <c r="Q23" i="139"/>
  <c r="Q22" i="139"/>
  <c r="Q20" i="139"/>
  <c r="Q19" i="139"/>
  <c r="P25" i="138"/>
  <c r="Q23" i="138"/>
  <c r="Q22" i="138"/>
  <c r="Q20" i="138"/>
  <c r="Q19" i="138"/>
  <c r="P25" i="137"/>
  <c r="Q23" i="137"/>
  <c r="Q22" i="137"/>
  <c r="Q20" i="137"/>
  <c r="Q19" i="137"/>
  <c r="P25" i="136"/>
  <c r="Q23" i="136"/>
  <c r="Q22" i="136"/>
  <c r="Q20" i="136"/>
  <c r="Q19" i="136"/>
  <c r="P25" i="135"/>
  <c r="Q23" i="135"/>
  <c r="Q22" i="135"/>
  <c r="Q20" i="135"/>
  <c r="Q19" i="135"/>
  <c r="P25" i="134"/>
  <c r="Q23" i="134"/>
  <c r="Q20" i="134"/>
  <c r="Q19" i="134"/>
  <c r="P25" i="133"/>
  <c r="Q23" i="133"/>
  <c r="Q22" i="133"/>
  <c r="Q19" i="133"/>
  <c r="P25" i="132"/>
  <c r="Q23" i="132"/>
  <c r="Q22" i="132"/>
  <c r="Q20" i="132"/>
  <c r="Q19" i="132"/>
  <c r="P25" i="131"/>
  <c r="Q23" i="131"/>
  <c r="Q22" i="131"/>
  <c r="Q20" i="131"/>
  <c r="Q19" i="131"/>
  <c r="P25" i="13"/>
  <c r="Q23" i="13"/>
  <c r="Q22" i="13"/>
  <c r="Q20" i="13"/>
  <c r="Q19" i="13"/>
  <c r="Q23" i="1"/>
  <c r="Q26" i="159" l="1"/>
  <c r="Q26" i="158"/>
  <c r="Q26" i="157"/>
  <c r="Q26" i="155"/>
  <c r="Q26" i="154"/>
  <c r="Q26" i="153"/>
  <c r="Q26" i="152"/>
  <c r="Q26" i="151"/>
  <c r="Q26" i="150"/>
  <c r="Q26" i="149"/>
  <c r="Q26" i="147"/>
  <c r="Q26" i="146"/>
  <c r="Q26" i="145"/>
  <c r="Q26" i="144"/>
  <c r="Q26" i="143"/>
  <c r="Q26" i="142"/>
  <c r="Q26" i="140"/>
  <c r="Q26" i="139"/>
  <c r="Q26" i="138"/>
  <c r="Q26" i="137"/>
  <c r="Q26" i="136"/>
  <c r="Q26" i="135"/>
  <c r="Q26" i="134"/>
  <c r="Q26" i="133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O12" i="159"/>
  <c r="I11" i="159"/>
  <c r="D11" i="159"/>
  <c r="I24" i="158"/>
  <c r="H24" i="158"/>
  <c r="E24" i="158"/>
  <c r="D24" i="158"/>
  <c r="O12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J20" i="13"/>
  <c r="H20" i="13"/>
  <c r="E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J20" i="131"/>
  <c r="H20" i="131"/>
  <c r="E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J20" i="132"/>
  <c r="H20" i="132"/>
  <c r="E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J20" i="133"/>
  <c r="H20" i="133"/>
  <c r="E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J20" i="134"/>
  <c r="H20" i="134"/>
  <c r="E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J20" i="135"/>
  <c r="H20" i="135"/>
  <c r="E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J20" i="136"/>
  <c r="H20" i="136"/>
  <c r="E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J20" i="137"/>
  <c r="H20" i="137"/>
  <c r="E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J20" i="138"/>
  <c r="H20" i="138"/>
  <c r="E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J20" i="139"/>
  <c r="H20" i="139"/>
  <c r="E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J20" i="140"/>
  <c r="H20" i="140"/>
  <c r="E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J20" i="141"/>
  <c r="H20" i="141"/>
  <c r="E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J20" i="142"/>
  <c r="H20" i="142"/>
  <c r="E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J20" i="143"/>
  <c r="H20" i="143"/>
  <c r="E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J20" i="144"/>
  <c r="H20" i="144"/>
  <c r="E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J20" i="145"/>
  <c r="H20" i="145"/>
  <c r="E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J20" i="146"/>
  <c r="H20" i="146"/>
  <c r="E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J20" i="147"/>
  <c r="H20" i="147"/>
  <c r="E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J20" i="148"/>
  <c r="H20" i="148"/>
  <c r="E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J20" i="149"/>
  <c r="H20" i="149"/>
  <c r="E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J20" i="150"/>
  <c r="H20" i="150"/>
  <c r="E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J20" i="151"/>
  <c r="H20" i="151"/>
  <c r="E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J20" i="152"/>
  <c r="H20" i="152"/>
  <c r="E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J20" i="153"/>
  <c r="H20" i="153"/>
  <c r="E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J20" i="154"/>
  <c r="H20" i="154"/>
  <c r="E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J20" i="155"/>
  <c r="H20" i="155"/>
  <c r="E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J20" i="156"/>
  <c r="H20" i="156"/>
  <c r="E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J20" i="157"/>
  <c r="H20" i="157"/>
  <c r="E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J20" i="158"/>
  <c r="H20" i="158"/>
  <c r="E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D26" i="13"/>
  <c r="F27" i="13" s="1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Q10" i="159"/>
  <c r="Q9" i="159"/>
  <c r="O9" i="159"/>
  <c r="N9" i="159"/>
  <c r="Q8" i="159"/>
  <c r="O8" i="159"/>
  <c r="Q7" i="159"/>
  <c r="O7" i="159"/>
  <c r="N7" i="159"/>
  <c r="Q6" i="159"/>
  <c r="O6" i="159"/>
  <c r="Q5" i="159"/>
  <c r="O5" i="159"/>
  <c r="N5" i="159"/>
  <c r="Q13" i="158"/>
  <c r="Q12" i="158"/>
  <c r="Q11" i="158"/>
  <c r="O11" i="158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J7" i="137" s="1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J7" i="131" s="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P8" i="13"/>
  <c r="J12" i="13"/>
  <c r="E12" i="13"/>
  <c r="E11" i="13"/>
  <c r="E10" i="13"/>
  <c r="E9" i="13"/>
  <c r="P10" i="13" s="1"/>
  <c r="E8" i="13"/>
  <c r="P9" i="13" s="1"/>
  <c r="E7" i="13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9" l="1"/>
  <c r="Q14" i="156"/>
  <c r="Q14" i="146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<sst xmlns="http://schemas.openxmlformats.org/spreadsheetml/2006/main" count="872" uniqueCount="62">
  <si>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</si>
  <si>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</si>
  <si>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</si>
  <si>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</si>
  <si>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</si>
  <si>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</si>
  <si>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</si>
  <si>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</si>
  <si>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</si>
  <si>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</si>
  <si>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</si>
  <si>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</si>
  <si>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</si>
  <si>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</si>
  <si>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</si>
  <si>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</si>
  <si>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</si>
  <si>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</si>
  <si>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</si>
  <si>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</si>
  <si>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</si>
  <si>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</si>
  <si>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</si>
  <si>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</si>
  <si>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</si>
  <si>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</si>
  <si>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</si>
  <si>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</si>
  <si>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</si>
  <si>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</si>
  <si>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</si>
  <si>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</si>
  <si>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</si>
  <si>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</si>
  <si>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</si>
  <si>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</si>
  <si>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</si>
  <si>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</si>
  <si>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</si>
  <si>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</si>
  <si>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</si>
  <si>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</si>
  <si>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</si>
  <si>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</si>
  <si>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</si>
  <si>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</si>
  <si>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</si>
  <si>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</si>
  <si>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</si>
  <si>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</si>
  <si>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</si>
  <si>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</si>
  <si>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</si>
  <si>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</si>
  <si>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</si>
  <si>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</si>
  <si>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</si>
  <si>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</si>
  <si>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</si>
  <si>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</si>
  <si>
    <t>09:00~09:00</t>
    <phoneticPr fontId="1" type="noConversion"/>
  </si>
  <si>
    <r>
      <t xml:space="preserve">1. </t>
    </r>
    <r>
      <rPr>
        <sz val="11"/>
        <color theme="1"/>
        <rFont val="돋움"/>
        <family val="3"/>
        <charset val="129"/>
      </rPr>
      <t>양화</t>
    </r>
    <r>
      <rPr>
        <sz val="11"/>
        <color theme="1"/>
        <rFont val="maigun ghodic"/>
        <family val="2"/>
      </rPr>
      <t xml:space="preserve"> 2572</t>
    </r>
    <r>
      <rPr>
        <sz val="11"/>
        <color theme="1"/>
        <rFont val="돋움"/>
        <family val="3"/>
        <charset val="129"/>
      </rPr>
      <t>호</t>
    </r>
    <r>
      <rPr>
        <sz val="11"/>
        <color theme="1"/>
        <rFont val="maigun ghodic"/>
        <family val="2"/>
      </rPr>
      <t xml:space="preserve"> 15,542</t>
    </r>
    <r>
      <rPr>
        <sz val="11"/>
        <color theme="1"/>
        <rFont val="돋움"/>
        <family val="3"/>
        <charset val="129"/>
      </rPr>
      <t>원</t>
    </r>
    <r>
      <rPr>
        <sz val="11"/>
        <color theme="1"/>
        <rFont val="maigun ghodic"/>
        <family val="2"/>
      </rPr>
      <t xml:space="preserve"> </t>
    </r>
    <r>
      <rPr>
        <sz val="11"/>
        <color theme="1"/>
        <rFont val="돋움"/>
        <family val="3"/>
        <charset val="129"/>
      </rPr>
      <t>돌려주기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</si>
</sst>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4" fillId="2" borderId="0" xfId="0" applyNumberFormat="1" applyFont="1" applyFill="1" applyAlignment="1" applyProtection="1">
      <alignment horizontal="left" vertical="center"/>
      <protection locked="0"/>
    </xf>
    <xf numFmtId="176" fontId="4" fillId="2" borderId="0" xfId="0" applyNumberFormat="1" applyFont="1" applyFill="1" applyAlignment="1" applyProtection="1">
      <alignment horizontal="center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B1" workbookViewId="0">
      <selection activeCell="I4" sqref="I4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9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9" style="27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9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2022</v>
      </c>
      <c r="D1" s="24" t="str">
        <f>IF(C1&lt;2000,"◀  년 입력","년")</f>
        <v>년</v>
      </c>
      <c r="E1" s="25">
        <v>7</v>
      </c>
      <c r="F1" s="24" t="str">
        <f>IF(E1&lt;1,"◀  월 입력","월")</f>
        <v>월</v>
      </c>
      <c r="G1" s="25"/>
      <c r="H1" s="26" t="s">
        <v>11</v>
      </c>
      <c r="I1" s="25">
        <v>1160</v>
      </c>
      <c r="J1" s="24" t="str">
        <f>IF(I1&lt;100,"◀  단가입력","원")</f>
        <v>원</v>
      </c>
      <c r="L1" s="28">
        <f>+ROUND(+O5*0.584/1000,3)</f>
        <v>17.111999999999998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17.111999999999998</v>
      </c>
      <c r="M2" s="27" t="s">
        <v>7</v>
      </c>
      <c r="N2" s="117" t="s">
        <v>12</v>
      </c>
      <c r="O2" s="117"/>
      <c r="P2" s="117"/>
      <c r="Q2" s="117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0</v>
      </c>
      <c r="M3" s="27" t="s">
        <v>10</v>
      </c>
      <c r="N3" s="32"/>
      <c r="O3" s="32"/>
      <c r="P3" s="116" t="str">
        <f>+'(1)'!$C$1&amp;"년"&amp;'(1)'!$E$1&amp;"월"&amp;$G$1&amp;"일"</f>
        <v>2022년7월일</v>
      </c>
      <c r="Q3" s="116"/>
      <c r="R3" s="33"/>
    </row>
    <row r="4" spans="3:25" ht="16.5" customHeight="1" thickBot="1">
      <c r="C4" s="34" t="s">
        <v>15</v>
      </c>
      <c r="D4" s="35">
        <v>6657.6360000000004</v>
      </c>
      <c r="E4" s="34" t="s">
        <v>16</v>
      </c>
      <c r="F4" s="36"/>
      <c r="H4" s="97" t="str">
        <f>+C4</f>
        <v>판매량</v>
      </c>
      <c r="I4" s="35">
        <v>13825.332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24092</v>
      </c>
      <c r="S4" s="41" t="s">
        <v>17</v>
      </c>
    </row>
    <row r="5" spans="3:25" ht="16.5" customHeight="1">
      <c r="C5" s="42" t="s">
        <v>18</v>
      </c>
      <c r="D5" s="43"/>
      <c r="E5" s="42" t="s">
        <v>19</v>
      </c>
      <c r="F5" s="44">
        <v>100000</v>
      </c>
      <c r="H5" s="98" t="str">
        <f>+C5</f>
        <v>법인전표</v>
      </c>
      <c r="I5" s="43"/>
      <c r="J5" s="42" t="str">
        <f>+E5</f>
        <v>고액권</v>
      </c>
      <c r="K5" s="44">
        <v>475000</v>
      </c>
      <c r="M5" s="38"/>
      <c r="N5" s="45" t="str">
        <f>+C4</f>
        <v>판매량</v>
      </c>
      <c r="O5" s="46">
        <f>SUM(D4+I4+D17+I17+D35+I35)</f>
        <v>29301.976999999999</v>
      </c>
      <c r="P5" s="47" t="str">
        <f>+E4</f>
        <v>입금액</v>
      </c>
      <c r="Q5" s="48">
        <f>SUM(F4+K4+F17+K17+F35+K35)</f>
        <v>0</v>
      </c>
      <c r="R5" s="49">
        <v>30</v>
      </c>
      <c r="S5" s="41" t="s">
        <v>20</v>
      </c>
    </row>
    <row r="6" spans="3:25" ht="16.5" customHeight="1">
      <c r="C6" s="42" t="s">
        <v>21</v>
      </c>
      <c r="D6" s="50"/>
      <c r="E6" s="42" t="s">
        <v>22</v>
      </c>
      <c r="F6" s="44">
        <v>1000</v>
      </c>
      <c r="H6" s="98" t="str">
        <f t="shared" ref="H6:H13" si="2">+C6</f>
        <v>외상전표</v>
      </c>
      <c r="I6" s="50">
        <v>368.529</v>
      </c>
      <c r="J6" s="42" t="str">
        <f t="shared" ref="J6:J13" si="3">+E6</f>
        <v>천원권</v>
      </c>
      <c r="K6" s="44">
        <v>3000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725000</v>
      </c>
      <c r="R6" s="49">
        <v>2.7</v>
      </c>
      <c r="S6" s="41" t="s">
        <v>23</v>
      </c>
      <c r="T6" s="109"/>
    </row>
    <row r="7" spans="3:25" ht="16.5" customHeight="1">
      <c r="C7" s="42" t="s">
        <v>24</v>
      </c>
      <c r="D7" s="50"/>
      <c r="E7" s="42" t="s">
        <v>25</v>
      </c>
      <c r="F7" s="44"/>
      <c r="H7" s="98" t="str">
        <f t="shared" si="2"/>
        <v>효신(업)</v>
      </c>
      <c r="I7" s="50"/>
      <c r="J7" s="42" t="str">
        <f t="shared" si="3"/>
        <v>동전</v>
      </c>
      <c r="K7" s="44"/>
      <c r="M7" s="38"/>
      <c r="N7" s="51" t="str">
        <f t="shared" ref="N7:N14" si="4">+C6</f>
        <v>외상전표</v>
      </c>
      <c r="O7" s="54">
        <f>SUM(D6+I6+D19+I19+D37+I37)</f>
        <v>368.529</v>
      </c>
      <c r="P7" s="51" t="str">
        <f t="shared" ref="P7:P14" si="5">+E6</f>
        <v>천원권</v>
      </c>
      <c r="Q7" s="53">
        <f>SUM(F6+K6+F19+K19+F37+K37)</f>
        <v>5000</v>
      </c>
      <c r="R7" s="40" t="s">
        <v>49</v>
      </c>
      <c r="S7" s="41" t="s">
        <v>6</v>
      </c>
    </row>
    <row r="8" spans="3:25" ht="16.5" customHeight="1">
      <c r="C8" s="42" t="s">
        <v>26</v>
      </c>
      <c r="D8" s="50"/>
      <c r="E8" s="42" t="s">
        <v>27</v>
      </c>
      <c r="F8" s="44">
        <v>7616486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22714745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32780056</v>
      </c>
      <c r="R9" s="40"/>
    </row>
    <row r="10" spans="3:25" ht="16.5" customHeight="1">
      <c r="C10" s="42" t="s">
        <v>51</v>
      </c>
      <c r="D10" s="50">
        <v>55.091999999999999</v>
      </c>
      <c r="E10" s="42" t="s">
        <v>47</v>
      </c>
      <c r="F10" s="44">
        <v>3000</v>
      </c>
      <c r="H10" s="98" t="str">
        <f t="shared" si="2"/>
        <v>고객우대</v>
      </c>
      <c r="I10" s="50">
        <v>477.66199999999998</v>
      </c>
      <c r="J10" s="42" t="str">
        <f t="shared" si="3"/>
        <v>OK케시백</v>
      </c>
      <c r="K10" s="44">
        <v>2000</v>
      </c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46</v>
      </c>
      <c r="D11" s="55">
        <f>SUM(D10*-35)</f>
        <v>-1928.22</v>
      </c>
      <c r="E11" s="42" t="s">
        <v>31</v>
      </c>
      <c r="F11" s="44"/>
      <c r="H11" s="98" t="str">
        <f t="shared" si="2"/>
        <v>-</v>
      </c>
      <c r="I11" s="55">
        <f>SUM(I10*-35)</f>
        <v>-16718.169999999998</v>
      </c>
      <c r="J11" s="42" t="str">
        <f t="shared" si="3"/>
        <v>모바일</v>
      </c>
      <c r="K11" s="44">
        <v>15000</v>
      </c>
      <c r="M11" s="38"/>
      <c r="N11" s="51" t="str">
        <f t="shared" si="4"/>
        <v>고객우대</v>
      </c>
      <c r="O11" s="54">
        <f>SUM(D10+I10+D23+I23+D41+I41)</f>
        <v>585.67000000000007</v>
      </c>
      <c r="P11" s="51" t="str">
        <f t="shared" si="5"/>
        <v>OK케시백</v>
      </c>
      <c r="Q11" s="53">
        <f>SUM(F10+K10+F23+K23+F41+K41)</f>
        <v>5000</v>
      </c>
      <c r="R11" s="49"/>
    </row>
    <row r="12" spans="3:25" ht="16.5" customHeight="1" thickBot="1">
      <c r="C12" s="56" t="s">
        <v>46</v>
      </c>
      <c r="D12" s="57"/>
      <c r="E12" s="56" t="s">
        <v>59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/>
      <c r="M12" s="38"/>
      <c r="N12" s="51" t="str">
        <f t="shared" si="4"/>
        <v>-</v>
      </c>
      <c r="O12" s="52">
        <f>SUM(O11*-35)</f>
        <v>-20498.450000000004</v>
      </c>
      <c r="P12" s="51" t="str">
        <f t="shared" si="5"/>
        <v>모바일</v>
      </c>
      <c r="Q12" s="53">
        <f>SUM(F11+K11+F24+K24+F42+K42)</f>
        <v>25000</v>
      </c>
      <c r="R12" s="40"/>
    </row>
    <row r="13" spans="3:25" ht="16.5" customHeight="1" thickBot="1">
      <c r="C13" s="59" t="s">
        <v>33</v>
      </c>
      <c r="D13" s="60">
        <f>SUM((D4-D5-D6-D7-D8-D9)*$I$1+D11)</f>
        <v>7720929.540000001</v>
      </c>
      <c r="E13" s="59" t="s">
        <v>33</v>
      </c>
      <c r="F13" s="61">
        <f>SUM(F4:F12)</f>
        <v>7720486</v>
      </c>
      <c r="G13" s="62"/>
      <c r="H13" s="96" t="str">
        <f t="shared" si="2"/>
        <v>합계</v>
      </c>
      <c r="I13" s="60">
        <f>SUM((I4-I5-I6-I7-I8-I9)*$I$1+I11)</f>
        <v>15593173.310000001</v>
      </c>
      <c r="J13" s="29" t="str">
        <f t="shared" si="3"/>
        <v>합계</v>
      </c>
      <c r="K13" s="61">
        <f>IF(K8=0,0,SUM(K4:K12)-F8)</f>
        <v>15593259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-443.54000000096858</v>
      </c>
      <c r="K14" s="67">
        <f>SUM(K13-I13)</f>
        <v>85.689999999478459</v>
      </c>
      <c r="N14" s="39" t="str">
        <f t="shared" si="4"/>
        <v>합계</v>
      </c>
      <c r="O14" s="68">
        <f>SUM((O5-O6-O7-O8-O9-O10)*+$I$1+O12)</f>
        <v>33542301.23</v>
      </c>
      <c r="P14" s="39" t="str">
        <f t="shared" si="5"/>
        <v>합계</v>
      </c>
      <c r="Q14" s="69">
        <f>SUM(Q5:Q13)</f>
        <v>33540056</v>
      </c>
    </row>
    <row r="15" spans="3:25" ht="16.5" customHeight="1" thickBot="1">
      <c r="C15" s="27">
        <v>3</v>
      </c>
      <c r="H15" s="27">
        <v>4</v>
      </c>
      <c r="Q15" s="70">
        <f>SUM(F14+K14+F27+K27)</f>
        <v>-2245.230000000447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8819.009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150000</v>
      </c>
      <c r="H18" s="98" t="str">
        <f>+C5</f>
        <v>법인전표</v>
      </c>
      <c r="I18" s="43"/>
      <c r="J18" s="42" t="str">
        <f>+E5</f>
        <v>고액권</v>
      </c>
      <c r="K18" s="44"/>
      <c r="N18" s="114" t="s">
        <v>34</v>
      </c>
      <c r="O18" s="127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>
        <v>0</v>
      </c>
      <c r="E19" s="42" t="str">
        <f t="shared" ref="E19:E26" si="8">+E6</f>
        <v>천원권</v>
      </c>
      <c r="F19" s="44">
        <v>1000</v>
      </c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18" t="s">
        <v>37</v>
      </c>
      <c r="O19" s="119"/>
      <c r="P19" s="73">
        <v>8</v>
      </c>
      <c r="Q19" s="48">
        <f>SUM(P19*1000)</f>
        <v>8000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동전</v>
      </c>
      <c r="F20" s="44"/>
      <c r="H20" s="98" t="str">
        <f t="shared" si="9"/>
        <v>효신(업)</v>
      </c>
      <c r="I20" s="50"/>
      <c r="J20" s="42" t="str">
        <f t="shared" si="10"/>
        <v>동전</v>
      </c>
      <c r="K20" s="44"/>
      <c r="N20" s="124" t="s">
        <v>38</v>
      </c>
      <c r="O20" s="125"/>
      <c r="P20" s="74">
        <v>24</v>
      </c>
      <c r="Q20" s="53">
        <f>SUM(P20*1000)</f>
        <v>24000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32780056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4" t="s">
        <v>48</v>
      </c>
      <c r="O21" s="125"/>
      <c r="P21" s="74">
        <v>7</v>
      </c>
      <c r="Q21" s="53"/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6" t="s">
        <v>53</v>
      </c>
      <c r="O22" s="121"/>
      <c r="P22" s="74">
        <v>4</v>
      </c>
      <c r="Q22" s="53">
        <f>SUM(P22*1000)</f>
        <v>4000</v>
      </c>
      <c r="R22" s="32"/>
      <c r="S22" s="32"/>
    </row>
    <row r="23" spans="3:19" ht="16.5" customHeight="1">
      <c r="C23" s="98" t="str">
        <f t="shared" si="7"/>
        <v>고객우대</v>
      </c>
      <c r="D23" s="50">
        <v>52.915999999999997</v>
      </c>
      <c r="E23" s="42" t="str">
        <f t="shared" si="8"/>
        <v>OK케시백</v>
      </c>
      <c r="F23" s="44"/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20" t="s">
        <v>58</v>
      </c>
      <c r="O23" s="121"/>
      <c r="P23" s="74">
        <v>11</v>
      </c>
      <c r="Q23" s="53">
        <f>SUM(P23*1000)</f>
        <v>11000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-1852.06</v>
      </c>
      <c r="E24" s="42" t="str">
        <f t="shared" si="8"/>
        <v>모바일</v>
      </c>
      <c r="F24" s="44">
        <v>10000</v>
      </c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20" t="s">
        <v>52</v>
      </c>
      <c r="O24" s="121"/>
      <c r="P24" s="74">
        <v>4</v>
      </c>
      <c r="Q24" s="53"/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22" t="s">
        <v>39</v>
      </c>
      <c r="O25" s="123"/>
      <c r="P25" s="75">
        <f>+P26-SUM(P19:P24)</f>
        <v>77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10228198.379999999</v>
      </c>
      <c r="E26" s="29" t="str">
        <f t="shared" si="8"/>
        <v>합계</v>
      </c>
      <c r="F26" s="61">
        <f>IF(F21=0,0,SUM(F17:F25)-K8)</f>
        <v>10226311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4" t="s">
        <v>40</v>
      </c>
      <c r="O26" s="115"/>
      <c r="P26" s="77">
        <v>135</v>
      </c>
      <c r="Q26" s="69">
        <f>SUM(Q19:Q25)</f>
        <v>47000</v>
      </c>
      <c r="R26" s="32"/>
      <c r="S26" s="32"/>
    </row>
    <row r="27" spans="3:19" ht="15.75" customHeight="1" thickBot="1">
      <c r="F27" s="67">
        <f>SUM(F26-D26)</f>
        <v>-1887.3799999989569</v>
      </c>
      <c r="K27" s="67">
        <f>SUM(K26-I26)</f>
        <v>0</v>
      </c>
    </row>
    <row r="28" spans="3:19" ht="23.25" customHeight="1">
      <c r="F28" s="67"/>
      <c r="K28" s="67"/>
      <c r="N28" s="112" t="s">
        <v>54</v>
      </c>
      <c r="O28" s="104" t="s">
        <v>55</v>
      </c>
      <c r="P28" s="104" t="s">
        <v>56</v>
      </c>
      <c r="Q28" s="105" t="s">
        <v>57</v>
      </c>
    </row>
    <row r="29" spans="3:19" ht="21.75" customHeight="1" thickBot="1">
      <c r="F29" s="67"/>
      <c r="K29" s="67"/>
      <c r="N29" s="113"/>
      <c r="O29" s="106">
        <v>15747</v>
      </c>
      <c r="P29" s="107">
        <v>15756</v>
      </c>
      <c r="Q29" s="108">
        <f>P29-O29</f>
        <v>9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1160</v>
      </c>
      <c r="F1" s="1"/>
      <c r="G1" s="1"/>
      <c r="H1" s="1"/>
      <c r="I1" s="1"/>
      <c r="J1" s="1"/>
      <c r="K1" s="1"/>
      <c r="L1" s="22">
        <f>+ROUND(+O5*0.584/1000,3)</f>
        <v>8.2420000000000009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11.787000000000001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117.87</v>
      </c>
      <c r="M3" s="18" t="s">
        <v>10</v>
      </c>
      <c r="N3" s="3"/>
      <c r="O3" s="3"/>
      <c r="P3" s="129" t="str">
        <f>+'(1)'!C1&amp;"년"&amp;'(1)'!E1&amp;"월"&amp;C1&amp;"일"</f>
        <v>2022년7월10일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8399.9740000000002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5713.0839999999998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25596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195000</v>
      </c>
      <c r="L5" s="2"/>
      <c r="M5" s="20"/>
      <c r="N5" s="45" t="str">
        <f>+C4</f>
        <v>판매량</v>
      </c>
      <c r="O5" s="46">
        <f>SUM(D4+I4+D17+I17+D35+I35)</f>
        <v>14113.058000000001</v>
      </c>
      <c r="P5" s="47" t="str">
        <f>+E4</f>
        <v>입금액</v>
      </c>
      <c r="Q5" s="48">
        <f>SUM(F4+K4+F17+K17+F35+K35)</f>
        <v>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315000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9599269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16031288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16031288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10000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9743969.8399999999</v>
      </c>
      <c r="E13" s="29" t="str">
        <f>+'(1)'!E13</f>
        <v>합계</v>
      </c>
      <c r="F13" s="61">
        <f>SUM(F4:F12)</f>
        <v>9742269</v>
      </c>
      <c r="G13" s="62"/>
      <c r="H13" s="29" t="str">
        <f t="shared" si="2"/>
        <v>합계</v>
      </c>
      <c r="I13" s="60">
        <f>SUM((I4-I5-I6-I7-I8-I9)*$E$1+I11)</f>
        <v>6627177.4399999995</v>
      </c>
      <c r="J13" s="29" t="str">
        <f t="shared" si="3"/>
        <v>합계</v>
      </c>
      <c r="K13" s="61">
        <f>IF(K8=0,0,SUM(K4:K12)-F8)</f>
        <v>6627019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-1700.839999999851</v>
      </c>
      <c r="G14" s="27"/>
      <c r="H14" s="27"/>
      <c r="I14" s="27"/>
      <c r="J14" s="27"/>
      <c r="K14" s="67">
        <f>SUM(K13-I13)</f>
        <v>-158.43999999947846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16371147.280000001</v>
      </c>
      <c r="P14" s="39" t="str">
        <f t="shared" si="5"/>
        <v>합계</v>
      </c>
      <c r="Q14" s="69">
        <f>SUM(Q5:Q13)</f>
        <v>16369288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-1859.2799999993294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92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138</v>
      </c>
      <c r="Q26" s="69">
        <f>SUM(Q19:Q25)</f>
        <v>41000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15782</v>
      </c>
      <c r="P29" s="107">
        <v>15783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1160</v>
      </c>
      <c r="F1" s="1"/>
      <c r="G1" s="1"/>
      <c r="H1" s="1"/>
      <c r="I1" s="1"/>
      <c r="J1" s="1"/>
      <c r="K1" s="1"/>
      <c r="L1" s="22">
        <f>+ROUND(+O5*0.584/1000,3)</f>
        <v>12.106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11.816000000000001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129.976</v>
      </c>
      <c r="M3" s="18" t="s">
        <v>10</v>
      </c>
      <c r="N3" s="3"/>
      <c r="O3" s="3"/>
      <c r="P3" s="129" t="str">
        <f>+'(1)'!C1&amp;"년"&amp;'(1)'!E1&amp;"월"&amp;C1&amp;"일"</f>
        <v>2022년7월11일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13176.512000000001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7552.6170000000002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40940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100000</v>
      </c>
      <c r="L5" s="2"/>
      <c r="M5" s="20"/>
      <c r="N5" s="45" t="str">
        <f>+C4</f>
        <v>판매량</v>
      </c>
      <c r="O5" s="46">
        <f>SUM(D4+I4+D17+I17+D35+I35)</f>
        <v>20729.129000000001</v>
      </c>
      <c r="P5" s="47" t="str">
        <f>+E4</f>
        <v>입금액</v>
      </c>
      <c r="Q5" s="48">
        <f>SUM(F4+K4+F17+K17+F35+K35)</f>
        <v>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333.971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18.507999999999999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265000</v>
      </c>
      <c r="R6" s="7">
        <v>3.3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352.47899999999998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14690438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23321032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23321032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439.11099999999999</v>
      </c>
      <c r="E10" s="42" t="str">
        <f>+'(1)'!E10</f>
        <v>OK케시백</v>
      </c>
      <c r="F10" s="44">
        <v>4536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-15368.885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439.11099999999999</v>
      </c>
      <c r="P11" s="51" t="str">
        <f t="shared" si="5"/>
        <v>OK케시백</v>
      </c>
      <c r="Q11" s="53">
        <f>SUM(F10+K10+F23+K23+F41+K41)</f>
        <v>4536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-15368.885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14881978.675000001</v>
      </c>
      <c r="E13" s="29" t="str">
        <f>+'(1)'!E13</f>
        <v>합계</v>
      </c>
      <c r="F13" s="61">
        <f>SUM(F4:F12)</f>
        <v>14881974</v>
      </c>
      <c r="G13" s="62"/>
      <c r="H13" s="29" t="str">
        <f t="shared" si="2"/>
        <v>합계</v>
      </c>
      <c r="I13" s="60">
        <f>SUM((I4-I5-I6-I7-I8-I9)*$E$1+I11)</f>
        <v>8739566.4400000013</v>
      </c>
      <c r="J13" s="29" t="str">
        <f t="shared" si="3"/>
        <v>합계</v>
      </c>
      <c r="K13" s="61">
        <f>IF(K8=0,0,SUM(K4:K12)-F8)</f>
        <v>8739594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-4.6750000007450581</v>
      </c>
      <c r="G14" s="27"/>
      <c r="H14" s="27"/>
      <c r="I14" s="27"/>
      <c r="J14" s="27"/>
      <c r="K14" s="67">
        <f>SUM(K13-I13)</f>
        <v>27.559999998658895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23621545.114999998</v>
      </c>
      <c r="P14" s="39" t="str">
        <f t="shared" si="5"/>
        <v>합계</v>
      </c>
      <c r="Q14" s="69">
        <f>SUM(Q5:Q13)</f>
        <v>23621568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22.884999997913837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17</v>
      </c>
      <c r="Q23" s="53">
        <f>SUM(P23*1000)</f>
        <v>17000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170</v>
      </c>
      <c r="Q26" s="69">
        <f>SUM(Q19:Q25)</f>
        <v>60000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15783</v>
      </c>
      <c r="P29" s="107">
        <v>15787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1160</v>
      </c>
      <c r="F1" s="1"/>
      <c r="G1" s="1"/>
      <c r="H1" s="1"/>
      <c r="I1" s="1"/>
      <c r="J1" s="1"/>
      <c r="K1" s="1"/>
      <c r="L1" s="22">
        <f>+ROUND(+O5*0.584/1000,3)</f>
        <v>12.319000000000001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11.858000000000001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142.29599999999999</v>
      </c>
      <c r="M3" s="18" t="s">
        <v>10</v>
      </c>
      <c r="N3" s="3"/>
      <c r="O3" s="3"/>
      <c r="P3" s="129" t="str">
        <f>+'(1)'!C1&amp;"년"&amp;'(1)'!E1&amp;"월"&amp;C1&amp;"일"</f>
        <v>2022년7월12일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12511.056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8582.7720000000008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17874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525000</v>
      </c>
      <c r="L5" s="2"/>
      <c r="M5" s="20"/>
      <c r="N5" s="45" t="str">
        <f>+C4</f>
        <v>판매량</v>
      </c>
      <c r="O5" s="46">
        <f>SUM(D4+I4+D17+I17+D35+I35)</f>
        <v>21093.828000000001</v>
      </c>
      <c r="P5" s="47" t="str">
        <f>+E4</f>
        <v>입금액</v>
      </c>
      <c r="Q5" s="48">
        <f>SUM(F4+K4+F17+K17+F35+K35)</f>
        <v>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272.49900000000002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820000</v>
      </c>
      <c r="R6" s="7">
        <v>3.3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272.49900000000002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13870580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23290048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23290048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482.20600000000002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>
        <v>169.572</v>
      </c>
      <c r="J10" s="42" t="str">
        <f t="shared" si="3"/>
        <v>OK케시백</v>
      </c>
      <c r="K10" s="44">
        <v>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-16877.21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-5935.02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651.77800000000002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-22812.23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14179848.91</v>
      </c>
      <c r="E13" s="29" t="str">
        <f>+'(1)'!E13</f>
        <v>합계</v>
      </c>
      <c r="F13" s="61">
        <f>SUM(F4:F12)</f>
        <v>14179580</v>
      </c>
      <c r="G13" s="62"/>
      <c r="H13" s="29" t="str">
        <f t="shared" si="2"/>
        <v>합계</v>
      </c>
      <c r="I13" s="60">
        <f>SUM((I4-I5-I6-I7-I8-I9)*$E$1+I11)</f>
        <v>9950080.5000000019</v>
      </c>
      <c r="J13" s="29" t="str">
        <f t="shared" si="3"/>
        <v>합계</v>
      </c>
      <c r="K13" s="61">
        <f>IF(K8=0,0,SUM(K4:K12)-F8)</f>
        <v>9951468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-268.91000000014901</v>
      </c>
      <c r="G14" s="27"/>
      <c r="H14" s="27"/>
      <c r="I14" s="27"/>
      <c r="J14" s="27"/>
      <c r="K14" s="67">
        <f>SUM(K13-I13)</f>
        <v>1387.4999999981374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24129929.41</v>
      </c>
      <c r="P14" s="39" t="str">
        <f t="shared" si="5"/>
        <v>합계</v>
      </c>
      <c r="Q14" s="69">
        <f>SUM(Q5:Q13)</f>
        <v>24131048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1118.5899999979883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27</v>
      </c>
      <c r="Q19" s="48">
        <f>SUM(P19*1000)</f>
        <v>27000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7</v>
      </c>
      <c r="Q20" s="53">
        <f>SUM(P20*1000)</f>
        <v>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155</v>
      </c>
      <c r="Q26" s="69">
        <f>SUM(Q19:Q25)</f>
        <v>54000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15787</v>
      </c>
      <c r="P29" s="107">
        <v>15791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1160</v>
      </c>
      <c r="F1" s="1"/>
      <c r="G1" s="1"/>
      <c r="H1" s="1"/>
      <c r="I1" s="1"/>
      <c r="J1" s="1"/>
      <c r="K1" s="1"/>
      <c r="L1" s="22">
        <f>+ROUND(+O5*0.584/1000,3)</f>
        <v>10.648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11.765000000000001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152.94499999999999</v>
      </c>
      <c r="M3" s="18" t="s">
        <v>10</v>
      </c>
      <c r="N3" s="3"/>
      <c r="O3" s="3"/>
      <c r="P3" s="129" t="str">
        <f>+'(1)'!C1&amp;"년"&amp;'(1)'!E1&amp;"월"&amp;C1&amp;"일"</f>
        <v>2022년7월13일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11302.99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6929.2560000000003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35769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290000</v>
      </c>
      <c r="L5" s="2"/>
      <c r="M5" s="20"/>
      <c r="N5" s="45" t="str">
        <f>+C4</f>
        <v>판매량</v>
      </c>
      <c r="O5" s="46">
        <f>SUM(D4+I4+D17+I17+D35+I35)</f>
        <v>18232.245999999999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396.59300000000002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43.103999999999999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405000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439.697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12457249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20152509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20152509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261.279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-9144.7649999999994</v>
      </c>
      <c r="E11" s="42" t="str">
        <f>+'(1)'!E11</f>
        <v>모바일</v>
      </c>
      <c r="F11" s="44">
        <v>4000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261.279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63782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-9144.7649999999994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12642275.754999999</v>
      </c>
      <c r="E13" s="29" t="str">
        <f>+'(1)'!E13</f>
        <v>합계</v>
      </c>
      <c r="F13" s="61">
        <f>SUM(F4:F12)</f>
        <v>12641031</v>
      </c>
      <c r="G13" s="62"/>
      <c r="H13" s="29" t="str">
        <f t="shared" si="2"/>
        <v>합계</v>
      </c>
      <c r="I13" s="60">
        <f>SUM((I4-I5-I6-I7-I8-I9)*$E$1+I11)</f>
        <v>7987936.3200000003</v>
      </c>
      <c r="J13" s="29" t="str">
        <f t="shared" si="3"/>
        <v>합계</v>
      </c>
      <c r="K13" s="61">
        <f>IF(K8=0,0,SUM(K4:K12)-F8)</f>
        <v>7987260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63782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-1244.7549999989569</v>
      </c>
      <c r="G14" s="27"/>
      <c r="H14" s="27"/>
      <c r="I14" s="27"/>
      <c r="J14" s="27"/>
      <c r="K14" s="67">
        <f>SUM(K13-I13)</f>
        <v>-676.32000000029802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20630212.074999999</v>
      </c>
      <c r="P14" s="39" t="str">
        <f t="shared" si="5"/>
        <v>합계</v>
      </c>
      <c r="Q14" s="69">
        <f>SUM(Q5:Q13)</f>
        <v>20628291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-1921.0749999992549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15791</v>
      </c>
      <c r="P29" s="107">
        <v>15791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1160</v>
      </c>
      <c r="F1" s="1"/>
      <c r="G1" s="1"/>
      <c r="H1" s="1"/>
      <c r="I1" s="1"/>
      <c r="J1" s="1"/>
      <c r="K1" s="1"/>
      <c r="L1" s="22">
        <f>+ROUND(+O5*0.584/1000,3)</f>
        <v>13.079000000000001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11.859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166.02600000000001</v>
      </c>
      <c r="M3" s="18" t="s">
        <v>10</v>
      </c>
      <c r="N3" s="3"/>
      <c r="O3" s="3"/>
      <c r="P3" s="129" t="str">
        <f>+'(1)'!C1&amp;"년"&amp;'(1)'!E1&amp;"월"&amp;C1&amp;"일"</f>
        <v>2022년7월14일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13668.605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8727.7610000000004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48133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345000</v>
      </c>
      <c r="L5" s="2"/>
      <c r="M5" s="20"/>
      <c r="N5" s="45" t="str">
        <f>+C4</f>
        <v>판매량</v>
      </c>
      <c r="O5" s="46">
        <f>SUM(D4+I4+D17+I17+D35+I35)</f>
        <v>22396.366000000002</v>
      </c>
      <c r="P5" s="47" t="str">
        <f>+E4</f>
        <v>입금액</v>
      </c>
      <c r="Q5" s="48">
        <f>SUM(F4+K4+F17+K17+F35+K35)</f>
        <v>0</v>
      </c>
      <c r="R5" s="7">
        <v>37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303.62099999999998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705000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303.62099999999998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15084747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24856904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24856904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273.58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60.106999999999999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-9575.2999999999993</v>
      </c>
      <c r="E11" s="42" t="str">
        <f>+'(1)'!E11</f>
        <v>모바일</v>
      </c>
      <c r="F11" s="44">
        <v>45000</v>
      </c>
      <c r="G11" s="27"/>
      <c r="H11" s="87" t="str">
        <f t="shared" si="2"/>
        <v>-</v>
      </c>
      <c r="I11" s="55">
        <f>SUM(I10*-35)</f>
        <v>-2103.7449999999999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333.68700000000001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-11679.045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15493806.140000001</v>
      </c>
      <c r="E13" s="29" t="str">
        <f>+'(1)'!E13</f>
        <v>합계</v>
      </c>
      <c r="F13" s="61">
        <f>SUM(F4:F12)</f>
        <v>15493747</v>
      </c>
      <c r="G13" s="62"/>
      <c r="H13" s="29" t="str">
        <f t="shared" si="2"/>
        <v>합계</v>
      </c>
      <c r="I13" s="60">
        <f>SUM((I4-I5-I6-I7-I8-I9)*$E$1+I11)</f>
        <v>10122099.015000001</v>
      </c>
      <c r="J13" s="29" t="str">
        <f t="shared" si="3"/>
        <v>합계</v>
      </c>
      <c r="K13" s="61">
        <f>IF(K8=0,0,SUM(K4:K12)-F8)</f>
        <v>10121157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-59.140000000596046</v>
      </c>
      <c r="G14" s="27"/>
      <c r="H14" s="27"/>
      <c r="I14" s="27"/>
      <c r="J14" s="27"/>
      <c r="K14" s="67">
        <f>SUM(K13-I13)</f>
        <v>-942.01500000059605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25615905.155000001</v>
      </c>
      <c r="P14" s="39" t="str">
        <f t="shared" si="5"/>
        <v>합계</v>
      </c>
      <c r="Q14" s="69">
        <f>SUM(Q5:Q13)</f>
        <v>25614904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-1001.1550000011921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17</v>
      </c>
      <c r="Q20" s="53">
        <f>SUM(P20*1000)</f>
        <v>17000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26</v>
      </c>
      <c r="Q23" s="53">
        <f>SUM(P23*1000)</f>
        <v>26000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14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92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186</v>
      </c>
      <c r="Q26" s="69">
        <f>SUM(Q19:Q25)</f>
        <v>64000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15791</v>
      </c>
      <c r="P29" s="107">
        <v>15795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S11" sqref="S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1160</v>
      </c>
      <c r="F1" s="1"/>
      <c r="G1" s="1"/>
      <c r="H1" s="1"/>
      <c r="I1" s="1"/>
      <c r="J1" s="1"/>
      <c r="K1" s="1"/>
      <c r="L1" s="22">
        <f>+ROUND(+O5*0.584/1000,3)</f>
        <v>13.327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11.957000000000001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179.35500000000002</v>
      </c>
      <c r="M3" s="18" t="s">
        <v>10</v>
      </c>
      <c r="N3" s="3"/>
      <c r="O3" s="3"/>
      <c r="P3" s="129" t="str">
        <f>+'(1)'!C1&amp;"년"&amp;'(1)'!E1&amp;"월"&amp;C1&amp;"일"</f>
        <v>2022년7월15일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13778.018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9041.991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24114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175000</v>
      </c>
      <c r="L5" s="2"/>
      <c r="M5" s="20"/>
      <c r="N5" s="45" t="str">
        <f>+C4</f>
        <v>판매량</v>
      </c>
      <c r="O5" s="46">
        <f>SUM(D4+I4+D17+I17+D35+I35)</f>
        <v>22820.008999999998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500.024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465000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500.024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15084569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25393089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25393089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328.64</v>
      </c>
      <c r="E10" s="42" t="str">
        <f>+'(1)'!E10</f>
        <v>OK케시백</v>
      </c>
      <c r="F10" s="44">
        <v>9000</v>
      </c>
      <c r="G10" s="27"/>
      <c r="H10" s="42" t="str">
        <f t="shared" si="2"/>
        <v>고객우대</v>
      </c>
      <c r="I10" s="50">
        <v>99.603999999999999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-11502.4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-3486.14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428.24399999999997</v>
      </c>
      <c r="P11" s="51" t="str">
        <f t="shared" si="5"/>
        <v>OK케시백</v>
      </c>
      <c r="Q11" s="53">
        <f>SUM(F10+K10+F23+K23+F41+K41)</f>
        <v>9000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-14988.539999999999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15390970.640000001</v>
      </c>
      <c r="E13" s="29" t="str">
        <f>+'(1)'!E13</f>
        <v>합계</v>
      </c>
      <c r="F13" s="61">
        <f>SUM(F4:F12)</f>
        <v>15391569</v>
      </c>
      <c r="G13" s="62"/>
      <c r="H13" s="29" t="str">
        <f t="shared" si="2"/>
        <v>합계</v>
      </c>
      <c r="I13" s="60">
        <f>SUM((I4-I5-I6-I7-I8-I9)*$E$1+I11)</f>
        <v>10485223.42</v>
      </c>
      <c r="J13" s="29" t="str">
        <f t="shared" si="3"/>
        <v>합계</v>
      </c>
      <c r="K13" s="61">
        <f>IF(K8=0,0,SUM(K4:K12)-F8)</f>
        <v>10485520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598.35999999940395</v>
      </c>
      <c r="G14" s="27"/>
      <c r="H14" s="27"/>
      <c r="I14" s="27"/>
      <c r="J14" s="27"/>
      <c r="K14" s="67">
        <f>SUM(K13-I13)</f>
        <v>296.58000000007451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25876194.059999999</v>
      </c>
      <c r="P14" s="39" t="str">
        <f t="shared" si="5"/>
        <v>합계</v>
      </c>
      <c r="Q14" s="69">
        <f>SUM(Q5:Q13)</f>
        <v>25877089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894.93999999947846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12</v>
      </c>
      <c r="Q19" s="48">
        <f t="shared" ref="Q19:Q23" si="12"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24</v>
      </c>
      <c r="Q20" s="53">
        <f t="shared" si="12"/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3</v>
      </c>
      <c r="Q22" s="53">
        <f t="shared" si="12"/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9</v>
      </c>
      <c r="Q23" s="53">
        <f t="shared" si="12"/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137</v>
      </c>
      <c r="Q26" s="69">
        <f>SUM(Q19:Q25)</f>
        <v>48000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15795</v>
      </c>
      <c r="P29" s="107">
        <v>15798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1" zoomScaleNormal="100" workbookViewId="0">
      <selection activeCell="F6" sqref="F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1160</v>
      </c>
      <c r="F1" s="1"/>
      <c r="G1" s="1"/>
      <c r="H1" s="1"/>
      <c r="I1" s="1"/>
      <c r="J1" s="1"/>
      <c r="K1" s="1"/>
      <c r="L1" s="22">
        <f>+ROUND(+O5*0.584/1000,3)</f>
        <v>10.791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11.884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190.14400000000001</v>
      </c>
      <c r="M3" s="18" t="s">
        <v>10</v>
      </c>
      <c r="N3" s="3"/>
      <c r="O3" s="3"/>
      <c r="P3" s="129" t="str">
        <f>+'(1)'!C1&amp;"년"&amp;'(1)'!E1&amp;"월"&amp;C1&amp;"일"</f>
        <v>2022년7월16일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10894.395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7583.0649999999996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41839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260000</v>
      </c>
      <c r="L5" s="2"/>
      <c r="M5" s="20"/>
      <c r="N5" s="45" t="str">
        <f>+C4</f>
        <v>판매량</v>
      </c>
      <c r="O5" s="46">
        <f>SUM(D4+I4+D17+I17+D35+I35)</f>
        <v>18477.46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77.474999999999994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550000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77.474999999999994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12235668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20766939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20766939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154.256</v>
      </c>
      <c r="E10" s="42" t="str">
        <f>+'(1)'!E10</f>
        <v>OK케시백</v>
      </c>
      <c r="F10" s="44">
        <v>7000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-5398.96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154.256</v>
      </c>
      <c r="P11" s="51" t="str">
        <f t="shared" si="5"/>
        <v>OK케시백</v>
      </c>
      <c r="Q11" s="53">
        <f>SUM(F10+K10+F23+K23+F41+K41)</f>
        <v>7000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-5398.96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12542228.239999998</v>
      </c>
      <c r="E13" s="29" t="str">
        <f>+'(1)'!E13</f>
        <v>합계</v>
      </c>
      <c r="F13" s="61">
        <f>SUM(F4:F12)</f>
        <v>12542668</v>
      </c>
      <c r="G13" s="62"/>
      <c r="H13" s="29" t="str">
        <f t="shared" si="2"/>
        <v>합계</v>
      </c>
      <c r="I13" s="60">
        <f>SUM((I4-I5-I6-I7-I8-I9)*$E$1+I11)</f>
        <v>8796355.4000000004</v>
      </c>
      <c r="J13" s="29" t="str">
        <f t="shared" si="3"/>
        <v>합계</v>
      </c>
      <c r="K13" s="61">
        <f>IF(K8=0,0,SUM(K4:K12)-F8)</f>
        <v>8795271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439.76000000163913</v>
      </c>
      <c r="G14" s="27"/>
      <c r="H14" s="27"/>
      <c r="I14" s="27"/>
      <c r="J14" s="27"/>
      <c r="K14" s="67">
        <f>SUM(K13-I13)</f>
        <v>-1084.4000000003725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21338583.640000001</v>
      </c>
      <c r="P14" s="39" t="str">
        <f t="shared" si="5"/>
        <v>합계</v>
      </c>
      <c r="Q14" s="69">
        <f>SUM(Q5:Q13)</f>
        <v>21337939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-644.6399999987334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15</v>
      </c>
      <c r="Q23" s="53">
        <f>SUM(P23*1000)</f>
        <v>15000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156</v>
      </c>
      <c r="Q26" s="69">
        <f>SUM(Q19:Q25)</f>
        <v>56000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15798</v>
      </c>
      <c r="P29" s="107">
        <v>15802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1160</v>
      </c>
      <c r="F1" s="1"/>
      <c r="G1" s="1"/>
      <c r="H1" s="1"/>
      <c r="I1" s="1"/>
      <c r="J1" s="1"/>
      <c r="K1" s="1"/>
      <c r="L1" s="22">
        <f>+ROUND(+O5*0.584/1000,3)</f>
        <v>8.3339999999999996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11.675000000000001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198.47500000000002</v>
      </c>
      <c r="M3" s="18" t="s">
        <v>10</v>
      </c>
      <c r="N3" s="3"/>
      <c r="O3" s="3"/>
      <c r="P3" s="129" t="str">
        <f>+'(1)'!C1&amp;"년"&amp;'(1)'!E1&amp;"월"&amp;C1&amp;"일"</f>
        <v>2022년7월17일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7811.3620000000001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6459.3249999999998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26609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175000</v>
      </c>
      <c r="L5" s="2"/>
      <c r="M5" s="20"/>
      <c r="N5" s="45" t="str">
        <f>+C4</f>
        <v>판매량</v>
      </c>
      <c r="O5" s="46">
        <f>SUM(D4+I4+D17+I17+D35+I35)</f>
        <v>14270.687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515000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8702848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16010372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16010372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101.855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60.405000000000001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-3564.9250000000002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-2114.1750000000002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162.26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-5679.0999999999995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9057614.9949999992</v>
      </c>
      <c r="E13" s="29" t="str">
        <f>+'(1)'!E13</f>
        <v>합계</v>
      </c>
      <c r="F13" s="61">
        <f>SUM(F4:F12)</f>
        <v>9057848</v>
      </c>
      <c r="G13" s="62"/>
      <c r="H13" s="29" t="str">
        <f t="shared" si="2"/>
        <v>합계</v>
      </c>
      <c r="I13" s="60">
        <f>SUM((I4-I5-I6-I7-I8-I9)*$E$1+I11)</f>
        <v>7490702.8250000002</v>
      </c>
      <c r="J13" s="29" t="str">
        <f t="shared" si="3"/>
        <v>합계</v>
      </c>
      <c r="K13" s="61">
        <f>IF(K8=0,0,SUM(K4:K12)-F8)</f>
        <v>7489524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233.00500000081956</v>
      </c>
      <c r="G14" s="27"/>
      <c r="H14" s="27"/>
      <c r="I14" s="27"/>
      <c r="J14" s="27"/>
      <c r="K14" s="67">
        <f>SUM(K13-I13)</f>
        <v>-1178.8250000001863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16548317.82</v>
      </c>
      <c r="P14" s="39" t="str">
        <f t="shared" si="5"/>
        <v>합계</v>
      </c>
      <c r="Q14" s="69">
        <f>SUM(Q5:Q13)</f>
        <v>16547372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-945.8199999993667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6</v>
      </c>
      <c r="Q23" s="53">
        <f>SUM(P23*1000)</f>
        <v>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125</v>
      </c>
      <c r="Q26" s="69">
        <f>SUM(Q19:Q25)</f>
        <v>34000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15802</v>
      </c>
      <c r="P29" s="107">
        <v>15805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1160</v>
      </c>
      <c r="F1" s="1"/>
      <c r="G1" s="1"/>
      <c r="H1" s="1"/>
      <c r="I1" s="1"/>
      <c r="J1" s="1"/>
      <c r="K1" s="1"/>
      <c r="L1" s="22">
        <f>+ROUND(+O5*0.584/1000,3)</f>
        <v>12.076000000000001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11.696999999999999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210.54599999999999</v>
      </c>
      <c r="M3" s="18" t="s">
        <v>10</v>
      </c>
      <c r="N3" s="3"/>
      <c r="O3" s="3"/>
      <c r="P3" s="129" t="str">
        <f>+'(1)'!C1&amp;"년"&amp;'(1)'!E1&amp;"월"&amp;C1&amp;"일"</f>
        <v>2022년7월18일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12976.291999999999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7701.1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41296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285000</v>
      </c>
      <c r="L5" s="2"/>
      <c r="M5" s="20"/>
      <c r="N5" s="45" t="str">
        <f>+C4</f>
        <v>판매량</v>
      </c>
      <c r="O5" s="46">
        <f>SUM(D4+I4+D17+I17+D35+I35)</f>
        <v>20677.392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353.07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56.161999999999999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740000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409.23199999999997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10.676</v>
      </c>
      <c r="E8" s="42" t="str">
        <f>+'(1)'!E8</f>
        <v>신용카드</v>
      </c>
      <c r="F8" s="44">
        <v>14147672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22722597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10.676</v>
      </c>
      <c r="P9" s="51" t="str">
        <f t="shared" si="5"/>
        <v>신용카드</v>
      </c>
      <c r="Q9" s="53">
        <f>IF(K8=0,F8,IF(F21=0,K8,IF(K21=0,F21,K21)))</f>
        <v>22722597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361.233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-12643.155000000001</v>
      </c>
      <c r="E11" s="42" t="str">
        <f>+'(1)'!E11</f>
        <v>모바일</v>
      </c>
      <c r="F11" s="44">
        <v>14000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361.233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-12643.155000000001</v>
      </c>
      <c r="P12" s="51" t="str">
        <f t="shared" si="5"/>
        <v>모바일</v>
      </c>
      <c r="Q12" s="53">
        <f>SUM(F11+K11+F24+K24+F42+K42)</f>
        <v>19000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14617910.205</v>
      </c>
      <c r="E13" s="29" t="str">
        <f>+'(1)'!E13</f>
        <v>합계</v>
      </c>
      <c r="F13" s="61">
        <f>SUM(F4:F12)</f>
        <v>14617672</v>
      </c>
      <c r="G13" s="62"/>
      <c r="H13" s="29" t="str">
        <f t="shared" si="2"/>
        <v>합계</v>
      </c>
      <c r="I13" s="60">
        <f>SUM((I4-I5-I6-I7-I8-I9)*$E$1+I11)</f>
        <v>8868128.0800000001</v>
      </c>
      <c r="J13" s="29" t="str">
        <f t="shared" si="3"/>
        <v>합계</v>
      </c>
      <c r="K13" s="61">
        <f>IF(K8=0,0,SUM(K4:K12)-F8)</f>
        <v>8867925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-238.20500000007451</v>
      </c>
      <c r="G14" s="27"/>
      <c r="H14" s="27"/>
      <c r="I14" s="27"/>
      <c r="J14" s="27"/>
      <c r="K14" s="67">
        <f>SUM(K13-I13)</f>
        <v>-203.08000000007451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23486038.285</v>
      </c>
      <c r="P14" s="39" t="str">
        <f t="shared" si="5"/>
        <v>합계</v>
      </c>
      <c r="Q14" s="69">
        <f>SUM(Q5:Q13)</f>
        <v>23485597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-441.28500000014901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93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180</v>
      </c>
      <c r="Q26" s="69">
        <f>SUM(Q19:Q25)</f>
        <v>60000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15805</v>
      </c>
      <c r="P29" s="107">
        <v>15811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1160</v>
      </c>
      <c r="F1" s="1"/>
      <c r="G1" s="1"/>
      <c r="H1" s="1"/>
      <c r="I1" s="1"/>
      <c r="J1" s="1"/>
      <c r="K1" s="1"/>
      <c r="L1" s="22">
        <f>+ROUND(+O5*0.584/1000,3)</f>
        <v>12.14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11.72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222.68</v>
      </c>
      <c r="M3" s="18" t="s">
        <v>10</v>
      </c>
      <c r="N3" s="3"/>
      <c r="O3" s="3"/>
      <c r="P3" s="129" t="str">
        <f>+'(1)'!C1&amp;"년"&amp;'(1)'!E1&amp;"월"&amp;C1&amp;"일"</f>
        <v>2022년7월19일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12761.772000000001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8026.5559999999996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18772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350000</v>
      </c>
      <c r="L5" s="2"/>
      <c r="M5" s="20"/>
      <c r="N5" s="45" t="str">
        <f>+C4</f>
        <v>판매량</v>
      </c>
      <c r="O5" s="46">
        <f>SUM(D4+I4+D17+I17+D35+I35)</f>
        <v>20788.328000000001</v>
      </c>
      <c r="P5" s="47" t="str">
        <f>+E4</f>
        <v>입금액</v>
      </c>
      <c r="Q5" s="48">
        <f>SUM(F4+K4+F17+K17+F35+K35)</f>
        <v>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267.59800000000001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7000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705000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267.59800000000001</v>
      </c>
      <c r="P7" s="51" t="str">
        <f t="shared" ref="P7:P14" si="5">+E6</f>
        <v>천원권</v>
      </c>
      <c r="Q7" s="53">
        <f>SUM(F6+K6+F19+K19+F37+K37)</f>
        <v>10000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14058670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23000246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23000246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309.90100000000001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44.56</v>
      </c>
      <c r="J10" s="42" t="str">
        <f t="shared" si="3"/>
        <v>OK케시백</v>
      </c>
      <c r="K10" s="44">
        <v>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-10846.535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-1559.6000000000001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354.46100000000001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57763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-12406.135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14482395.305000002</v>
      </c>
      <c r="E13" s="29" t="str">
        <f>+'(1)'!E13</f>
        <v>합계</v>
      </c>
      <c r="F13" s="61">
        <f>SUM(F4:F12)</f>
        <v>14479433</v>
      </c>
      <c r="G13" s="62"/>
      <c r="H13" s="29" t="str">
        <f t="shared" si="2"/>
        <v>합계</v>
      </c>
      <c r="I13" s="60">
        <f>SUM((I4-I5-I6-I7-I8-I9)*$E$1+I11)</f>
        <v>9309245.3599999994</v>
      </c>
      <c r="J13" s="29" t="str">
        <f t="shared" si="3"/>
        <v>합계</v>
      </c>
      <c r="K13" s="61">
        <f>IF(K8=0,0,SUM(K4:K12)-F8)</f>
        <v>9308576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57763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-2962.3050000015646</v>
      </c>
      <c r="G14" s="27"/>
      <c r="H14" s="27"/>
      <c r="I14" s="27"/>
      <c r="J14" s="27"/>
      <c r="K14" s="67">
        <f>SUM(K13-I13)</f>
        <v>-669.35999999940395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23791640.664999999</v>
      </c>
      <c r="P14" s="39" t="str">
        <f t="shared" si="5"/>
        <v>합계</v>
      </c>
      <c r="Q14" s="69">
        <f>SUM(Q5:Q13)</f>
        <v>23788009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-3631.6650000009686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13</v>
      </c>
      <c r="Q23" s="53">
        <f>SUM(P23*1000)</f>
        <v>13000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98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164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15811</v>
      </c>
      <c r="P29" s="107">
        <v>15813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5" workbookViewId="0">
      <selection activeCell="L8" sqref="L8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9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9" style="85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41</v>
      </c>
      <c r="E1" s="103">
        <f>+'(1)'!I1</f>
        <v>1160</v>
      </c>
      <c r="F1" s="27"/>
      <c r="G1" s="27"/>
      <c r="H1" s="27"/>
      <c r="I1" s="27"/>
      <c r="J1" s="27"/>
      <c r="K1" s="27"/>
      <c r="L1" s="31">
        <f>+ROUND(+O5*0.584/1000,3)</f>
        <v>11.189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14.151</v>
      </c>
      <c r="M2" s="27" t="s">
        <v>7</v>
      </c>
      <c r="N2" s="117" t="s">
        <v>42</v>
      </c>
      <c r="O2" s="117"/>
      <c r="P2" s="117"/>
      <c r="Q2" s="117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28.302</v>
      </c>
      <c r="M3" s="27" t="s">
        <v>10</v>
      </c>
      <c r="N3" s="32"/>
      <c r="O3" s="32"/>
      <c r="P3" s="116" t="str">
        <f>+'(1)'!C1&amp;"년"&amp;'(1)'!E1&amp;"월"&amp;C1&amp;"일"</f>
        <v>2022년7월2일</v>
      </c>
      <c r="Q3" s="116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11040.013000000001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8119.1019999999999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40829</v>
      </c>
      <c r="S4" s="41" t="s">
        <v>43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365000</v>
      </c>
      <c r="L5" s="37"/>
      <c r="M5" s="86"/>
      <c r="N5" s="45" t="str">
        <f>+C4</f>
        <v>판매량</v>
      </c>
      <c r="O5" s="46">
        <f>SUM(D4+I4+D17+I17+D35+I35)</f>
        <v>19159.115000000002</v>
      </c>
      <c r="P5" s="47" t="str">
        <f>+E4</f>
        <v>입금액</v>
      </c>
      <c r="Q5" s="48">
        <f>SUM(F4+K4+F17+K17+F35+K35)</f>
        <v>0</v>
      </c>
      <c r="R5" s="49">
        <v>25</v>
      </c>
      <c r="S5" s="41" t="s">
        <v>44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178.98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710000</v>
      </c>
      <c r="R6" s="49">
        <v>2.5</v>
      </c>
      <c r="S6" s="41" t="s">
        <v>45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178.98</v>
      </c>
      <c r="P7" s="51" t="str">
        <f t="shared" ref="P7:P14" si="5">+E6</f>
        <v>천원권</v>
      </c>
      <c r="Q7" s="53">
        <f>SUM(F6+K6+F19+K19+F37+K37)</f>
        <v>4000</v>
      </c>
      <c r="R7" s="40" t="s">
        <v>50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12218571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21271685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21271685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54.886000000000003</v>
      </c>
      <c r="E10" s="42" t="str">
        <f>+'(1)'!E10</f>
        <v>OK케시백</v>
      </c>
      <c r="F10" s="44">
        <v>5000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-1921.01</v>
      </c>
      <c r="E11" s="42" t="str">
        <f>+'(1)'!E11</f>
        <v>모바일</v>
      </c>
      <c r="F11" s="44">
        <v>25000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37"/>
      <c r="M11" s="86"/>
      <c r="N11" s="51" t="str">
        <f t="shared" si="4"/>
        <v>고객우대</v>
      </c>
      <c r="O11" s="54">
        <f>SUM(D10+I10+D23+I23+D41+I41)</f>
        <v>54.886000000000003</v>
      </c>
      <c r="P11" s="51" t="str">
        <f t="shared" si="5"/>
        <v>OK케시백</v>
      </c>
      <c r="Q11" s="53">
        <f>SUM(F10+K10+F23+K23+F41+K41)</f>
        <v>5000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-1921.01</v>
      </c>
      <c r="P12" s="51" t="str">
        <f t="shared" si="5"/>
        <v>모바일</v>
      </c>
      <c r="Q12" s="53">
        <f>SUM(F11+K11+F24+K24+F42+K42)</f>
        <v>25000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12596877.270000001</v>
      </c>
      <c r="E13" s="29" t="str">
        <f>+'(1)'!E13</f>
        <v>합계</v>
      </c>
      <c r="F13" s="61">
        <f>SUM(F4:F12)</f>
        <v>12597571</v>
      </c>
      <c r="G13" s="62"/>
      <c r="H13" s="29" t="str">
        <f t="shared" si="2"/>
        <v>합계</v>
      </c>
      <c r="I13" s="60">
        <f>SUM((I4-I5-I6-I7-I8-I9)*$E$1+I11)</f>
        <v>9418158.3200000003</v>
      </c>
      <c r="J13" s="29" t="str">
        <f t="shared" si="3"/>
        <v>합계</v>
      </c>
      <c r="K13" s="61">
        <f>IF(K8=0,0,SUM(K4:K12)-F8)</f>
        <v>9418114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693.72999999858439</v>
      </c>
      <c r="G14" s="27"/>
      <c r="H14" s="27"/>
      <c r="I14" s="27"/>
      <c r="J14" s="27"/>
      <c r="K14" s="67">
        <f>SUM(K13-I13)</f>
        <v>-44.320000000298023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22015035.59</v>
      </c>
      <c r="P14" s="39" t="str">
        <f t="shared" si="5"/>
        <v>합계</v>
      </c>
      <c r="Q14" s="69">
        <f>SUM(Q5:Q13)</f>
        <v>22015685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649.40999999828637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17</v>
      </c>
      <c r="Q19" s="48">
        <f>SUM(P19*1000)</f>
        <v>17000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17</v>
      </c>
      <c r="Q20" s="53">
        <f>SUM(P20*1000)</f>
        <v>17000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13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3</v>
      </c>
      <c r="Q22" s="53">
        <f>SUM(P22*1000)</f>
        <v>3000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12</v>
      </c>
      <c r="Q23" s="53">
        <f>SUM(P23*1000)</f>
        <v>12000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10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68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140</v>
      </c>
      <c r="Q26" s="69">
        <f>SUM(Q19:Q25)</f>
        <v>49000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12" t="s">
        <v>54</v>
      </c>
      <c r="O28" s="104" t="s">
        <v>55</v>
      </c>
      <c r="P28" s="104" t="s">
        <v>56</v>
      </c>
      <c r="Q28" s="105" t="s">
        <v>57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3"/>
      <c r="O29" s="106">
        <v>15756</v>
      </c>
      <c r="P29" s="107">
        <v>15766</v>
      </c>
      <c r="Q29" s="108">
        <f>P29-O29</f>
        <v>10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1160</v>
      </c>
      <c r="F1" s="1"/>
      <c r="G1" s="1"/>
      <c r="H1" s="1"/>
      <c r="I1" s="1"/>
      <c r="J1" s="1"/>
      <c r="K1" s="1"/>
      <c r="L1" s="22">
        <f>+ROUND(+O5*0.584/1000,3)</f>
        <v>11.242000000000001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11.696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233.92</v>
      </c>
      <c r="M3" s="18" t="s">
        <v>10</v>
      </c>
      <c r="N3" s="3"/>
      <c r="O3" s="3"/>
      <c r="P3" s="129" t="str">
        <f>+'(1)'!C1&amp;"년"&amp;'(1)'!E1&amp;"월"&amp;C1&amp;"일"</f>
        <v>2022년7월20일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11156.485000000001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8093.9160000000002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35431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19250.401000000002</v>
      </c>
      <c r="P5" s="47" t="str">
        <f>+E4</f>
        <v>입금액</v>
      </c>
      <c r="Q5" s="48">
        <f>SUM(F4+K4+F17+K17+F35+K35)</f>
        <v>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325.839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22.202999999999999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365000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348.04199999999997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12388797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21515246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21515246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357.267</v>
      </c>
      <c r="E10" s="42" t="str">
        <f>+'(1)'!E10</f>
        <v>OK케시백</v>
      </c>
      <c r="F10" s="44">
        <v>15700</v>
      </c>
      <c r="G10" s="27"/>
      <c r="H10" s="42" t="str">
        <f t="shared" si="2"/>
        <v>고객우대</v>
      </c>
      <c r="I10" s="50">
        <v>63.97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-12504.344999999999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-2238.9499999999998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421.23699999999997</v>
      </c>
      <c r="P11" s="51" t="str">
        <f t="shared" si="5"/>
        <v>OK케시백</v>
      </c>
      <c r="Q11" s="53">
        <f>SUM(F10+K10+F23+K23+F41+K41)</f>
        <v>15700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-14743.294999999998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12551045.015000001</v>
      </c>
      <c r="E13" s="29" t="str">
        <f>+'(1)'!E13</f>
        <v>합계</v>
      </c>
      <c r="F13" s="61">
        <f>SUM(F4:F12)</f>
        <v>12551497</v>
      </c>
      <c r="G13" s="62"/>
      <c r="H13" s="29" t="str">
        <f t="shared" si="2"/>
        <v>합계</v>
      </c>
      <c r="I13" s="60">
        <f>SUM((I4-I5-I6-I7-I8-I9)*$E$1+I11)</f>
        <v>9360948.1300000008</v>
      </c>
      <c r="J13" s="29" t="str">
        <f t="shared" si="3"/>
        <v>합계</v>
      </c>
      <c r="K13" s="61">
        <f>IF(K8=0,0,SUM(K4:K12)-F8)</f>
        <v>9361449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451.98499999940395</v>
      </c>
      <c r="G14" s="27"/>
      <c r="H14" s="27"/>
      <c r="I14" s="27"/>
      <c r="J14" s="27"/>
      <c r="K14" s="67">
        <f>SUM(K13-I13)</f>
        <v>500.86999999918044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21911993.145</v>
      </c>
      <c r="P14" s="39" t="str">
        <f t="shared" si="5"/>
        <v>합계</v>
      </c>
      <c r="Q14" s="69">
        <f>SUM(Q5:Q13)</f>
        <v>21912946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952.85499999858439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10</v>
      </c>
      <c r="Q23" s="53">
        <f>SUM(P23*1000)</f>
        <v>10000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60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113</v>
      </c>
      <c r="Q26" s="69">
        <f>SUM(Q19:Q25)</f>
        <v>36000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15813</v>
      </c>
      <c r="P29" s="107">
        <v>15813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28" sqref="L2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1160</v>
      </c>
      <c r="F1" s="1"/>
      <c r="G1" s="1"/>
      <c r="H1" s="1"/>
      <c r="I1" s="1"/>
      <c r="J1" s="1"/>
      <c r="K1" s="1"/>
      <c r="L1" s="22">
        <f>+ROUND(+O5*0.584/1000,3)</f>
        <v>12.628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11.74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246.54</v>
      </c>
      <c r="M3" s="18" t="s">
        <v>10</v>
      </c>
      <c r="N3" s="3"/>
      <c r="O3" s="3"/>
      <c r="P3" s="129" t="str">
        <f>+'(1)'!C1&amp;"년"&amp;'(1)'!E1&amp;"월"&amp;C1&amp;"일"</f>
        <v>2022년7월21일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12488.2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9134.5540000000001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12523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385000</v>
      </c>
      <c r="L5" s="2"/>
      <c r="M5" s="20"/>
      <c r="N5" s="45" t="str">
        <f>+C4</f>
        <v>판매량</v>
      </c>
      <c r="O5" s="46">
        <f>SUM(D4+I4+D17+I17+D35+I35)</f>
        <v>21622.754000000001</v>
      </c>
      <c r="P5" s="47" t="str">
        <f>+E4</f>
        <v>입금액</v>
      </c>
      <c r="Q5" s="48">
        <f>SUM(F4+K4+F17+K17+F35+K35)</f>
        <v>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372.54599999999999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21.704999999999998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394.25099999999998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13785205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23957317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23957317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321.31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122.312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-11245.85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-4280.92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443.62200000000001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-15526.77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14042912.790000001</v>
      </c>
      <c r="E13" s="29" t="str">
        <f>+'(1)'!E13</f>
        <v>합계</v>
      </c>
      <c r="F13" s="61">
        <f>SUM(F4:F12)</f>
        <v>14042205</v>
      </c>
      <c r="G13" s="62"/>
      <c r="H13" s="29" t="str">
        <f t="shared" si="2"/>
        <v>합계</v>
      </c>
      <c r="I13" s="60">
        <f>SUM((I4-I5-I6-I7-I8-I9)*$E$1+I11)</f>
        <v>10566623.92</v>
      </c>
      <c r="J13" s="29" t="str">
        <f t="shared" si="3"/>
        <v>합계</v>
      </c>
      <c r="K13" s="61">
        <f>IF(K8=0,0,SUM(K4:K12)-F8)</f>
        <v>10566112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-707.79000000096858</v>
      </c>
      <c r="G14" s="27"/>
      <c r="H14" s="27"/>
      <c r="I14" s="27"/>
      <c r="J14" s="27"/>
      <c r="K14" s="67">
        <f>SUM(K13-I13)</f>
        <v>-511.91999999992549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24609536.710000001</v>
      </c>
      <c r="P14" s="39" t="str">
        <f t="shared" si="5"/>
        <v>합계</v>
      </c>
      <c r="Q14" s="69">
        <f>SUM(Q5:Q13)</f>
        <v>24608317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-1219.7100000008941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12</v>
      </c>
      <c r="Q20" s="53">
        <f>SUM(P20*1000)</f>
        <v>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42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87</v>
      </c>
      <c r="Q26" s="69">
        <f>SUM(Q19:Q25)</f>
        <v>31000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15813</v>
      </c>
      <c r="P29" s="107">
        <v>15816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1160</v>
      </c>
      <c r="F1" s="1"/>
      <c r="G1" s="1"/>
      <c r="H1" s="1"/>
      <c r="I1" s="1"/>
      <c r="J1" s="1"/>
      <c r="K1" s="1"/>
      <c r="L1" s="22">
        <f>+ROUND(+O5*0.584/1000,3)</f>
        <v>12.855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11.791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259.40199999999999</v>
      </c>
      <c r="M3" s="18" t="s">
        <v>10</v>
      </c>
      <c r="N3" s="3"/>
      <c r="O3" s="3"/>
      <c r="P3" s="129" t="str">
        <f>+'(1)'!C1&amp;"년"&amp;'(1)'!E1&amp;"월"&amp;C1&amp;"일"</f>
        <v>2022년7월22일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13451.677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8559.6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26294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475000</v>
      </c>
      <c r="L5" s="2"/>
      <c r="M5" s="20"/>
      <c r="N5" s="45" t="str">
        <f>+C4</f>
        <v>판매량</v>
      </c>
      <c r="O5" s="46">
        <f>SUM(D4+I4+D17+I17+D35+I35)</f>
        <v>22011.277000000002</v>
      </c>
      <c r="P5" s="47" t="str">
        <f>+E4</f>
        <v>입금액</v>
      </c>
      <c r="Q5" s="48">
        <f>SUM(F4+K4+F17+K17+F35+K35)</f>
        <v>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261.548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905000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261.548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14842677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24280077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24280077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359.44799999999998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42.835999999999999</v>
      </c>
      <c r="J10" s="42" t="str">
        <f t="shared" si="3"/>
        <v>OK케시백</v>
      </c>
      <c r="K10" s="44">
        <v>15000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-12580.679999999998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-1499.26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402.28399999999999</v>
      </c>
      <c r="P11" s="51" t="str">
        <f t="shared" si="5"/>
        <v>OK케시백</v>
      </c>
      <c r="Q11" s="53">
        <f>SUM(F10+K10+F23+K23+F41+K41)</f>
        <v>15000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-14079.94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15287968.959999999</v>
      </c>
      <c r="E13" s="29" t="str">
        <f>+'(1)'!E13</f>
        <v>합계</v>
      </c>
      <c r="F13" s="61">
        <f>SUM(F4:F12)</f>
        <v>15289677</v>
      </c>
      <c r="G13" s="62"/>
      <c r="H13" s="29" t="str">
        <f t="shared" si="2"/>
        <v>합계</v>
      </c>
      <c r="I13" s="60">
        <f>SUM((I4-I5-I6-I7-I8-I9)*$E$1+I11)</f>
        <v>9927636.7400000002</v>
      </c>
      <c r="J13" s="29" t="str">
        <f t="shared" si="3"/>
        <v>합계</v>
      </c>
      <c r="K13" s="61">
        <f>IF(K8=0,0,SUM(K4:K12)-F8)</f>
        <v>9927400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1708.0400000009686</v>
      </c>
      <c r="G14" s="27"/>
      <c r="H14" s="27"/>
      <c r="I14" s="27"/>
      <c r="J14" s="27"/>
      <c r="K14" s="67">
        <f>SUM(K13-I13)</f>
        <v>-236.74000000022352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25215605.700000003</v>
      </c>
      <c r="P14" s="39" t="str">
        <f t="shared" si="5"/>
        <v>합계</v>
      </c>
      <c r="Q14" s="69">
        <f>SUM(Q5:Q13)</f>
        <v>25217077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1471.3000000007451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20</v>
      </c>
      <c r="Q20" s="53">
        <f>SUM(P20*1000)</f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139</v>
      </c>
      <c r="Q26" s="69">
        <f>SUM(Q19:Q25)</f>
        <v>44000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15816</v>
      </c>
      <c r="P29" s="107">
        <v>15818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1" sqref="F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1160</v>
      </c>
      <c r="F1" s="1"/>
      <c r="G1" s="1"/>
      <c r="H1" s="1"/>
      <c r="I1" s="1"/>
      <c r="J1" s="1"/>
      <c r="K1" s="1"/>
      <c r="L1" s="22">
        <f>+ROUND(+O5*0.584/1000,3)</f>
        <v>9.9719999999999995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11.712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269.37599999999998</v>
      </c>
      <c r="M3" s="18" t="s">
        <v>10</v>
      </c>
      <c r="N3" s="3"/>
      <c r="O3" s="3"/>
      <c r="P3" s="129" t="str">
        <f>+'(1)'!C1&amp;"년"&amp;'(1)'!E1&amp;"월"&amp;C1&amp;"일"</f>
        <v>2022년7월23일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10844.62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6230.9989999999998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44942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315000</v>
      </c>
      <c r="L5" s="2"/>
      <c r="M5" s="20"/>
      <c r="N5" s="45" t="str">
        <f>+C4</f>
        <v>판매량</v>
      </c>
      <c r="O5" s="46">
        <f>SUM(D4+I4+D17+I17+D35+I35)</f>
        <v>17075.618999999999</v>
      </c>
      <c r="P5" s="47" t="str">
        <f>+E4</f>
        <v>입금액</v>
      </c>
      <c r="Q5" s="48">
        <f>SUM(F4+K4+F17+K17+F35+K35)</f>
        <v>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178.72</v>
      </c>
      <c r="E6" s="42" t="str">
        <f>+'(1)'!E6</f>
        <v>천원권</v>
      </c>
      <c r="F6" s="44">
        <v>5000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610000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178.72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12050653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18959915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18959915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109.536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60.645000000000003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-3833.76</v>
      </c>
      <c r="E11" s="42" t="str">
        <f>+'(1)'!E11</f>
        <v>모바일</v>
      </c>
      <c r="F11" s="44">
        <v>14000</v>
      </c>
      <c r="G11" s="27"/>
      <c r="H11" s="87" t="str">
        <f t="shared" si="2"/>
        <v>-</v>
      </c>
      <c r="I11" s="55">
        <f>SUM(I10*-35)</f>
        <v>-2122.5750000000003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170.18100000000001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-5956.335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12368610.240000002</v>
      </c>
      <c r="E13" s="29" t="str">
        <f>+'(1)'!E13</f>
        <v>합계</v>
      </c>
      <c r="F13" s="61">
        <f>SUM(F4:F12)</f>
        <v>12368653</v>
      </c>
      <c r="G13" s="62"/>
      <c r="H13" s="29" t="str">
        <f t="shared" si="2"/>
        <v>합계</v>
      </c>
      <c r="I13" s="60">
        <f>SUM((I4-I5-I6-I7-I8-I9)*$E$1+I11)</f>
        <v>7225836.2649999997</v>
      </c>
      <c r="J13" s="29" t="str">
        <f t="shared" si="3"/>
        <v>합계</v>
      </c>
      <c r="K13" s="61">
        <f>IF(K8=0,0,SUM(K4:K12)-F8)</f>
        <v>7225262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42.759999997913837</v>
      </c>
      <c r="G14" s="27"/>
      <c r="H14" s="27"/>
      <c r="I14" s="27"/>
      <c r="J14" s="27"/>
      <c r="K14" s="67">
        <f>SUM(K13-I13)</f>
        <v>-574.26499999966472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19594446.504999995</v>
      </c>
      <c r="P14" s="39" t="str">
        <f t="shared" si="5"/>
        <v>합계</v>
      </c>
      <c r="Q14" s="69">
        <f>SUM(Q5:Q13)</f>
        <v>19593915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-531.50500000175089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5</v>
      </c>
      <c r="Q23" s="53">
        <f>SUM(P23*1000)</f>
        <v>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46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87</v>
      </c>
      <c r="Q26" s="69">
        <f>SUM(Q19:Q25)</f>
        <v>35000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15818</v>
      </c>
      <c r="P29" s="107">
        <v>15820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9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1160</v>
      </c>
      <c r="F1" s="1"/>
      <c r="G1" s="1"/>
      <c r="H1" s="1"/>
      <c r="I1" s="1"/>
      <c r="J1" s="1"/>
      <c r="K1" s="1"/>
      <c r="L1" s="22">
        <f>+ROUND(+O5*0.584/1000,3)</f>
        <v>8.6880000000000006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11.586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278.06400000000002</v>
      </c>
      <c r="M3" s="18" t="s">
        <v>10</v>
      </c>
      <c r="N3" s="3"/>
      <c r="O3" s="3"/>
      <c r="P3" s="129" t="str">
        <f>+'(1)'!C1&amp;"년"&amp;'(1)'!E1&amp;"월"&amp;C1&amp;"일"</f>
        <v>2022년7월24일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8801.5939999999991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6074.4660000000003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28738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340000</v>
      </c>
      <c r="L5" s="2"/>
      <c r="M5" s="20"/>
      <c r="N5" s="45" t="str">
        <f>+C4</f>
        <v>판매량</v>
      </c>
      <c r="O5" s="46">
        <f>SUM(D4+I4+D17+I17+D35+I35)</f>
        <v>14876.06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14.43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585000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14.43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9927534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16600086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16600086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58.720999999999997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>
        <v>58.279000000000003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-2055.2349999999997</v>
      </c>
      <c r="E11" s="42" t="str">
        <f>+'(1)'!E11</f>
        <v>모바일</v>
      </c>
      <c r="F11" s="44">
        <v>33000</v>
      </c>
      <c r="G11" s="27"/>
      <c r="H11" s="87" t="str">
        <f t="shared" si="2"/>
        <v>-</v>
      </c>
      <c r="I11" s="55">
        <f>SUM(I10*-35)</f>
        <v>-2039.7650000000001</v>
      </c>
      <c r="J11" s="42" t="str">
        <f t="shared" si="3"/>
        <v>모바일</v>
      </c>
      <c r="K11" s="44">
        <v>15000</v>
      </c>
      <c r="L11" s="2"/>
      <c r="M11" s="20"/>
      <c r="N11" s="51" t="str">
        <f t="shared" si="4"/>
        <v>고객우대</v>
      </c>
      <c r="O11" s="54">
        <f>SUM(D10+I10+D23+I23+D41+I41)</f>
        <v>117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-4095</v>
      </c>
      <c r="P12" s="51" t="str">
        <f t="shared" si="5"/>
        <v>모바일</v>
      </c>
      <c r="Q12" s="53">
        <f>SUM(F11+K11+F24+K24+F42+K42)</f>
        <v>48000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10207793.805</v>
      </c>
      <c r="E13" s="29" t="str">
        <f>+'(1)'!E13</f>
        <v>합계</v>
      </c>
      <c r="F13" s="61">
        <f>SUM(F4:F12)</f>
        <v>10208534</v>
      </c>
      <c r="G13" s="62"/>
      <c r="H13" s="29" t="str">
        <f t="shared" si="2"/>
        <v>합계</v>
      </c>
      <c r="I13" s="60">
        <f>SUM((I4-I5-I6-I7-I8-I9)*$E$1+I11)</f>
        <v>7027601.9950000001</v>
      </c>
      <c r="J13" s="29" t="str">
        <f t="shared" si="3"/>
        <v>합계</v>
      </c>
      <c r="K13" s="61">
        <f>IF(K8=0,0,SUM(K4:K12)-F8)</f>
        <v>7027552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740.19500000029802</v>
      </c>
      <c r="G14" s="27"/>
      <c r="H14" s="27"/>
      <c r="I14" s="27"/>
      <c r="J14" s="27"/>
      <c r="K14" s="67">
        <f>SUM(K13-I13)</f>
        <v>-49.995000000111759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17235395.800000001</v>
      </c>
      <c r="P14" s="39" t="str">
        <f t="shared" si="5"/>
        <v>합계</v>
      </c>
      <c r="Q14" s="69">
        <f>SUM(Q5:Q13)</f>
        <v>17236086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690.20000000018626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54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103</v>
      </c>
      <c r="Q26" s="69">
        <f>SUM(Q19:Q25)</f>
        <v>41000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15820</v>
      </c>
      <c r="P29" s="107">
        <v>15824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1160</v>
      </c>
      <c r="F1" s="1"/>
      <c r="G1" s="1"/>
      <c r="H1" s="1"/>
      <c r="I1" s="1"/>
      <c r="J1" s="1"/>
      <c r="K1" s="1"/>
      <c r="L1" s="22">
        <f>+ROUND(+O5*0.584/1000,3)</f>
        <v>12.42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11.619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290.47500000000002</v>
      </c>
      <c r="M3" s="18" t="s">
        <v>10</v>
      </c>
      <c r="N3" s="3"/>
      <c r="O3" s="3"/>
      <c r="P3" s="129" t="str">
        <f>+'(1)'!C1&amp;"년"&amp;'(1)'!E1&amp;"월"&amp;C1&amp;"일"</f>
        <v>2022년7월25일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13375.436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7890.9459999999999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43020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545000</v>
      </c>
      <c r="L5" s="2"/>
      <c r="M5" s="20"/>
      <c r="N5" s="45" t="str">
        <f>+C4</f>
        <v>판매량</v>
      </c>
      <c r="O5" s="46">
        <f>SUM(D4+I4+D17+I17+D35+I35)</f>
        <v>21266.381999999998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336.96300000000002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16.571000000000002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925000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353.53400000000005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43.195999999999998</v>
      </c>
      <c r="E8" s="42" t="str">
        <f>+'(1)'!E8</f>
        <v>신용카드</v>
      </c>
      <c r="F8" s="44">
        <v>14657025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23213077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43.195999999999998</v>
      </c>
      <c r="P9" s="51" t="str">
        <f t="shared" si="5"/>
        <v>신용카드</v>
      </c>
      <c r="Q9" s="53">
        <f>IF(K8=0,F8,IF(F21=0,K8,IF(K21=0,F21,K21)))</f>
        <v>23213077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325.81099999999998</v>
      </c>
      <c r="E10" s="42" t="str">
        <f>+'(1)'!E10</f>
        <v>OK케시백</v>
      </c>
      <c r="F10" s="44">
        <v>13614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27779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-11403.384999999998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325.81099999999998</v>
      </c>
      <c r="P11" s="51" t="str">
        <f t="shared" si="5"/>
        <v>OK케시백</v>
      </c>
      <c r="Q11" s="53">
        <f>SUM(F10+K10+F23+K23+F41+K41)</f>
        <v>41393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-11403.384999999998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15063117.935000001</v>
      </c>
      <c r="E13" s="29" t="str">
        <f>+'(1)'!E13</f>
        <v>합계</v>
      </c>
      <c r="F13" s="61">
        <f>SUM(F4:F12)</f>
        <v>15064639</v>
      </c>
      <c r="G13" s="62"/>
      <c r="H13" s="29" t="str">
        <f t="shared" si="2"/>
        <v>합계</v>
      </c>
      <c r="I13" s="60">
        <f>SUM((I4-I5-I6-I7-I8-I9)*$E$1+I11)</f>
        <v>9134275</v>
      </c>
      <c r="J13" s="29" t="str">
        <f t="shared" si="3"/>
        <v>합계</v>
      </c>
      <c r="K13" s="61">
        <f>IF(K8=0,0,SUM(K4:K12)-F8)</f>
        <v>9133831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1521.0649999994785</v>
      </c>
      <c r="G14" s="27"/>
      <c r="H14" s="27"/>
      <c r="I14" s="27"/>
      <c r="J14" s="27"/>
      <c r="K14" s="67">
        <f>SUM(K13-I13)</f>
        <v>-444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24197392.934999995</v>
      </c>
      <c r="P14" s="39" t="str">
        <f t="shared" si="5"/>
        <v>합계</v>
      </c>
      <c r="Q14" s="69">
        <f>SUM(Q5:Q13)</f>
        <v>24198470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1077.0649999994785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99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196</v>
      </c>
      <c r="Q26" s="69">
        <f>SUM(Q19:Q25)</f>
        <v>70000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15824</v>
      </c>
      <c r="P29" s="107">
        <v>15829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1160</v>
      </c>
      <c r="F1" s="1"/>
      <c r="G1" s="1"/>
      <c r="H1" s="1"/>
      <c r="I1" s="1"/>
      <c r="J1" s="1"/>
      <c r="K1" s="1"/>
      <c r="L1" s="22">
        <f>+ROUND(+O5*0.584/1000,3)</f>
        <v>12.207000000000001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11.641999999999999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302.69200000000001</v>
      </c>
      <c r="M3" s="18" t="s">
        <v>10</v>
      </c>
      <c r="N3" s="3"/>
      <c r="O3" s="3"/>
      <c r="P3" s="129" t="str">
        <f>+'(1)'!C1&amp;"년"&amp;'(1)'!E1&amp;"월"&amp;C1&amp;"일"</f>
        <v>2022년7월26일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12790.134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8111.6940000000004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20339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245000</v>
      </c>
      <c r="L5" s="2"/>
      <c r="M5" s="20"/>
      <c r="N5" s="45" t="str">
        <f>+C4</f>
        <v>판매량</v>
      </c>
      <c r="O5" s="46">
        <f>SUM(D4+I4+D17+I17+D35+I35)</f>
        <v>20901.828000000001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307.50400000000002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15.935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385000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323.43900000000002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14266732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23407523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23407523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121.104</v>
      </c>
      <c r="E10" s="42" t="str">
        <f>+'(1)'!E10</f>
        <v>OK케시백</v>
      </c>
      <c r="F10" s="44">
        <v>23635</v>
      </c>
      <c r="G10" s="27"/>
      <c r="H10" s="42" t="str">
        <f t="shared" si="2"/>
        <v>고객우대</v>
      </c>
      <c r="I10" s="50">
        <v>105.34399999999999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-4238.6400000000003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-3687.04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226.44799999999998</v>
      </c>
      <c r="P11" s="51" t="str">
        <f t="shared" si="5"/>
        <v>OK케시백</v>
      </c>
      <c r="Q11" s="53">
        <f>SUM(F10+K10+F23+K23+F41+K41)</f>
        <v>23635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35600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-7925.6799999999994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14475612.159999998</v>
      </c>
      <c r="E13" s="29" t="str">
        <f>+'(1)'!E13</f>
        <v>합계</v>
      </c>
      <c r="F13" s="61">
        <f>SUM(F4:F12)</f>
        <v>14475967</v>
      </c>
      <c r="G13" s="62"/>
      <c r="H13" s="29" t="str">
        <f t="shared" si="2"/>
        <v>합계</v>
      </c>
      <c r="I13" s="60">
        <f>SUM((I4-I5-I6-I7-I8-I9)*$E$1+I11)</f>
        <v>9387393.4000000004</v>
      </c>
      <c r="J13" s="29" t="str">
        <f t="shared" si="3"/>
        <v>합계</v>
      </c>
      <c r="K13" s="61">
        <f>IF(K8=0,0,SUM(K4:K12)-F8)</f>
        <v>9386791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35600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354.84000000171363</v>
      </c>
      <c r="G14" s="27"/>
      <c r="H14" s="27"/>
      <c r="I14" s="27"/>
      <c r="J14" s="27"/>
      <c r="K14" s="67">
        <f>SUM(K13-I13)</f>
        <v>-602.40000000037253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23863005.560000002</v>
      </c>
      <c r="P14" s="39" t="str">
        <f t="shared" si="5"/>
        <v>합계</v>
      </c>
      <c r="Q14" s="69">
        <f>SUM(Q5:Q13)</f>
        <v>23862758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-247.5599999986589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68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120</v>
      </c>
      <c r="Q26" s="69">
        <f>SUM(Q19:Q25)</f>
        <v>45000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15829</v>
      </c>
      <c r="P29" s="107">
        <v>15833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1160</v>
      </c>
      <c r="F1" s="1"/>
      <c r="G1" s="1"/>
      <c r="H1" s="1"/>
      <c r="I1" s="1"/>
      <c r="J1" s="1"/>
      <c r="K1" s="1"/>
      <c r="L1" s="22">
        <f>+ROUND(+O5*0.584/1000,3)</f>
        <v>12.262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11.664999999999999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314.95499999999998</v>
      </c>
      <c r="M3" s="18" t="s">
        <v>10</v>
      </c>
      <c r="N3" s="3"/>
      <c r="O3" s="3"/>
      <c r="P3" s="129" t="str">
        <f>+'(1)'!C1&amp;"년"&amp;'(1)'!E1&amp;"월"&amp;C1&amp;"일"</f>
        <v>2022년7월27일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11922.52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9074.5490000000009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34596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380000</v>
      </c>
      <c r="L5" s="2"/>
      <c r="M5" s="20"/>
      <c r="N5" s="45" t="str">
        <f>+C4</f>
        <v>판매량</v>
      </c>
      <c r="O5" s="46">
        <f>SUM(D4+I4+D17+I17+D35+I35)</f>
        <v>20997.069000000003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269.41899999999998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575000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269.41899999999998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13254441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23302679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23302679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338.88099999999997</v>
      </c>
      <c r="E10" s="42" t="str">
        <f>+'(1)'!E10</f>
        <v>OK케시백</v>
      </c>
      <c r="F10" s="44">
        <v>52000</v>
      </c>
      <c r="G10" s="27"/>
      <c r="H10" s="42" t="str">
        <f t="shared" si="2"/>
        <v>고객우대</v>
      </c>
      <c r="I10" s="50">
        <v>46.813000000000002</v>
      </c>
      <c r="J10" s="42" t="str">
        <f t="shared" si="3"/>
        <v>OK케시백</v>
      </c>
      <c r="K10" s="44">
        <v>34535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-11860.834999999999</v>
      </c>
      <c r="E11" s="42" t="str">
        <f>+'(1)'!E11</f>
        <v>모바일</v>
      </c>
      <c r="F11" s="44">
        <v>3000</v>
      </c>
      <c r="G11" s="27"/>
      <c r="H11" s="87" t="str">
        <f t="shared" si="2"/>
        <v>-</v>
      </c>
      <c r="I11" s="55">
        <f>SUM(I10*-35)</f>
        <v>-1638.4550000000002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385.69399999999996</v>
      </c>
      <c r="P11" s="51" t="str">
        <f t="shared" si="5"/>
        <v>OK케시백</v>
      </c>
      <c r="Q11" s="53">
        <f>SUM(F10+K10+F23+K23+F41+K41)</f>
        <v>86535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60473</v>
      </c>
      <c r="L12" s="2"/>
      <c r="M12" s="20"/>
      <c r="N12" s="51" t="str">
        <f t="shared" si="4"/>
        <v>-</v>
      </c>
      <c r="O12" s="55">
        <f>SUM(O11*-35)</f>
        <v>-13499.289999999999</v>
      </c>
      <c r="P12" s="51" t="str">
        <f t="shared" si="5"/>
        <v>모바일</v>
      </c>
      <c r="Q12" s="53">
        <f>SUM(F11+K11+F24+K24+F42+K42)</f>
        <v>3000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13505736.324999999</v>
      </c>
      <c r="E13" s="29" t="str">
        <f>+'(1)'!E13</f>
        <v>합계</v>
      </c>
      <c r="F13" s="61">
        <f>SUM(F4:F12)</f>
        <v>13506441</v>
      </c>
      <c r="G13" s="62"/>
      <c r="H13" s="29" t="str">
        <f t="shared" si="2"/>
        <v>합계</v>
      </c>
      <c r="I13" s="60">
        <f>SUM((I4-I5-I6-I7-I8-I9)*$E$1+I11)</f>
        <v>10524838.385000002</v>
      </c>
      <c r="J13" s="29" t="str">
        <f t="shared" si="3"/>
        <v>합계</v>
      </c>
      <c r="K13" s="61">
        <f>IF(K8=0,0,SUM(K4:K12)-F8)</f>
        <v>10524246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60473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704.67500000074506</v>
      </c>
      <c r="G14" s="27"/>
      <c r="H14" s="27"/>
      <c r="I14" s="27"/>
      <c r="J14" s="27"/>
      <c r="K14" s="67">
        <f>SUM(K13-I13)</f>
        <v>-592.38500000163913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24030574.710000001</v>
      </c>
      <c r="P14" s="39" t="str">
        <f t="shared" si="5"/>
        <v>합계</v>
      </c>
      <c r="Q14" s="69">
        <f>SUM(Q5:Q13)</f>
        <v>24030687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112.28999999910593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68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138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15833</v>
      </c>
      <c r="P29" s="107">
        <v>15836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1160</v>
      </c>
      <c r="F1" s="1"/>
      <c r="G1" s="1"/>
      <c r="H1" s="1"/>
      <c r="I1" s="1"/>
      <c r="J1" s="1"/>
      <c r="K1" s="1"/>
      <c r="L1" s="22">
        <f>+ROUND(+O5*0.584/1000,3)</f>
        <v>13.023999999999999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11.714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327.99200000000002</v>
      </c>
      <c r="M3" s="18" t="s">
        <v>10</v>
      </c>
      <c r="N3" s="3"/>
      <c r="O3" s="3"/>
      <c r="P3" s="129" t="str">
        <f>+'(1)'!C1&amp;"년"&amp;'(1)'!E1&amp;"월"&amp;C1&amp;"일"</f>
        <v>2022년7월28일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13194.349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9107.1990000000005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48153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220000</v>
      </c>
      <c r="L5" s="2"/>
      <c r="M5" s="20"/>
      <c r="N5" s="45" t="str">
        <f>+C4</f>
        <v>판매량</v>
      </c>
      <c r="O5" s="46">
        <f>SUM(D4+I4+D17+I17+D35+I35)</f>
        <v>22301.548000000003</v>
      </c>
      <c r="P5" s="47" t="str">
        <f>+E4</f>
        <v>입금액</v>
      </c>
      <c r="Q5" s="48">
        <f>SUM(F4+K4+F17+K17+F35+K35)</f>
        <v>0</v>
      </c>
      <c r="R5" s="7">
        <v>37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311.55399999999997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47.002000000000002</v>
      </c>
      <c r="J6" s="42" t="str">
        <f t="shared" ref="J6:J13" si="3">+E6</f>
        <v>천원권</v>
      </c>
      <c r="K6" s="44">
        <v>7000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605000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358.55599999999998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14468972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24720206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24720206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207.33199999999999</v>
      </c>
      <c r="E10" s="42" t="str">
        <f>+'(1)'!E10</f>
        <v>OK케시백</v>
      </c>
      <c r="F10" s="44">
        <v>72307</v>
      </c>
      <c r="G10" s="27"/>
      <c r="H10" s="42" t="str">
        <f t="shared" si="2"/>
        <v>고객우대</v>
      </c>
      <c r="I10" s="50">
        <v>41.244</v>
      </c>
      <c r="J10" s="42" t="str">
        <f t="shared" si="3"/>
        <v>OK케시백</v>
      </c>
      <c r="K10" s="44">
        <v>29500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-7256.62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-1443.54</v>
      </c>
      <c r="J11" s="42" t="str">
        <f t="shared" si="3"/>
        <v>모바일</v>
      </c>
      <c r="K11" s="44">
        <v>0</v>
      </c>
      <c r="L11" s="2"/>
      <c r="M11" s="20"/>
      <c r="N11" s="51" t="str">
        <f t="shared" si="4"/>
        <v>고객우대</v>
      </c>
      <c r="O11" s="54">
        <f>SUM(D10+I10+D23+I23+D41+I41)</f>
        <v>248.57599999999999</v>
      </c>
      <c r="P11" s="51" t="str">
        <f t="shared" si="5"/>
        <v>OK케시백</v>
      </c>
      <c r="Q11" s="53">
        <f>SUM(F10+K10+F23+K23+F41+K41)</f>
        <v>101807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-8700.16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14936785.58</v>
      </c>
      <c r="E13" s="29" t="str">
        <f>+'(1)'!E13</f>
        <v>합계</v>
      </c>
      <c r="F13" s="61">
        <f>SUM(F4:F12)</f>
        <v>14937279</v>
      </c>
      <c r="G13" s="62"/>
      <c r="H13" s="29" t="str">
        <f t="shared" si="2"/>
        <v>합계</v>
      </c>
      <c r="I13" s="60">
        <f>SUM((I4-I5-I6-I7-I8-I9)*$E$1+I11)</f>
        <v>10508384.98</v>
      </c>
      <c r="J13" s="29" t="str">
        <f t="shared" si="3"/>
        <v>합계</v>
      </c>
      <c r="K13" s="61">
        <f>IF(K8=0,0,SUM(K4:K12)-F8)</f>
        <v>10507734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493.41999999992549</v>
      </c>
      <c r="G14" s="27"/>
      <c r="H14" s="27"/>
      <c r="I14" s="27"/>
      <c r="J14" s="27"/>
      <c r="K14" s="67">
        <f>SUM(K13-I13)</f>
        <v>-650.98000000044703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25445170.560000002</v>
      </c>
      <c r="P14" s="39" t="str">
        <f t="shared" si="5"/>
        <v>합계</v>
      </c>
      <c r="Q14" s="69">
        <f>SUM(Q5:Q13)</f>
        <v>25445013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-157.56000000052154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14</v>
      </c>
      <c r="Q19" s="48"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21</v>
      </c>
      <c r="Q20" s="53"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17</v>
      </c>
      <c r="Q23" s="53">
        <f>SUM(P23*1000)</f>
        <v>17000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157</v>
      </c>
      <c r="Q26" s="69">
        <f>SUM(Q19:Q25)</f>
        <v>56000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15836</v>
      </c>
      <c r="P29" s="107">
        <v>15840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1160</v>
      </c>
      <c r="F1" s="1"/>
      <c r="G1" s="1"/>
      <c r="H1" s="1"/>
      <c r="I1" s="1"/>
      <c r="J1" s="1"/>
      <c r="K1" s="1"/>
      <c r="L1" s="22">
        <f>+ROUND(+O5*0.584/1000,3)</f>
        <v>12.971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11.757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340.95299999999997</v>
      </c>
      <c r="M3" s="18" t="s">
        <v>10</v>
      </c>
      <c r="N3" s="3"/>
      <c r="O3" s="3"/>
      <c r="P3" s="129" t="str">
        <f>+'(1)'!C1&amp;"년"&amp;'(1)'!E1&amp;"월"&amp;C1&amp;"일"</f>
        <v>2022년7월29일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12895.159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9314.6830000000009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24965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350000</v>
      </c>
      <c r="L5" s="2"/>
      <c r="M5" s="20"/>
      <c r="N5" s="45" t="str">
        <f>+C4</f>
        <v>판매량</v>
      </c>
      <c r="O5" s="46">
        <f>SUM(D4+I4+D17+I17+D35+I35)</f>
        <v>22209.842000000001</v>
      </c>
      <c r="P5" s="47" t="str">
        <f>+E4</f>
        <v>입금액</v>
      </c>
      <c r="Q5" s="48">
        <f>SUM(F4+K4+F17+K17+F35+K35)</f>
        <v>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173.12799999999999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6000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700000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173.12799999999999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14333107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24702898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24702898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47.823999999999998</v>
      </c>
      <c r="E10" s="42" t="str">
        <f>+'(1)'!E10</f>
        <v>OK케시백</v>
      </c>
      <c r="F10" s="44">
        <v>62390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86742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-1673.84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47.823999999999998</v>
      </c>
      <c r="P11" s="51" t="str">
        <f t="shared" si="5"/>
        <v>OK케시백</v>
      </c>
      <c r="Q11" s="53">
        <f>SUM(F10+K10+F23+K23+F41+K41)</f>
        <v>149132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-1673.84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14755882.119999999</v>
      </c>
      <c r="E13" s="29" t="str">
        <f>+'(1)'!E13</f>
        <v>합계</v>
      </c>
      <c r="F13" s="61">
        <f>SUM(F4:F12)</f>
        <v>14756497</v>
      </c>
      <c r="G13" s="62"/>
      <c r="H13" s="29" t="str">
        <f t="shared" si="2"/>
        <v>합계</v>
      </c>
      <c r="I13" s="60">
        <f>SUM((I4-I5-I6-I7-I8-I9)*$E$1+I11)</f>
        <v>10805032.280000001</v>
      </c>
      <c r="J13" s="29" t="str">
        <f t="shared" si="3"/>
        <v>합계</v>
      </c>
      <c r="K13" s="61">
        <f>IF(K8=0,0,SUM(K4:K12)-F8)</f>
        <v>10817533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614.88000000081956</v>
      </c>
      <c r="G14" s="27"/>
      <c r="H14" s="27"/>
      <c r="I14" s="27"/>
      <c r="J14" s="27"/>
      <c r="K14" s="67">
        <f>SUM(K13-I13)</f>
        <v>12500.719999998808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25560914.399999999</v>
      </c>
      <c r="P14" s="39" t="str">
        <f t="shared" si="5"/>
        <v>합계</v>
      </c>
      <c r="Q14" s="69">
        <f>SUM(Q5:Q13)</f>
        <v>25574030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13115.599999999627</v>
      </c>
      <c r="R15" s="110" t="s">
        <v>61</v>
      </c>
      <c r="S15" s="111"/>
      <c r="T15" s="11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9</v>
      </c>
      <c r="Q23" s="53">
        <f>SUM(P23*1000)</f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92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151</v>
      </c>
      <c r="Q26" s="69">
        <f>SUM(Q19:Q25)</f>
        <v>41000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15840</v>
      </c>
      <c r="P29" s="107">
        <v>15843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9" style="10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1160</v>
      </c>
      <c r="F1" s="1"/>
      <c r="G1" s="1"/>
      <c r="H1" s="1"/>
      <c r="I1" s="1"/>
      <c r="J1" s="1"/>
      <c r="K1" s="1"/>
      <c r="L1" s="21">
        <f>+ROUND(+O5*0.584/1000,3)</f>
        <v>8.4109999999999996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12.238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36.713999999999999</v>
      </c>
      <c r="M3" s="18" t="s">
        <v>10</v>
      </c>
      <c r="N3" s="3"/>
      <c r="O3" s="3"/>
      <c r="P3" s="129" t="str">
        <f>+'(1)'!C1&amp;"년"&amp;'(1)'!E1&amp;"월"&amp;C1&amp;"일"</f>
        <v>2022년7월3일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8374.0280000000002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6027.5969999999998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25573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240000</v>
      </c>
      <c r="L5" s="2"/>
      <c r="M5" s="20"/>
      <c r="N5" s="45" t="str">
        <f>+C4</f>
        <v>판매량</v>
      </c>
      <c r="O5" s="46">
        <f>SUM(D4+I4+D17+I17+D35+I35)</f>
        <v>14401.625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29.113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24.783000000000001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53.896000000000001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50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9374045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16095147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16095147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218.703</v>
      </c>
      <c r="E10" s="42" t="str">
        <f>+'(1)'!E10</f>
        <v>OK케시백</v>
      </c>
      <c r="F10" s="44">
        <v>46203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-7654.6050000000005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218.703</v>
      </c>
      <c r="P11" s="51" t="str">
        <f t="shared" si="5"/>
        <v>OK케시백</v>
      </c>
      <c r="Q11" s="53">
        <f>SUM(F10+K10+F23+K23+F41+K41)</f>
        <v>46203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-7654.6050000000005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9672446.7949999999</v>
      </c>
      <c r="E13" s="29" t="str">
        <f>+'(1)'!E13</f>
        <v>합계</v>
      </c>
      <c r="F13" s="61">
        <f>SUM(F4:F12)</f>
        <v>9672248</v>
      </c>
      <c r="G13" s="62"/>
      <c r="H13" s="29" t="str">
        <f t="shared" si="2"/>
        <v>합계</v>
      </c>
      <c r="I13" s="60">
        <f>SUM((I4-I5-I6-I7-I8-I9)*$E$1+I11)</f>
        <v>6963264.2399999993</v>
      </c>
      <c r="J13" s="29" t="str">
        <f t="shared" si="3"/>
        <v>합계</v>
      </c>
      <c r="K13" s="61">
        <f>IF(K8=0,0,SUM(K4:K12)-F8)</f>
        <v>6963102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-198.79499999992549</v>
      </c>
      <c r="G14" s="27"/>
      <c r="H14" s="27"/>
      <c r="I14" s="27"/>
      <c r="J14" s="27"/>
      <c r="K14" s="67">
        <f>SUM(K13-I13)</f>
        <v>-162.23999999929219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16635711.034999998</v>
      </c>
      <c r="P14" s="39" t="str">
        <f t="shared" si="5"/>
        <v>합계</v>
      </c>
      <c r="Q14" s="69">
        <f>SUM(Q5:Q13)</f>
        <v>16635350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-361.03499999921769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10</v>
      </c>
      <c r="Q23" s="53">
        <f>SUM(P23*1000)</f>
        <v>10000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99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152</v>
      </c>
      <c r="Q26" s="69">
        <f>SUM(Q19:Q25)</f>
        <v>47000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15766</v>
      </c>
      <c r="P29" s="107">
        <v>15772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D4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1160</v>
      </c>
      <c r="F1" s="1"/>
      <c r="G1" s="1"/>
      <c r="H1" s="1"/>
      <c r="I1" s="1"/>
      <c r="J1" s="1"/>
      <c r="K1" s="1"/>
      <c r="L1" s="22">
        <f>+ROUND(+O5*0.584/1000,3)</f>
        <v>11.063000000000001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11.734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352.02</v>
      </c>
      <c r="M3" s="18" t="s">
        <v>10</v>
      </c>
      <c r="N3" s="3"/>
      <c r="O3" s="3"/>
      <c r="P3" s="129" t="str">
        <f>+'(1)'!C1&amp;"년"&amp;'(1)'!E1&amp;"월"&amp;C1&amp;"일"</f>
        <v>2022년7월30일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11009.673000000001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7934.4719999999998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22444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270000</v>
      </c>
      <c r="L5" s="2"/>
      <c r="M5" s="20"/>
      <c r="N5" s="45" t="str">
        <f>+C4</f>
        <v>판매량</v>
      </c>
      <c r="O5" s="46">
        <f>SUM(D4+I4+D17+I17+D35+I35)</f>
        <v>18944.145</v>
      </c>
      <c r="P5" s="47" t="str">
        <f>+E4</f>
        <v>입금액</v>
      </c>
      <c r="Q5" s="48">
        <f>SUM(F4+K4+F17+K17+F35+K35)</f>
        <v>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106.83499999999999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465000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106.83499999999999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12353381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21249209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21249209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79015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24000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4000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103015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12647292.080000002</v>
      </c>
      <c r="E13" s="29" t="str">
        <f>+'(1)'!E13</f>
        <v>합계</v>
      </c>
      <c r="F13" s="61">
        <f>SUM(F4:F12)</f>
        <v>12631396</v>
      </c>
      <c r="G13" s="62"/>
      <c r="H13" s="29" t="str">
        <f t="shared" si="2"/>
        <v>합계</v>
      </c>
      <c r="I13" s="60">
        <f>SUM((I4-I5-I6-I7-I8-I9)*$E$1+I11)</f>
        <v>9203987.5199999996</v>
      </c>
      <c r="J13" s="29" t="str">
        <f t="shared" si="3"/>
        <v>합계</v>
      </c>
      <c r="K13" s="61">
        <f>IF(K8=0,0,SUM(K4:K12)-F8)</f>
        <v>9203828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-15896.080000001937</v>
      </c>
      <c r="G14" s="27"/>
      <c r="H14" s="27"/>
      <c r="I14" s="27"/>
      <c r="J14" s="27"/>
      <c r="K14" s="67">
        <f>SUM(K13-I13)</f>
        <v>-159.51999999955297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21851279.600000001</v>
      </c>
      <c r="P14" s="39" t="str">
        <f t="shared" si="5"/>
        <v>합계</v>
      </c>
      <c r="Q14" s="69">
        <f>SUM(Q5:Q13)</f>
        <v>21835224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-16055.60000000149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144</v>
      </c>
      <c r="Q26" s="69">
        <f>SUM(Q19:Q25)</f>
        <v>51000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15843</v>
      </c>
      <c r="P29" s="107">
        <v>15845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1160</v>
      </c>
      <c r="F1" s="1"/>
      <c r="G1" s="1"/>
      <c r="H1" s="1"/>
      <c r="I1" s="1"/>
      <c r="J1" s="1"/>
      <c r="K1" s="1"/>
      <c r="L1" s="22">
        <f>+ROUND(+O5*0.584/1000,3)</f>
        <v>4.5129999999999999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11.500999999999999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356.53100000000001</v>
      </c>
      <c r="M3" s="18" t="s">
        <v>10</v>
      </c>
      <c r="N3" s="3"/>
      <c r="O3" s="3"/>
      <c r="P3" s="129" t="str">
        <f>+'(1)'!C1&amp;"년"&amp;'(1)'!E1&amp;"월"&amp;C1&amp;"일"</f>
        <v>2022년7월31일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7095.2839999999997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633.28599999999994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14346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90000</v>
      </c>
      <c r="L5" s="2"/>
      <c r="M5" s="20"/>
      <c r="N5" s="45" t="str">
        <f>+C4</f>
        <v>판매량</v>
      </c>
      <c r="O5" s="46">
        <f>SUM(D4+I4+D17+I17+D35+I35)</f>
        <v>7728.57</v>
      </c>
      <c r="P5" s="47" t="str">
        <f>+E4</f>
        <v>입금액</v>
      </c>
      <c r="Q5" s="48">
        <f>SUM(F4+K4+F17+K17+F35+K35)</f>
        <v>0</v>
      </c>
      <c r="R5" s="7">
        <v>37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165000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8081543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8720662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8720662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62796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62796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8230529.4399999995</v>
      </c>
      <c r="E13" s="29" t="str">
        <f>+'(1)'!E13</f>
        <v>합계</v>
      </c>
      <c r="F13" s="61">
        <f>SUM(F4:F12)</f>
        <v>8230339</v>
      </c>
      <c r="G13" s="62"/>
      <c r="H13" s="29" t="str">
        <f t="shared" si="2"/>
        <v>합계</v>
      </c>
      <c r="I13" s="60">
        <f>SUM((I4-I5-I6-I7-I8-I9)*$E$1+I11)</f>
        <v>734611.75999999989</v>
      </c>
      <c r="J13" s="29" t="str">
        <f t="shared" si="3"/>
        <v>합계</v>
      </c>
      <c r="K13" s="61">
        <f>IF(K8=0,0,SUM(K4:K12)-F8)</f>
        <v>735119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-190.43999999947846</v>
      </c>
      <c r="G14" s="27"/>
      <c r="H14" s="27"/>
      <c r="I14" s="27"/>
      <c r="J14" s="27"/>
      <c r="K14" s="67">
        <f>SUM(K13-I13)</f>
        <v>507.2400000001071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8965141.1999999993</v>
      </c>
      <c r="P14" s="39" t="str">
        <f t="shared" si="5"/>
        <v>합계</v>
      </c>
      <c r="Q14" s="69">
        <f>SUM(Q5:Q13)</f>
        <v>8965458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316.80000000062864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</v>
      </c>
      <c r="Q23" s="53">
        <f>SUM(P23*1000)</f>
        <v>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20</v>
      </c>
      <c r="Q26" s="69">
        <f>SUM(Q19:Q25)</f>
        <v>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15845</v>
      </c>
      <c r="P29" s="107">
        <v>15845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12" sqref="K1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1160</v>
      </c>
      <c r="F1" s="1"/>
      <c r="G1" s="1"/>
      <c r="H1" s="1"/>
      <c r="I1" s="1"/>
      <c r="J1" s="1"/>
      <c r="K1" s="1"/>
      <c r="L1" s="21">
        <f>+ROUND(+O5*0.584/1000,3)</f>
        <v>12.234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12.237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48.948</v>
      </c>
      <c r="M3" s="18" t="s">
        <v>10</v>
      </c>
      <c r="N3" s="3"/>
      <c r="O3" s="3"/>
      <c r="P3" s="129" t="str">
        <f>+'(1)'!C1&amp;"년"&amp;'(1)'!E1&amp;"월"&amp;C1&amp;"일"</f>
        <v>2022년7월4일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12738.800999999999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8210.402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40183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20949.203000000001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247.626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16.707000000000001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360000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264.33300000000003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44.536000000000001</v>
      </c>
      <c r="E8" s="42" t="str">
        <f>+'(1)'!E8</f>
        <v>신용카드</v>
      </c>
      <c r="F8" s="44">
        <v>14131778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23479891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44.536000000000001</v>
      </c>
      <c r="P9" s="51" t="str">
        <f t="shared" si="5"/>
        <v>신용카드</v>
      </c>
      <c r="Q9" s="53">
        <f>IF(K8=0,F8,IF(F21=0,K8,IF(K21=0,F21,K21)))</f>
        <v>23479891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229.435</v>
      </c>
      <c r="E10" s="42" t="str">
        <f>+'(1)'!E10</f>
        <v>OK케시백</v>
      </c>
      <c r="F10" s="44">
        <v>11000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-8030.2250000000004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229.435</v>
      </c>
      <c r="P11" s="51" t="str">
        <f t="shared" si="5"/>
        <v>OK케시백</v>
      </c>
      <c r="Q11" s="53">
        <f>SUM(F10+K10+F23+K23+F41+K41)</f>
        <v>11000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66914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-8030.2250000000004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14430071.014999999</v>
      </c>
      <c r="E13" s="29" t="str">
        <f>+'(1)'!E13</f>
        <v>합계</v>
      </c>
      <c r="F13" s="61">
        <f>SUM(F4:F12)</f>
        <v>14429692</v>
      </c>
      <c r="G13" s="62"/>
      <c r="H13" s="29" t="str">
        <f t="shared" si="2"/>
        <v>합계</v>
      </c>
      <c r="I13" s="60">
        <f>SUM((I4-I5-I6-I7-I8-I9)*$E$1+I11)</f>
        <v>9504686.1999999993</v>
      </c>
      <c r="J13" s="29" t="str">
        <f t="shared" si="3"/>
        <v>합계</v>
      </c>
      <c r="K13" s="61">
        <f>IF(K8=0,0,SUM(K4:K12)-F8)</f>
        <v>9504113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66914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-379.0149999987334</v>
      </c>
      <c r="G14" s="27"/>
      <c r="H14" s="27"/>
      <c r="I14" s="27"/>
      <c r="J14" s="27"/>
      <c r="K14" s="67">
        <f>SUM(K13-I13)</f>
        <v>-573.19999999925494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23934757.215</v>
      </c>
      <c r="P14" s="39" t="str">
        <f t="shared" si="5"/>
        <v>합계</v>
      </c>
      <c r="Q14" s="69">
        <f>SUM(Q5:Q13)</f>
        <v>23933805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-952.21499999798834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19</v>
      </c>
      <c r="Q23" s="53">
        <f>SUM(P23*1000)</f>
        <v>19000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159</v>
      </c>
      <c r="Q26" s="69">
        <f>SUM(Q19:Q25)</f>
        <v>55000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15772</v>
      </c>
      <c r="P29" s="107">
        <v>15774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1160</v>
      </c>
      <c r="F1" s="1"/>
      <c r="G1" s="1"/>
      <c r="H1" s="1"/>
      <c r="I1" s="101"/>
      <c r="J1" s="1"/>
      <c r="K1" s="1"/>
      <c r="L1" s="21">
        <f>+ROUND(+O5*0.584/1000,3)</f>
        <v>12.205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12.231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61.155000000000001</v>
      </c>
      <c r="M3" s="18" t="s">
        <v>10</v>
      </c>
      <c r="N3" s="3"/>
      <c r="O3" s="3"/>
      <c r="P3" s="129" t="str">
        <f>+'(1)'!C1&amp;"년"&amp;'(1)'!E1&amp;"월"&amp;C1&amp;"일"</f>
        <v>2022년7월5일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12486.234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8413.4760000000006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17770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165000</v>
      </c>
      <c r="L5" s="2"/>
      <c r="M5" s="20"/>
      <c r="N5" s="45" t="str">
        <f>+C4</f>
        <v>판매량</v>
      </c>
      <c r="O5" s="46">
        <f>SUM(D4+I4+D17+I17+D35+I35)</f>
        <v>20899.71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359.15899999999999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32.597999999999999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400000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391.75700000000001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13807533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23346093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23346093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384.584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105.899</v>
      </c>
      <c r="J10" s="42" t="str">
        <f t="shared" si="3"/>
        <v>OK케시백</v>
      </c>
      <c r="K10" s="44">
        <v>12000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-13460.44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-3706.4650000000001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490.483</v>
      </c>
      <c r="P11" s="51" t="str">
        <f t="shared" si="5"/>
        <v>OK케시백</v>
      </c>
      <c r="Q11" s="53">
        <f>SUM(F10+K10+F23+K23+F41+K41)</f>
        <v>18000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-17166.904999999999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14053946.560000001</v>
      </c>
      <c r="E13" s="29" t="str">
        <f>+'(1)'!E13</f>
        <v>합계</v>
      </c>
      <c r="F13" s="61">
        <f>SUM(F4:F12)</f>
        <v>14053533</v>
      </c>
      <c r="G13" s="62"/>
      <c r="H13" s="29" t="str">
        <f t="shared" si="2"/>
        <v>합계</v>
      </c>
      <c r="I13" s="60">
        <f>SUM((I4-I5-I6-I7-I8-I9)*$E$1+I11)</f>
        <v>9718112.0150000006</v>
      </c>
      <c r="J13" s="29" t="str">
        <f t="shared" si="3"/>
        <v>합계</v>
      </c>
      <c r="K13" s="61">
        <f>IF(K8=0,0,SUM(K4:K12)-F8)</f>
        <v>9717560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-413.56000000052154</v>
      </c>
      <c r="G14" s="27"/>
      <c r="H14" s="27"/>
      <c r="I14" s="27"/>
      <c r="J14" s="27"/>
      <c r="K14" s="67">
        <f>SUM(K13-I13)</f>
        <v>-552.01500000059605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23772058.574999996</v>
      </c>
      <c r="P14" s="39" t="str">
        <f t="shared" si="5"/>
        <v>합계</v>
      </c>
      <c r="Q14" s="69">
        <f>SUM(Q5:Q13)</f>
        <v>23771093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-965.57500000111759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20</v>
      </c>
      <c r="Q20" s="53"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145</v>
      </c>
      <c r="Q26" s="69">
        <f>SUM(Q19:Q25)</f>
        <v>57000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15774</v>
      </c>
      <c r="P29" s="107">
        <v>15779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1160</v>
      </c>
      <c r="F1" s="1"/>
      <c r="G1" s="1"/>
      <c r="H1" s="1"/>
      <c r="I1" s="1"/>
      <c r="J1" s="1"/>
      <c r="K1" s="1"/>
      <c r="L1" s="21">
        <f>+ROUND(+O5*0.584/1000,3)</f>
        <v>12.641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12.298999999999999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73.793999999999997</v>
      </c>
      <c r="M3" s="18" t="s">
        <v>10</v>
      </c>
      <c r="N3" s="3"/>
      <c r="O3" s="3"/>
      <c r="P3" s="129" t="str">
        <f>+'(1)'!C1&amp;"년"&amp;'(1)'!E1&amp;"월"&amp;C1&amp;"일"</f>
        <v>2022년7월6일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13005.636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8639.4369999999999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31767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170000</v>
      </c>
      <c r="L5" s="2"/>
      <c r="M5" s="20"/>
      <c r="N5" s="45" t="str">
        <f>+C4</f>
        <v>판매량</v>
      </c>
      <c r="O5" s="46">
        <f>SUM(D4+I4+D17+I17+D35+I35)</f>
        <v>21645.073</v>
      </c>
      <c r="P5" s="47" t="str">
        <f>+E4</f>
        <v>입금액</v>
      </c>
      <c r="Q5" s="48">
        <f>SUM(F4+K4+F17+K17+F35+K35)</f>
        <v>0</v>
      </c>
      <c r="R5" s="7">
        <v>35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379.322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16.405000000000001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530000</v>
      </c>
      <c r="R6" s="7">
        <v>3.3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395.72699999999998</v>
      </c>
      <c r="P7" s="51" t="str">
        <f t="shared" ref="P7:P14" si="5">+E6</f>
        <v>천원권</v>
      </c>
      <c r="Q7" s="53">
        <f>SUM(F6+K6+F19+K19+F37+K37)</f>
        <v>6000</v>
      </c>
      <c r="R7" s="5" t="s">
        <v>60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14247262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24072817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24072817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500.53800000000001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-17518.830000000002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500.53800000000001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-17518.830000000002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14629005.41</v>
      </c>
      <c r="E13" s="29" t="str">
        <f>+'(1)'!E13</f>
        <v>합계</v>
      </c>
      <c r="F13" s="61">
        <f>SUM(F4:F12)</f>
        <v>14630262</v>
      </c>
      <c r="G13" s="62"/>
      <c r="H13" s="29" t="str">
        <f t="shared" si="2"/>
        <v>합계</v>
      </c>
      <c r="I13" s="60">
        <f>SUM((I4-I5-I6-I7-I8-I9)*$E$1+I11)</f>
        <v>10002717.119999999</v>
      </c>
      <c r="J13" s="29" t="str">
        <f t="shared" si="3"/>
        <v>합계</v>
      </c>
      <c r="K13" s="61">
        <f>IF(K8=0,0,SUM(K4:K12)-F8)</f>
        <v>10002555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1256.589999999851</v>
      </c>
      <c r="G14" s="27"/>
      <c r="H14" s="27"/>
      <c r="I14" s="27"/>
      <c r="J14" s="27"/>
      <c r="K14" s="67">
        <f>SUM(K13-I13)</f>
        <v>-162.11999999918044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24631722.530000005</v>
      </c>
      <c r="P14" s="39" t="str">
        <f t="shared" si="5"/>
        <v>합계</v>
      </c>
      <c r="Q14" s="69">
        <f>SUM(Q5:Q13)</f>
        <v>24632817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1094.4700000006706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22</v>
      </c>
      <c r="Q23" s="53">
        <f>SUM(P23*1000)</f>
        <v>22000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152</v>
      </c>
      <c r="Q26" s="69">
        <f>SUM(Q19:Q25)</f>
        <v>58000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15779</v>
      </c>
      <c r="P29" s="107">
        <v>15779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1160</v>
      </c>
      <c r="F1" s="1"/>
      <c r="G1" s="1"/>
      <c r="H1" s="1"/>
      <c r="I1" s="1"/>
      <c r="J1" s="1"/>
      <c r="K1" s="1"/>
      <c r="L1" s="21">
        <f>+ROUND(+O5*0.584/1000,3)</f>
        <v>12.164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12.28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85.96</v>
      </c>
      <c r="M3" s="18" t="s">
        <v>10</v>
      </c>
      <c r="N3" s="3"/>
      <c r="O3" s="3"/>
      <c r="P3" s="129" t="str">
        <f>+'(1)'!C1&amp;"년"&amp;'(1)'!E1&amp;"월"&amp;C1&amp;"일"</f>
        <v>2022년7월7일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13015.272000000001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7813.1719999999996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46724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230000</v>
      </c>
      <c r="L5" s="2"/>
      <c r="M5" s="20"/>
      <c r="N5" s="45" t="str">
        <f>+C4</f>
        <v>판매량</v>
      </c>
      <c r="O5" s="46">
        <f>SUM(D4+I4+D17+I17+D35+I35)</f>
        <v>20828.444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345.83100000000002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505000</v>
      </c>
      <c r="R6" s="7">
        <v>3.1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345.83100000000002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14386388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23208099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23208099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278.09800000000001</v>
      </c>
      <c r="E10" s="42" t="str">
        <f>+'(1)'!E10</f>
        <v>OK케시백</v>
      </c>
      <c r="F10" s="44">
        <v>9036</v>
      </c>
      <c r="G10" s="27"/>
      <c r="H10" s="42" t="str">
        <f t="shared" si="2"/>
        <v>고객우대</v>
      </c>
      <c r="I10" s="50">
        <v>181.83699999999999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-9733.43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-6364.2950000000001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459.935</v>
      </c>
      <c r="P11" s="51" t="str">
        <f t="shared" si="5"/>
        <v>OK케시백</v>
      </c>
      <c r="Q11" s="53">
        <f>SUM(F10+K10+F23+K23+F41+K41)</f>
        <v>9036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-16097.725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14686818.130000001</v>
      </c>
      <c r="E13" s="29" t="str">
        <f>+'(1)'!E13</f>
        <v>합계</v>
      </c>
      <c r="F13" s="61">
        <f>SUM(F4:F12)</f>
        <v>14685424</v>
      </c>
      <c r="G13" s="62"/>
      <c r="H13" s="29" t="str">
        <f t="shared" si="2"/>
        <v>합계</v>
      </c>
      <c r="I13" s="60">
        <f>SUM((I4-I5-I6-I7-I8-I9)*$E$1+I11)</f>
        <v>9056915.2249999996</v>
      </c>
      <c r="J13" s="29" t="str">
        <f t="shared" si="3"/>
        <v>합계</v>
      </c>
      <c r="K13" s="61">
        <f>IF(K8=0,0,SUM(K4:K12)-F8)</f>
        <v>9056711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-1394.1300000008196</v>
      </c>
      <c r="G14" s="27"/>
      <c r="H14" s="27"/>
      <c r="I14" s="27"/>
      <c r="J14" s="27"/>
      <c r="K14" s="67">
        <f>SUM(K13-I13)</f>
        <v>-204.22499999962747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23743733.355</v>
      </c>
      <c r="P14" s="39" t="str">
        <f t="shared" si="5"/>
        <v>합계</v>
      </c>
      <c r="Q14" s="69">
        <f>SUM(Q5:Q13)</f>
        <v>23742135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-1598.355000000447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4</v>
      </c>
      <c r="Q20" s="53">
        <f>SUM(P20*1000)</f>
        <v>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9</v>
      </c>
      <c r="Q23" s="53">
        <f>SUM(P23*1000)</f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35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65</v>
      </c>
      <c r="Q26" s="69">
        <f>SUM(Q19:Q25)</f>
        <v>19000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15779</v>
      </c>
      <c r="P29" s="107">
        <v>15780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/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1160</v>
      </c>
      <c r="F1" s="1"/>
      <c r="G1" s="1"/>
      <c r="H1" s="1"/>
      <c r="I1" s="1"/>
      <c r="J1" s="1"/>
      <c r="K1" s="1"/>
      <c r="L1" s="22">
        <f>+ROUND(+O5*0.584/1000,3)</f>
        <v>12.874000000000001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12.353999999999999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98.831999999999994</v>
      </c>
      <c r="M3" s="18" t="s">
        <v>10</v>
      </c>
      <c r="N3" s="3"/>
      <c r="O3" s="3"/>
      <c r="P3" s="129" t="str">
        <f>+'(1)'!C1&amp;"년"&amp;'(1)'!E1&amp;"월"&amp;C1&amp;"일"</f>
        <v>2022년7월8일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13575.736999999999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8468.0370000000003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22845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205000</v>
      </c>
      <c r="L5" s="2"/>
      <c r="M5" s="20"/>
      <c r="N5" s="45" t="str">
        <f>+C4</f>
        <v>판매량</v>
      </c>
      <c r="O5" s="46">
        <f>SUM(D4+I4+D17+I17+D35+I35)</f>
        <v>22043.773999999998</v>
      </c>
      <c r="P5" s="47" t="str">
        <f>+E4</f>
        <v>입금액</v>
      </c>
      <c r="Q5" s="48">
        <f>SUM(F4+K4+F17+K17+F35+K35)</f>
        <v>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371.61099999999999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44.927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600000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416.53800000000001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14903947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24465557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24465557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346.572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69.057000000000002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-12130.02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-2416.9949999999999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415.62900000000002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-14547.015000000001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15304656.139999999</v>
      </c>
      <c r="E13" s="29" t="str">
        <f>+'(1)'!E13</f>
        <v>합계</v>
      </c>
      <c r="F13" s="61">
        <f>SUM(F4:F12)</f>
        <v>15303947</v>
      </c>
      <c r="G13" s="62"/>
      <c r="H13" s="29" t="str">
        <f t="shared" si="2"/>
        <v>합계</v>
      </c>
      <c r="I13" s="60">
        <f>SUM((I4-I5-I6-I7-I8-I9)*$E$1+I11)</f>
        <v>9768390.6050000023</v>
      </c>
      <c r="J13" s="29" t="str">
        <f t="shared" si="3"/>
        <v>합계</v>
      </c>
      <c r="K13" s="61">
        <f>IF(K8=0,0,SUM(K4:K12)-F8)</f>
        <v>9768610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-709.1399999987334</v>
      </c>
      <c r="G14" s="27"/>
      <c r="H14" s="27"/>
      <c r="I14" s="27"/>
      <c r="J14" s="27"/>
      <c r="K14" s="67">
        <f>SUM(K13-I13)</f>
        <v>219.39499999769032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25073046.744999997</v>
      </c>
      <c r="P14" s="39" t="str">
        <f t="shared" si="5"/>
        <v>합계</v>
      </c>
      <c r="Q14" s="69">
        <f>SUM(Q5:Q13)</f>
        <v>25072557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-489.74500000104308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13</v>
      </c>
      <c r="Q20" s="53">
        <f>SUM(P20*1000)</f>
        <v>13000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25</v>
      </c>
      <c r="Q23" s="53">
        <f>SUM(P23*1000)</f>
        <v>25000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165</v>
      </c>
      <c r="Q26" s="69">
        <f>SUM(Q19:Q25)</f>
        <v>54000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15780</v>
      </c>
      <c r="P29" s="107">
        <v>15781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O5" sqref="O5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1160</v>
      </c>
      <c r="F1" s="1"/>
      <c r="G1" s="1"/>
      <c r="H1" s="1"/>
      <c r="I1" s="1"/>
      <c r="J1" s="1"/>
      <c r="K1" s="1"/>
      <c r="L1" s="22">
        <f>+ROUND(+O5*0.584/1000,3)</f>
        <v>10.797000000000001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12.180999999999999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109.62899999999999</v>
      </c>
      <c r="M3" s="18" t="s">
        <v>10</v>
      </c>
      <c r="N3" s="3"/>
      <c r="O3" s="3"/>
      <c r="P3" s="129" t="str">
        <f>+'(1)'!C1&amp;"년"&amp;'(1)'!E1&amp;"월"&amp;C1&amp;"일"</f>
        <v>2022년7월9일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10637.678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7849.9040000000005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40962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105000</v>
      </c>
      <c r="L5" s="2"/>
      <c r="M5" s="20"/>
      <c r="N5" s="45" t="str">
        <f>+C4</f>
        <v>판매량</v>
      </c>
      <c r="O5" s="46">
        <f>SUM(D4+I4+D17+I17+D35+I35)</f>
        <v>18487.582000000002</v>
      </c>
      <c r="P5" s="47" t="str">
        <f>+E4</f>
        <v>입금액</v>
      </c>
      <c r="Q5" s="48">
        <f>SUM(F4+K4+F17+K17+F35+K35)</f>
        <v>0</v>
      </c>
      <c r="R5" s="7">
        <v>27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150.10300000000001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225000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150.10300000000001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12033014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20981610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20981610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106.809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-3738.3150000000001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50000</v>
      </c>
      <c r="L11" s="2"/>
      <c r="M11" s="20"/>
      <c r="N11" s="51" t="str">
        <f t="shared" si="4"/>
        <v>고객우대</v>
      </c>
      <c r="O11" s="54">
        <f>SUM(D10+I10+D23+I23+D41+I41)</f>
        <v>106.809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-3738.3150000000001</v>
      </c>
      <c r="P12" s="51" t="str">
        <f t="shared" si="5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12161848.685000001</v>
      </c>
      <c r="E13" s="29" t="str">
        <f>+'(1)'!E13</f>
        <v>합계</v>
      </c>
      <c r="F13" s="61">
        <f>SUM(F4:F12)</f>
        <v>12161014</v>
      </c>
      <c r="G13" s="62"/>
      <c r="H13" s="29" t="str">
        <f t="shared" si="2"/>
        <v>합계</v>
      </c>
      <c r="I13" s="60">
        <f>SUM((I4-I5-I6-I7-I8-I9)*$E$1+I11)</f>
        <v>9105888.6400000006</v>
      </c>
      <c r="J13" s="29" t="str">
        <f t="shared" si="3"/>
        <v>합계</v>
      </c>
      <c r="K13" s="61">
        <f>IF(K8=0,0,SUM(K4:K12)-F8)</f>
        <v>9107596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-834.68500000052154</v>
      </c>
      <c r="G14" s="27"/>
      <c r="H14" s="27"/>
      <c r="I14" s="27"/>
      <c r="J14" s="27"/>
      <c r="K14" s="67">
        <f>SUM(K13-I13)</f>
        <v>1707.359999999404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21267737.325000003</v>
      </c>
      <c r="P14" s="39" t="str">
        <f t="shared" si="5"/>
        <v>합계</v>
      </c>
      <c r="Q14" s="69">
        <f>SUM(Q5:Q13)</f>
        <v>21268610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872.67499999888241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4" t="s">
        <v>38</v>
      </c>
      <c r="O20" s="125"/>
      <c r="P20" s="74">
        <v>39</v>
      </c>
      <c r="Q20" s="53">
        <f>SUM(P20*1000)</f>
        <v>39000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10</v>
      </c>
      <c r="Q23" s="53">
        <f>SUM(P23*1000)</f>
        <v>10000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151</v>
      </c>
      <c r="Q26" s="69">
        <f>SUM(Q19:Q25)</f>
        <v>58000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15781</v>
      </c>
      <c r="P29" s="107">
        <v>15782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2022-07-31T15:12:41Z</dcterms:modified>
</cp:coreProperties>
</file>