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3" activeTab="29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calcPr calcId="144525"/>
</workbook>
</file>

<file path=xl/calcChain.xml><?xml version="1.0" encoding="utf-8"?>
<calcChain xmlns="http://schemas.openxmlformats.org/spreadsheetml/2006/main">
  <c r="Q24" i="139" l="1"/>
  <c r="F26" i="134" l="1"/>
  <c r="F27" i="134" s="1"/>
  <c r="Q15" i="134" s="1"/>
  <c r="Q9" i="134"/>
  <c r="Q9" i="1"/>
  <c r="E7" i="131" l="1"/>
  <c r="Q24" i="132" l="1"/>
  <c r="Q26" i="159" l="1"/>
  <c r="P25" i="159"/>
  <c r="Q23" i="159"/>
  <c r="Q22" i="159"/>
  <c r="Q21" i="159"/>
  <c r="Q20" i="159"/>
  <c r="Q19" i="159"/>
  <c r="P25" i="158"/>
  <c r="Q23" i="158"/>
  <c r="Q22" i="158"/>
  <c r="Q20" i="158"/>
  <c r="Q19" i="158"/>
  <c r="P25" i="157"/>
  <c r="Q23" i="157"/>
  <c r="Q22" i="157"/>
  <c r="Q20" i="157"/>
  <c r="Q19" i="157"/>
  <c r="P25" i="156"/>
  <c r="Q23" i="156"/>
  <c r="Q22" i="156"/>
  <c r="Q20" i="156"/>
  <c r="Q19" i="156"/>
  <c r="P25" i="155"/>
  <c r="Q23" i="155"/>
  <c r="Q22" i="155"/>
  <c r="Q20" i="155"/>
  <c r="Q19" i="155"/>
  <c r="P25" i="154"/>
  <c r="Q23" i="154"/>
  <c r="Q22" i="154"/>
  <c r="Q20" i="154"/>
  <c r="Q19" i="154"/>
  <c r="P25" i="153"/>
  <c r="Q23" i="153"/>
  <c r="Q22" i="153"/>
  <c r="Q20" i="153"/>
  <c r="Q19" i="153"/>
  <c r="P25" i="152"/>
  <c r="Q23" i="152"/>
  <c r="Q22" i="152"/>
  <c r="Q20" i="152"/>
  <c r="Q19" i="152"/>
  <c r="P25" i="151"/>
  <c r="Q23" i="151"/>
  <c r="Q22" i="151"/>
  <c r="Q20" i="151"/>
  <c r="Q19" i="151"/>
  <c r="P25" i="150"/>
  <c r="Q23" i="150"/>
  <c r="Q22" i="150"/>
  <c r="Q20" i="150"/>
  <c r="Q19" i="150"/>
  <c r="P25" i="149"/>
  <c r="Q23" i="149"/>
  <c r="Q22" i="149"/>
  <c r="Q20" i="149"/>
  <c r="Q19" i="149"/>
  <c r="P25" i="148"/>
  <c r="Q23" i="148"/>
  <c r="Q22" i="148"/>
  <c r="Q20" i="148"/>
  <c r="Q19" i="148"/>
  <c r="P25" i="147"/>
  <c r="Q23" i="147"/>
  <c r="Q22" i="147"/>
  <c r="Q20" i="147"/>
  <c r="Q19" i="147"/>
  <c r="P25" i="146"/>
  <c r="Q23" i="146"/>
  <c r="Q22" i="146"/>
  <c r="Q21" i="146"/>
  <c r="Q26" i="146" s="1"/>
  <c r="Q20" i="146"/>
  <c r="Q19" i="146"/>
  <c r="P25" i="145"/>
  <c r="Q23" i="145"/>
  <c r="Q22" i="145"/>
  <c r="Q20" i="145"/>
  <c r="Q19" i="145"/>
  <c r="P25" i="144"/>
  <c r="Q23" i="144"/>
  <c r="Q22" i="144"/>
  <c r="Q20" i="144"/>
  <c r="Q19" i="144"/>
  <c r="P25" i="143"/>
  <c r="Q23" i="143"/>
  <c r="Q22" i="143"/>
  <c r="Q20" i="143"/>
  <c r="Q19" i="143"/>
  <c r="P25" i="142"/>
  <c r="Q23" i="142"/>
  <c r="Q22" i="142"/>
  <c r="Q20" i="142"/>
  <c r="Q19" i="142"/>
  <c r="P25" i="141"/>
  <c r="Q23" i="141"/>
  <c r="Q22" i="141"/>
  <c r="Q20" i="141"/>
  <c r="Q19" i="141"/>
  <c r="P25" i="140"/>
  <c r="Q23" i="140"/>
  <c r="Q22" i="140"/>
  <c r="Q20" i="140"/>
  <c r="Q19" i="140"/>
  <c r="P25" i="139"/>
  <c r="Q23" i="139"/>
  <c r="Q22" i="139"/>
  <c r="Q21" i="139"/>
  <c r="Q20" i="139"/>
  <c r="Q19" i="139"/>
  <c r="P25" i="138"/>
  <c r="Q23" i="138"/>
  <c r="Q22" i="138"/>
  <c r="Q21" i="138"/>
  <c r="Q20" i="138"/>
  <c r="Q19" i="138"/>
  <c r="P25" i="137"/>
  <c r="Q23" i="137"/>
  <c r="Q22" i="137"/>
  <c r="Q20" i="137"/>
  <c r="Q19" i="137"/>
  <c r="P25" i="136"/>
  <c r="Q23" i="136"/>
  <c r="Q22" i="136"/>
  <c r="Q20" i="136"/>
  <c r="Q19" i="136"/>
  <c r="P25" i="135"/>
  <c r="Q23" i="135"/>
  <c r="Q22" i="135"/>
  <c r="Q20" i="135"/>
  <c r="Q19" i="135"/>
  <c r="Q26" i="134"/>
  <c r="P25" i="134"/>
  <c r="Q23" i="134"/>
  <c r="Q22" i="134"/>
  <c r="Q20" i="134"/>
  <c r="Q19" i="134"/>
  <c r="P25" i="133"/>
  <c r="Q23" i="133"/>
  <c r="Q22" i="133"/>
  <c r="Q21" i="133"/>
  <c r="Q20" i="133"/>
  <c r="Q19" i="133"/>
  <c r="Q26" i="133" s="1"/>
  <c r="P25" i="132"/>
  <c r="Q23" i="132"/>
  <c r="Q22" i="132"/>
  <c r="Q20" i="132"/>
  <c r="Q19" i="132"/>
  <c r="P25" i="131"/>
  <c r="Q23" i="131"/>
  <c r="Q22" i="131"/>
  <c r="Q20" i="131"/>
  <c r="Q19" i="131"/>
  <c r="P25" i="13"/>
  <c r="Q23" i="13"/>
  <c r="Q22" i="13"/>
  <c r="Q20" i="13"/>
  <c r="Q19" i="13"/>
  <c r="Q23" i="1"/>
  <c r="Q26" i="158" l="1"/>
  <c r="Q26" i="157"/>
  <c r="Q26" i="156"/>
  <c r="Q26" i="155"/>
  <c r="Q26" i="154"/>
  <c r="Q26" i="153"/>
  <c r="Q26" i="152"/>
  <c r="Q26" i="151"/>
  <c r="Q26" i="150"/>
  <c r="Q26" i="149"/>
  <c r="Q26" i="148"/>
  <c r="Q26" i="147"/>
  <c r="Q26" i="145"/>
  <c r="Q26" i="144"/>
  <c r="Q26" i="143"/>
  <c r="Q26" i="142"/>
  <c r="Q26" i="141"/>
  <c r="Q26" i="140"/>
  <c r="Q26" i="139"/>
  <c r="Q26" i="138"/>
  <c r="Q26" i="137"/>
  <c r="Q26" i="136"/>
  <c r="Q26" i="135"/>
  <c r="Q26" i="132"/>
  <c r="Q26" i="131"/>
  <c r="Q26" i="13"/>
  <c r="Q29" i="159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Q22" i="1" l="1"/>
  <c r="I24" i="159" l="1"/>
  <c r="H24" i="159"/>
  <c r="E24" i="159"/>
  <c r="D24" i="159"/>
  <c r="O12" i="159"/>
  <c r="I11" i="159"/>
  <c r="D11" i="159"/>
  <c r="I24" i="158"/>
  <c r="H24" i="158"/>
  <c r="E24" i="158"/>
  <c r="D24" i="158"/>
  <c r="I11" i="158"/>
  <c r="D11" i="158"/>
  <c r="I24" i="157"/>
  <c r="H24" i="157"/>
  <c r="E24" i="157"/>
  <c r="D24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D11" i="153"/>
  <c r="I24" i="152"/>
  <c r="H24" i="152"/>
  <c r="E24" i="152"/>
  <c r="D24" i="152"/>
  <c r="I11" i="152"/>
  <c r="D11" i="152"/>
  <c r="I24" i="151"/>
  <c r="H24" i="151"/>
  <c r="E24" i="151"/>
  <c r="D24" i="151"/>
  <c r="I11" i="151"/>
  <c r="D11" i="151"/>
  <c r="I24" i="150"/>
  <c r="H24" i="150"/>
  <c r="E24" i="150"/>
  <c r="D24" i="150"/>
  <c r="I11" i="150"/>
  <c r="D11" i="150"/>
  <c r="I24" i="149"/>
  <c r="H24" i="149"/>
  <c r="E24" i="149"/>
  <c r="D24" i="149"/>
  <c r="I11" i="149"/>
  <c r="D11" i="149"/>
  <c r="I24" i="148"/>
  <c r="H24" i="148"/>
  <c r="E24" i="148"/>
  <c r="D24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O12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I11" i="143"/>
  <c r="D11" i="143"/>
  <c r="I24" i="142"/>
  <c r="H24" i="142"/>
  <c r="E24" i="142"/>
  <c r="D24" i="142"/>
  <c r="I11" i="142"/>
  <c r="D11" i="142"/>
  <c r="I24" i="141"/>
  <c r="H24" i="141"/>
  <c r="E24" i="141"/>
  <c r="D24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O12" i="139"/>
  <c r="I11" i="139"/>
  <c r="D11" i="139"/>
  <c r="I24" i="138"/>
  <c r="H24" i="138"/>
  <c r="E24" i="138"/>
  <c r="D24" i="138"/>
  <c r="O12" i="138"/>
  <c r="I11" i="138"/>
  <c r="D11" i="138"/>
  <c r="I24" i="137"/>
  <c r="H24" i="137"/>
  <c r="E24" i="137"/>
  <c r="D24" i="137"/>
  <c r="O12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I11" i="135"/>
  <c r="D11" i="135"/>
  <c r="I24" i="134"/>
  <c r="H24" i="134"/>
  <c r="E24" i="134"/>
  <c r="D24" i="134"/>
  <c r="I11" i="134"/>
  <c r="D11" i="134"/>
  <c r="I24" i="133"/>
  <c r="H24" i="133"/>
  <c r="E24" i="133"/>
  <c r="D24" i="133"/>
  <c r="I11" i="133"/>
  <c r="D11" i="133"/>
  <c r="I24" i="132"/>
  <c r="H24" i="132"/>
  <c r="E24" i="132"/>
  <c r="D24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I24" i="1"/>
  <c r="D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H20" i="13"/>
  <c r="C20" i="13"/>
  <c r="J19" i="13"/>
  <c r="H19" i="13"/>
  <c r="E19" i="13"/>
  <c r="C19" i="13"/>
  <c r="J18" i="13"/>
  <c r="H18" i="13"/>
  <c r="E18" i="13"/>
  <c r="C18" i="13"/>
  <c r="J17" i="13"/>
  <c r="H17" i="13"/>
  <c r="E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J20" i="131"/>
  <c r="H20" i="131"/>
  <c r="E20" i="131"/>
  <c r="C20" i="131"/>
  <c r="J19" i="131"/>
  <c r="H19" i="131"/>
  <c r="E19" i="131"/>
  <c r="C19" i="131"/>
  <c r="J18" i="131"/>
  <c r="H18" i="131"/>
  <c r="E18" i="131"/>
  <c r="C18" i="131"/>
  <c r="J17" i="131"/>
  <c r="H17" i="131"/>
  <c r="E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H20" i="132"/>
  <c r="C20" i="132"/>
  <c r="J19" i="132"/>
  <c r="H19" i="132"/>
  <c r="E19" i="132"/>
  <c r="C19" i="132"/>
  <c r="J18" i="132"/>
  <c r="H18" i="132"/>
  <c r="E18" i="132"/>
  <c r="C18" i="132"/>
  <c r="J17" i="132"/>
  <c r="H17" i="132"/>
  <c r="E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E23" i="133"/>
  <c r="J22" i="133"/>
  <c r="H22" i="133"/>
  <c r="E22" i="133"/>
  <c r="C22" i="133"/>
  <c r="J21" i="133"/>
  <c r="H21" i="133"/>
  <c r="E21" i="133"/>
  <c r="C21" i="133"/>
  <c r="H20" i="133"/>
  <c r="C20" i="133"/>
  <c r="J19" i="133"/>
  <c r="H19" i="133"/>
  <c r="E19" i="133"/>
  <c r="C19" i="133"/>
  <c r="J18" i="133"/>
  <c r="H18" i="133"/>
  <c r="E18" i="133"/>
  <c r="C18" i="133"/>
  <c r="J17" i="133"/>
  <c r="H17" i="133"/>
  <c r="E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H20" i="134"/>
  <c r="C20" i="134"/>
  <c r="J19" i="134"/>
  <c r="H19" i="134"/>
  <c r="E19" i="134"/>
  <c r="C19" i="134"/>
  <c r="J18" i="134"/>
  <c r="H18" i="134"/>
  <c r="E18" i="134"/>
  <c r="C18" i="134"/>
  <c r="J17" i="134"/>
  <c r="H17" i="134"/>
  <c r="E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F13" i="134"/>
  <c r="E13" i="134"/>
  <c r="J13" i="134" s="1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H20" i="135"/>
  <c r="C20" i="135"/>
  <c r="J19" i="135"/>
  <c r="H19" i="135"/>
  <c r="E19" i="135"/>
  <c r="C19" i="135"/>
  <c r="J18" i="135"/>
  <c r="H18" i="135"/>
  <c r="E18" i="135"/>
  <c r="C18" i="135"/>
  <c r="J17" i="135"/>
  <c r="H17" i="135"/>
  <c r="E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H20" i="136"/>
  <c r="C20" i="136"/>
  <c r="J19" i="136"/>
  <c r="H19" i="136"/>
  <c r="E19" i="136"/>
  <c r="C19" i="136"/>
  <c r="J18" i="136"/>
  <c r="H18" i="136"/>
  <c r="E18" i="136"/>
  <c r="C18" i="136"/>
  <c r="J17" i="136"/>
  <c r="H17" i="136"/>
  <c r="E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H20" i="137"/>
  <c r="C20" i="137"/>
  <c r="J19" i="137"/>
  <c r="H19" i="137"/>
  <c r="E19" i="137"/>
  <c r="C19" i="137"/>
  <c r="J18" i="137"/>
  <c r="H18" i="137"/>
  <c r="E18" i="137"/>
  <c r="C18" i="137"/>
  <c r="J17" i="137"/>
  <c r="H17" i="137"/>
  <c r="E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H20" i="138"/>
  <c r="C20" i="138"/>
  <c r="J19" i="138"/>
  <c r="H19" i="138"/>
  <c r="E19" i="138"/>
  <c r="C19" i="138"/>
  <c r="J18" i="138"/>
  <c r="H18" i="138"/>
  <c r="E18" i="138"/>
  <c r="C18" i="138"/>
  <c r="J17" i="138"/>
  <c r="H17" i="138"/>
  <c r="E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F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H20" i="139"/>
  <c r="C20" i="139"/>
  <c r="J19" i="139"/>
  <c r="H19" i="139"/>
  <c r="E19" i="139"/>
  <c r="C19" i="139"/>
  <c r="J18" i="139"/>
  <c r="H18" i="139"/>
  <c r="E18" i="139"/>
  <c r="C18" i="139"/>
  <c r="J17" i="139"/>
  <c r="H17" i="139"/>
  <c r="E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H20" i="140"/>
  <c r="C20" i="140"/>
  <c r="J19" i="140"/>
  <c r="H19" i="140"/>
  <c r="E19" i="140"/>
  <c r="C19" i="140"/>
  <c r="J18" i="140"/>
  <c r="H18" i="140"/>
  <c r="E18" i="140"/>
  <c r="C18" i="140"/>
  <c r="J17" i="140"/>
  <c r="H17" i="140"/>
  <c r="E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H20" i="141"/>
  <c r="C20" i="141"/>
  <c r="J19" i="141"/>
  <c r="H19" i="141"/>
  <c r="E19" i="141"/>
  <c r="C19" i="141"/>
  <c r="J18" i="141"/>
  <c r="H18" i="141"/>
  <c r="E18" i="141"/>
  <c r="C18" i="141"/>
  <c r="J17" i="141"/>
  <c r="H17" i="141"/>
  <c r="E17" i="141"/>
  <c r="C17" i="141"/>
  <c r="K16" i="141"/>
  <c r="J16" i="141"/>
  <c r="I16" i="141"/>
  <c r="H16" i="141"/>
  <c r="F16" i="141"/>
  <c r="E16" i="141"/>
  <c r="D16" i="141"/>
  <c r="C16" i="141"/>
  <c r="L14" i="141"/>
  <c r="N13" i="141"/>
  <c r="K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H20" i="142"/>
  <c r="C20" i="142"/>
  <c r="J19" i="142"/>
  <c r="H19" i="142"/>
  <c r="E19" i="142"/>
  <c r="C19" i="142"/>
  <c r="J18" i="142"/>
  <c r="H18" i="142"/>
  <c r="E18" i="142"/>
  <c r="C18" i="142"/>
  <c r="J17" i="142"/>
  <c r="H17" i="142"/>
  <c r="E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H20" i="143"/>
  <c r="C20" i="143"/>
  <c r="J19" i="143"/>
  <c r="H19" i="143"/>
  <c r="E19" i="143"/>
  <c r="C19" i="143"/>
  <c r="J18" i="143"/>
  <c r="H18" i="143"/>
  <c r="E18" i="143"/>
  <c r="C18" i="143"/>
  <c r="J17" i="143"/>
  <c r="H17" i="143"/>
  <c r="E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H20" i="144"/>
  <c r="C20" i="144"/>
  <c r="J19" i="144"/>
  <c r="H19" i="144"/>
  <c r="E19" i="144"/>
  <c r="C19" i="144"/>
  <c r="J18" i="144"/>
  <c r="H18" i="144"/>
  <c r="E18" i="144"/>
  <c r="C18" i="144"/>
  <c r="J17" i="144"/>
  <c r="H17" i="144"/>
  <c r="E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H20" i="145"/>
  <c r="C20" i="145"/>
  <c r="J19" i="145"/>
  <c r="H19" i="145"/>
  <c r="E19" i="145"/>
  <c r="C19" i="145"/>
  <c r="J18" i="145"/>
  <c r="H18" i="145"/>
  <c r="E18" i="145"/>
  <c r="C18" i="145"/>
  <c r="J17" i="145"/>
  <c r="H17" i="145"/>
  <c r="E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H20" i="146"/>
  <c r="C20" i="146"/>
  <c r="J19" i="146"/>
  <c r="H19" i="146"/>
  <c r="E19" i="146"/>
  <c r="C19" i="146"/>
  <c r="J18" i="146"/>
  <c r="H18" i="146"/>
  <c r="E18" i="146"/>
  <c r="C18" i="146"/>
  <c r="J17" i="146"/>
  <c r="H17" i="146"/>
  <c r="E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H20" i="147"/>
  <c r="C20" i="147"/>
  <c r="J19" i="147"/>
  <c r="H19" i="147"/>
  <c r="E19" i="147"/>
  <c r="C19" i="147"/>
  <c r="J18" i="147"/>
  <c r="H18" i="147"/>
  <c r="E18" i="147"/>
  <c r="C18" i="147"/>
  <c r="J17" i="147"/>
  <c r="H17" i="147"/>
  <c r="E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H20" i="148"/>
  <c r="C20" i="148"/>
  <c r="J19" i="148"/>
  <c r="H19" i="148"/>
  <c r="E19" i="148"/>
  <c r="C19" i="148"/>
  <c r="J18" i="148"/>
  <c r="H18" i="148"/>
  <c r="E18" i="148"/>
  <c r="C18" i="148"/>
  <c r="J17" i="148"/>
  <c r="H17" i="148"/>
  <c r="E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H20" i="149"/>
  <c r="C20" i="149"/>
  <c r="J19" i="149"/>
  <c r="H19" i="149"/>
  <c r="E19" i="149"/>
  <c r="C19" i="149"/>
  <c r="J18" i="149"/>
  <c r="H18" i="149"/>
  <c r="E18" i="149"/>
  <c r="C18" i="149"/>
  <c r="J17" i="149"/>
  <c r="H17" i="149"/>
  <c r="E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H20" i="150"/>
  <c r="C20" i="150"/>
  <c r="J19" i="150"/>
  <c r="H19" i="150"/>
  <c r="E19" i="150"/>
  <c r="C19" i="150"/>
  <c r="J18" i="150"/>
  <c r="H18" i="150"/>
  <c r="E18" i="150"/>
  <c r="C18" i="150"/>
  <c r="J17" i="150"/>
  <c r="H17" i="150"/>
  <c r="E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H20" i="151"/>
  <c r="C20" i="151"/>
  <c r="J19" i="151"/>
  <c r="H19" i="151"/>
  <c r="E19" i="151"/>
  <c r="C19" i="151"/>
  <c r="J18" i="151"/>
  <c r="H18" i="151"/>
  <c r="E18" i="151"/>
  <c r="C18" i="151"/>
  <c r="J17" i="151"/>
  <c r="H17" i="151"/>
  <c r="E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H20" i="152"/>
  <c r="C20" i="152"/>
  <c r="J19" i="152"/>
  <c r="H19" i="152"/>
  <c r="E19" i="152"/>
  <c r="C19" i="152"/>
  <c r="J18" i="152"/>
  <c r="H18" i="152"/>
  <c r="E18" i="152"/>
  <c r="C18" i="152"/>
  <c r="J17" i="152"/>
  <c r="H17" i="152"/>
  <c r="E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H20" i="153"/>
  <c r="C20" i="153"/>
  <c r="J19" i="153"/>
  <c r="H19" i="153"/>
  <c r="E19" i="153"/>
  <c r="C19" i="153"/>
  <c r="J18" i="153"/>
  <c r="H18" i="153"/>
  <c r="E18" i="153"/>
  <c r="C18" i="153"/>
  <c r="J17" i="153"/>
  <c r="H17" i="153"/>
  <c r="E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H20" i="154"/>
  <c r="C20" i="154"/>
  <c r="J19" i="154"/>
  <c r="H19" i="154"/>
  <c r="E19" i="154"/>
  <c r="C19" i="154"/>
  <c r="J18" i="154"/>
  <c r="H18" i="154"/>
  <c r="E18" i="154"/>
  <c r="C18" i="154"/>
  <c r="J17" i="154"/>
  <c r="H17" i="154"/>
  <c r="E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H20" i="155"/>
  <c r="C20" i="155"/>
  <c r="J19" i="155"/>
  <c r="H19" i="155"/>
  <c r="E19" i="155"/>
  <c r="C19" i="155"/>
  <c r="J18" i="155"/>
  <c r="H18" i="155"/>
  <c r="E18" i="155"/>
  <c r="C18" i="155"/>
  <c r="J17" i="155"/>
  <c r="H17" i="155"/>
  <c r="E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H20" i="156"/>
  <c r="C20" i="156"/>
  <c r="J19" i="156"/>
  <c r="H19" i="156"/>
  <c r="E19" i="156"/>
  <c r="C19" i="156"/>
  <c r="J18" i="156"/>
  <c r="H18" i="156"/>
  <c r="E18" i="156"/>
  <c r="C18" i="156"/>
  <c r="J17" i="156"/>
  <c r="H17" i="156"/>
  <c r="E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H20" i="157"/>
  <c r="C20" i="157"/>
  <c r="J19" i="157"/>
  <c r="H19" i="157"/>
  <c r="E19" i="157"/>
  <c r="C19" i="157"/>
  <c r="J18" i="157"/>
  <c r="H18" i="157"/>
  <c r="E18" i="157"/>
  <c r="C18" i="157"/>
  <c r="J17" i="157"/>
  <c r="H17" i="157"/>
  <c r="E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H20" i="158"/>
  <c r="C20" i="158"/>
  <c r="J19" i="158"/>
  <c r="H19" i="158"/>
  <c r="E19" i="158"/>
  <c r="C19" i="158"/>
  <c r="J18" i="158"/>
  <c r="H18" i="158"/>
  <c r="E18" i="158"/>
  <c r="C18" i="158"/>
  <c r="J17" i="158"/>
  <c r="H17" i="158"/>
  <c r="E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" l="1"/>
  <c r="F14" i="13" s="1"/>
  <c r="D13" i="131"/>
  <c r="F14" i="131" s="1"/>
  <c r="E1" i="132"/>
  <c r="I13" i="131"/>
  <c r="K14" i="131" s="1"/>
  <c r="D26" i="131"/>
  <c r="F27" i="131" s="1"/>
  <c r="I26" i="131"/>
  <c r="K27" i="131" s="1"/>
  <c r="I13" i="13"/>
  <c r="K14" i="13" s="1"/>
  <c r="I26" i="13"/>
  <c r="K27" i="13" s="1"/>
  <c r="D26" i="132"/>
  <c r="F27" i="132" s="1"/>
  <c r="D26" i="13"/>
  <c r="F27" i="13" s="1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D13" i="134" l="1"/>
  <c r="F14" i="134" s="1"/>
  <c r="I13" i="134"/>
  <c r="K14" i="134" s="1"/>
  <c r="E1" i="135"/>
  <c r="I26" i="134"/>
  <c r="K27" i="134" s="1"/>
  <c r="D26" i="134"/>
  <c r="Q13" i="159"/>
  <c r="Q12" i="159"/>
  <c r="Q11" i="159"/>
  <c r="O11" i="159"/>
  <c r="Q10" i="159"/>
  <c r="Q9" i="159"/>
  <c r="O9" i="159"/>
  <c r="N9" i="159"/>
  <c r="Q8" i="159"/>
  <c r="O8" i="159"/>
  <c r="Q7" i="159"/>
  <c r="O7" i="159"/>
  <c r="N7" i="159"/>
  <c r="Q6" i="159"/>
  <c r="O6" i="159"/>
  <c r="Q5" i="159"/>
  <c r="Q14" i="159" s="1"/>
  <c r="O5" i="159"/>
  <c r="N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O9" i="134"/>
  <c r="Q8" i="134"/>
  <c r="O8" i="134"/>
  <c r="Q7" i="134"/>
  <c r="O7" i="134"/>
  <c r="Q6" i="134"/>
  <c r="P6" i="134"/>
  <c r="O6" i="134"/>
  <c r="N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O12" i="132" s="1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E12" i="153"/>
  <c r="C12" i="153"/>
  <c r="J11" i="153"/>
  <c r="E11" i="153"/>
  <c r="C11" i="153"/>
  <c r="E10" i="153"/>
  <c r="C10" i="153"/>
  <c r="E9" i="153"/>
  <c r="C9" i="153"/>
  <c r="E8" i="153"/>
  <c r="C8" i="153"/>
  <c r="E7" i="153"/>
  <c r="C7" i="153"/>
  <c r="E6" i="153"/>
  <c r="C6" i="153"/>
  <c r="E5" i="153"/>
  <c r="C5" i="153"/>
  <c r="E4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J4" i="152" s="1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E7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C7" i="137"/>
  <c r="E6" i="137"/>
  <c r="C6" i="137"/>
  <c r="J5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E12" i="134"/>
  <c r="C12" i="134"/>
  <c r="E11" i="134"/>
  <c r="C11" i="134"/>
  <c r="E10" i="134"/>
  <c r="C10" i="134"/>
  <c r="E9" i="134"/>
  <c r="C9" i="134"/>
  <c r="E8" i="134"/>
  <c r="C8" i="134"/>
  <c r="E7" i="134"/>
  <c r="C7" i="134"/>
  <c r="E6" i="134"/>
  <c r="C6" i="134"/>
  <c r="E5" i="134"/>
  <c r="C5" i="134"/>
  <c r="E4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J7" i="13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J12" i="13"/>
  <c r="E12" i="13"/>
  <c r="E11" i="13"/>
  <c r="E10" i="13"/>
  <c r="E9" i="13"/>
  <c r="P10" i="13" s="1"/>
  <c r="E8" i="13"/>
  <c r="P9" i="13" s="1"/>
  <c r="E7" i="13"/>
  <c r="P8" i="13" s="1"/>
  <c r="E6" i="13"/>
  <c r="E5" i="13"/>
  <c r="E4" i="13"/>
  <c r="P5" i="13" s="1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6" l="1"/>
  <c r="Q14" i="146"/>
  <c r="J20" i="136"/>
  <c r="E20" i="136"/>
  <c r="E20" i="156"/>
  <c r="J20" i="156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E20" i="154"/>
  <c r="J20" i="154"/>
  <c r="J20" i="148"/>
  <c r="E20" i="148"/>
  <c r="J20" i="134"/>
  <c r="E20" i="134"/>
  <c r="E20" i="139"/>
  <c r="J20" i="139"/>
  <c r="E20" i="146"/>
  <c r="J20" i="146"/>
  <c r="J20" i="150"/>
  <c r="E20" i="150"/>
  <c r="E20" i="132"/>
  <c r="J20" i="132"/>
  <c r="E20" i="13"/>
  <c r="J20" i="13"/>
  <c r="J20" i="145"/>
  <c r="E20" i="145"/>
  <c r="E20" i="158"/>
  <c r="J20" i="158"/>
  <c r="J20" i="133"/>
  <c r="E20" i="133"/>
  <c r="E20" i="138"/>
  <c r="J20" i="138"/>
  <c r="J20" i="149"/>
  <c r="E20" i="149"/>
  <c r="J20" i="157"/>
  <c r="E20" i="157"/>
  <c r="J7" i="137"/>
  <c r="J20" i="137"/>
  <c r="E20" i="137"/>
  <c r="J20" i="144"/>
  <c r="E20" i="144"/>
  <c r="O14" i="132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9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D13" i="138"/>
  <c r="F14" i="138" s="1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P25" i="1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<sst xmlns="http://schemas.openxmlformats.org/spreadsheetml/2006/main" count="872" uniqueCount="66">
  <si>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</si>
  <si>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</si>
  <si>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</si>
  <si>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</si>
  <si>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</si>
  <si>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</si>
  <si>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</si>
  <si>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</si>
  <si>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</si>
  <si>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</si>
  <si>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</si>
  <si>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09:00~09:01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</si>
  <si>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</si>
  <si>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</si>
  <si>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</si>
  <si>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</si>
  <si>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</si>
  <si>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</si>
  <si>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</si>
  <si>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</si>
  <si>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</si>
  <si>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</si>
  <si>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</si>
  <si>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</si>
  <si>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</si>
  <si>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</si>
  <si>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</si>
  <si>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</si>
  <si>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</si>
  <si>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</si>
  <si>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</si>
  <si>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</si>
  <si>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</si>
  <si>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</si>
  <si>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</si>
  <si>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</si>
  <si>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</si>
  <si>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</si>
  <si>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</si>
  <si>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</si>
  <si>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</si>
  <si>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</si>
  <si>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</si>
  <si>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</si>
  <si>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</si>
  <si>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</si>
  <si>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</si>
  <si>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</si>
  <si>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</si>
  <si>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</si>
  <si>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</si>
  <si>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</si>
  <si>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</si>
  <si>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</si>
  <si>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</si>
  <si>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</si>
  <si>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</si>
  <si>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</si>
  <si>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</si>
  <si>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양     화</t>
    <phoneticPr fontId="1" type="noConversion"/>
  </si>
  <si>
    <t>제로페이</t>
    <phoneticPr fontId="1" type="noConversion"/>
  </si>
  <si>
    <t>블루포인트</t>
    <phoneticPr fontId="1" type="noConversion"/>
  </si>
  <si>
    <r>
      <t>*</t>
    </r>
    <r>
      <rPr>
        <sz val="11"/>
        <color theme="1"/>
        <rFont val="돋움"/>
        <family val="3"/>
        <charset val="129"/>
      </rPr>
      <t>블루포인트</t>
    </r>
    <r>
      <rPr>
        <sz val="11"/>
        <color theme="1"/>
        <rFont val="maigun ghodic"/>
        <family val="2"/>
      </rPr>
      <t xml:space="preserve"> </t>
    </r>
    <r>
      <rPr>
        <sz val="11"/>
        <color theme="1"/>
        <rFont val="돋움"/>
        <family val="3"/>
        <charset val="129"/>
      </rPr>
      <t>따로</t>
    </r>
    <r>
      <rPr>
        <sz val="11"/>
        <color theme="1"/>
        <rFont val="maigun ghodic"/>
        <family val="2"/>
      </rPr>
      <t xml:space="preserve"> </t>
    </r>
    <r>
      <rPr>
        <sz val="11"/>
        <color theme="1"/>
        <rFont val="돋움"/>
        <family val="3"/>
        <charset val="129"/>
      </rPr>
      <t>적어주세요</t>
    </r>
    <phoneticPr fontId="1" type="noConversion"/>
  </si>
  <si>
    <t>09:02~09:00</t>
    <phoneticPr fontId="1" type="noConversion"/>
  </si>
  <si>
    <t>09:00~09:02</t>
    <phoneticPr fontId="1" type="noConversion"/>
  </si>
  <si>
    <t>09:02~09:00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</si>
</sst>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Fill="1" applyBorder="1" applyAlignment="1" applyProtection="1">
      <alignment horizontal="right" vertical="center"/>
      <protection locked="0"/>
    </xf>
    <xf numFmtId="176" fontId="11" fillId="0" borderId="0" xfId="0" applyNumberFormat="1" applyFont="1" applyFill="1" applyAlignment="1" applyProtection="1">
      <alignment horizontal="center" vertical="center"/>
      <protection locked="0"/>
    </xf>
    <xf numFmtId="176" fontId="15" fillId="2" borderId="11" xfId="0" applyNumberFormat="1" applyFont="1" applyFill="1" applyBorder="1" applyAlignment="1" applyProtection="1">
      <alignment horizontal="center" vertical="center"/>
      <protection locked="0"/>
    </xf>
    <xf numFmtId="176" fontId="15" fillId="2" borderId="11" xfId="0" applyNumberFormat="1" applyFont="1" applyFill="1" applyBorder="1" applyAlignment="1" applyProtection="1">
      <alignment horizontal="center" vertical="center"/>
    </xf>
    <xf numFmtId="178" fontId="4" fillId="2" borderId="0" xfId="0" applyNumberFormat="1" applyFont="1" applyFill="1" applyBorder="1" applyAlignment="1" applyProtection="1">
      <alignment horizontal="left" vertical="center"/>
      <protection locked="0"/>
    </xf>
    <xf numFmtId="176" fontId="4" fillId="2" borderId="0" xfId="0" applyNumberFormat="1" applyFont="1" applyFill="1" applyAlignment="1" applyProtection="1">
      <alignment horizontal="center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F26" sqref="F26"/>
    </sheetView>
  </sheetViews>
  <sheetFormatPr defaultRowHeight="27.75" customHeight="1"/>
  <cols>
    <col min="1" max="1" width="5.5" style="27" customWidth="1"/>
    <col min="2" max="2" width="4.75" style="27" customWidth="1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1.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2022</v>
      </c>
      <c r="D1" s="24" t="str">
        <f>IF(C1&lt;2000,"◀  년 입력","년")</f>
        <v>년</v>
      </c>
      <c r="E1" s="25">
        <v>9</v>
      </c>
      <c r="F1" s="24" t="str">
        <f>IF(E1&lt;1,"◀  월 입력","월")</f>
        <v>월</v>
      </c>
      <c r="G1" s="25">
        <v>1</v>
      </c>
      <c r="H1" s="26" t="s">
        <v>12</v>
      </c>
      <c r="I1" s="25">
        <v>1109</v>
      </c>
      <c r="J1" s="24" t="str">
        <f>IF(I1&lt;100,"◀  단가입력","원")</f>
        <v>원</v>
      </c>
      <c r="L1" s="28">
        <f>+ROUND(+O5*0.584/1000,3)</f>
        <v>12.635999999999999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12.635999999999999</v>
      </c>
      <c r="M2" s="27" t="s">
        <v>7</v>
      </c>
      <c r="N2" s="120" t="s">
        <v>13</v>
      </c>
      <c r="O2" s="120"/>
      <c r="P2" s="120"/>
      <c r="Q2" s="120"/>
    </row>
    <row r="3" spans="3:25" ht="16.5" customHeight="1" thickBot="1">
      <c r="C3" s="29" t="s">
        <v>14</v>
      </c>
      <c r="D3" s="29" t="s">
        <v>15</v>
      </c>
      <c r="E3" s="29" t="s">
        <v>14</v>
      </c>
      <c r="F3" s="30" t="s">
        <v>15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12.635999999999999</v>
      </c>
      <c r="M3" s="27" t="s">
        <v>10</v>
      </c>
      <c r="N3" s="32"/>
      <c r="O3" s="32"/>
      <c r="P3" s="119" t="str">
        <f>+'(1)'!$C$1&amp;"년"&amp;'(1)'!$E$1&amp;"월"&amp;$G$1&amp;"일"</f>
        <v>2022년9월1일</v>
      </c>
      <c r="Q3" s="119"/>
      <c r="R3" s="33"/>
    </row>
    <row r="4" spans="3:25" ht="16.5" customHeight="1" thickBot="1">
      <c r="C4" s="34" t="s">
        <v>16</v>
      </c>
      <c r="D4" s="35">
        <v>5280.2460000000001</v>
      </c>
      <c r="E4" s="34" t="s">
        <v>17</v>
      </c>
      <c r="F4" s="36"/>
      <c r="H4" s="97" t="str">
        <f>+C4</f>
        <v>판매량</v>
      </c>
      <c r="I4" s="35">
        <v>10408.913</v>
      </c>
      <c r="J4" s="34" t="str">
        <f>+E4</f>
        <v>입금액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27916</v>
      </c>
      <c r="S4" s="41" t="s">
        <v>18</v>
      </c>
      <c r="T4" s="27">
        <v>44901</v>
      </c>
    </row>
    <row r="5" spans="3:25" ht="16.5" customHeight="1">
      <c r="C5" s="42" t="s">
        <v>19</v>
      </c>
      <c r="D5" s="43"/>
      <c r="E5" s="42" t="s">
        <v>20</v>
      </c>
      <c r="F5" s="44">
        <v>195000</v>
      </c>
      <c r="H5" s="98" t="str">
        <f>+C5</f>
        <v>법인전표</v>
      </c>
      <c r="I5" s="43"/>
      <c r="J5" s="42" t="str">
        <f>+E5</f>
        <v>고액권</v>
      </c>
      <c r="K5" s="44">
        <v>240000</v>
      </c>
      <c r="M5" s="38"/>
      <c r="N5" s="45" t="str">
        <f>+C4</f>
        <v>판매량</v>
      </c>
      <c r="O5" s="46">
        <f>SUM(D4+I4+D17+I17+D35+I35)</f>
        <v>21637.837</v>
      </c>
      <c r="P5" s="47" t="str">
        <f>+E4</f>
        <v>입금액</v>
      </c>
      <c r="Q5" s="48">
        <f>SUM(F4+K4+F17+K17+F35+K35)</f>
        <v>0</v>
      </c>
      <c r="R5" s="49">
        <v>26</v>
      </c>
      <c r="S5" s="41" t="s">
        <v>21</v>
      </c>
    </row>
    <row r="6" spans="3:25" ht="16.5" customHeight="1">
      <c r="C6" s="42" t="s">
        <v>22</v>
      </c>
      <c r="D6" s="50">
        <v>0</v>
      </c>
      <c r="E6" s="42" t="s">
        <v>23</v>
      </c>
      <c r="F6" s="44">
        <v>2000</v>
      </c>
      <c r="H6" s="98" t="str">
        <f t="shared" ref="H6:H13" si="2">+C6</f>
        <v>외상전표</v>
      </c>
      <c r="I6" s="50">
        <v>276.37900000000002</v>
      </c>
      <c r="J6" s="42" t="str">
        <f t="shared" ref="J6:J13" si="3">+E6</f>
        <v>천원권</v>
      </c>
      <c r="K6" s="44">
        <v>3000</v>
      </c>
      <c r="M6" s="38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680000</v>
      </c>
      <c r="R6" s="49">
        <v>2.6</v>
      </c>
      <c r="S6" s="41" t="s">
        <v>24</v>
      </c>
    </row>
    <row r="7" spans="3:25" ht="16.5" customHeight="1">
      <c r="C7" s="42" t="s">
        <v>25</v>
      </c>
      <c r="D7" s="50"/>
      <c r="E7" s="42" t="s">
        <v>61</v>
      </c>
      <c r="F7" s="44"/>
      <c r="H7" s="98" t="str">
        <f t="shared" si="2"/>
        <v>효신(업)</v>
      </c>
      <c r="I7" s="50"/>
      <c r="J7" s="42" t="str">
        <f t="shared" si="3"/>
        <v>블루포인트</v>
      </c>
      <c r="K7" s="44"/>
      <c r="M7" s="38"/>
      <c r="N7" s="51" t="str">
        <f t="shared" ref="N7:N14" si="4">+C6</f>
        <v>외상전표</v>
      </c>
      <c r="O7" s="54">
        <f>SUM(D6+I6+D19+I19+D37+I37)</f>
        <v>298.54700000000003</v>
      </c>
      <c r="P7" s="51" t="str">
        <f t="shared" ref="P7:P14" si="5">+E6</f>
        <v>천원권</v>
      </c>
      <c r="Q7" s="53">
        <f>SUM(F6+K6+F19+K19+F37+K37)</f>
        <v>7000</v>
      </c>
      <c r="R7" s="40" t="s">
        <v>50</v>
      </c>
      <c r="S7" s="41" t="s">
        <v>6</v>
      </c>
    </row>
    <row r="8" spans="3:25" ht="16.5" customHeight="1">
      <c r="C8" s="42" t="s">
        <v>27</v>
      </c>
      <c r="D8" s="50"/>
      <c r="E8" s="42" t="s">
        <v>28</v>
      </c>
      <c r="F8" s="44">
        <v>5652633</v>
      </c>
      <c r="H8" s="98" t="str">
        <f t="shared" si="2"/>
        <v>자가소비</v>
      </c>
      <c r="I8" s="50"/>
      <c r="J8" s="42" t="str">
        <f t="shared" si="3"/>
        <v>신용카드</v>
      </c>
      <c r="K8" s="44">
        <v>16613166</v>
      </c>
      <c r="M8" s="38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40"/>
    </row>
    <row r="9" spans="3:25" ht="16.5" customHeight="1">
      <c r="C9" s="42" t="s">
        <v>47</v>
      </c>
      <c r="D9" s="50"/>
      <c r="E9" s="42" t="s">
        <v>29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22924100</v>
      </c>
      <c r="R9" s="40"/>
    </row>
    <row r="10" spans="3:25" ht="16.5" customHeight="1">
      <c r="C10" s="42" t="s">
        <v>52</v>
      </c>
      <c r="D10" s="50">
        <v>52.353000000000002</v>
      </c>
      <c r="E10" s="42" t="s">
        <v>48</v>
      </c>
      <c r="F10" s="44">
        <v>4000</v>
      </c>
      <c r="H10" s="98" t="str">
        <f t="shared" si="2"/>
        <v>고객우대</v>
      </c>
      <c r="I10" s="50">
        <v>338.87700000000001</v>
      </c>
      <c r="J10" s="42" t="str">
        <f t="shared" si="3"/>
        <v>OK케시백</v>
      </c>
      <c r="K10" s="44">
        <v>6000</v>
      </c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3:25" ht="16.5" customHeight="1">
      <c r="C11" s="42" t="s">
        <v>47</v>
      </c>
      <c r="D11" s="55">
        <f>SUM(D10*-35)</f>
        <v>-1832.355</v>
      </c>
      <c r="E11" s="42" t="s">
        <v>32</v>
      </c>
      <c r="F11" s="44"/>
      <c r="H11" s="98" t="str">
        <f t="shared" si="2"/>
        <v>-</v>
      </c>
      <c r="I11" s="55">
        <f>SUM(I10*-35)</f>
        <v>-11860.695</v>
      </c>
      <c r="J11" s="42" t="str">
        <f t="shared" si="3"/>
        <v>모바일</v>
      </c>
      <c r="K11" s="44">
        <v>15000</v>
      </c>
      <c r="M11" s="38"/>
      <c r="N11" s="51" t="str">
        <f t="shared" si="4"/>
        <v>고객우대</v>
      </c>
      <c r="O11" s="54">
        <f>SUM(D10+I10+D23+I23+D41+I41)</f>
        <v>430.26</v>
      </c>
      <c r="P11" s="51" t="str">
        <f t="shared" si="5"/>
        <v>OK케시백</v>
      </c>
      <c r="Q11" s="53">
        <f>SUM(F10+K10+F23+K23+F41+K41)</f>
        <v>10000</v>
      </c>
      <c r="R11" s="49"/>
    </row>
    <row r="12" spans="3:25" ht="16.5" customHeight="1" thickBot="1">
      <c r="C12" s="56" t="s">
        <v>47</v>
      </c>
      <c r="D12" s="57"/>
      <c r="E12" s="56" t="s">
        <v>60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/>
      <c r="M12" s="38"/>
      <c r="N12" s="51" t="str">
        <f t="shared" si="4"/>
        <v>-</v>
      </c>
      <c r="O12" s="52">
        <f>SUM(O11*-35)</f>
        <v>-15059.1</v>
      </c>
      <c r="P12" s="51" t="str">
        <f t="shared" si="5"/>
        <v>모바일</v>
      </c>
      <c r="Q12" s="53">
        <f>SUM(F11+K11+F24+K24+F42+K42)</f>
        <v>29000</v>
      </c>
      <c r="R12" s="40"/>
    </row>
    <row r="13" spans="3:25" ht="16.5" customHeight="1" thickBot="1">
      <c r="C13" s="59" t="s">
        <v>34</v>
      </c>
      <c r="D13" s="60">
        <f>SUM((D4-D5-D6-D7-D8-D9)*$I$1+D11)</f>
        <v>5853960.4589999998</v>
      </c>
      <c r="E13" s="59" t="s">
        <v>34</v>
      </c>
      <c r="F13" s="61">
        <f>SUM(F4:F12)</f>
        <v>5853633</v>
      </c>
      <c r="G13" s="62"/>
      <c r="H13" s="96" t="str">
        <f t="shared" si="2"/>
        <v>합계</v>
      </c>
      <c r="I13" s="60">
        <f>SUM((I4-I5-I6-I7-I8-I9)*$I$1+I11)</f>
        <v>11225119.511</v>
      </c>
      <c r="J13" s="29" t="str">
        <f t="shared" si="3"/>
        <v>합계</v>
      </c>
      <c r="K13" s="61">
        <f>IF(K8=0,0,SUM(K4:K12)-F8)</f>
        <v>11224533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-327.45899999979883</v>
      </c>
      <c r="K14" s="67">
        <f>SUM(K13-I13)</f>
        <v>-586.5109999999404</v>
      </c>
      <c r="N14" s="39" t="str">
        <f t="shared" si="4"/>
        <v>합계</v>
      </c>
      <c r="O14" s="68">
        <f>SUM((O5-O6-O7-O8-O9-O10)*+$I$1+O12)</f>
        <v>23650213.509999998</v>
      </c>
      <c r="P14" s="39" t="str">
        <f t="shared" si="5"/>
        <v>합계</v>
      </c>
      <c r="Q14" s="69">
        <f>SUM(Q5:Q13)</f>
        <v>23650100</v>
      </c>
    </row>
    <row r="15" spans="3:25" ht="16.5" customHeight="1" thickBot="1">
      <c r="C15" s="27">
        <v>3</v>
      </c>
      <c r="H15" s="27">
        <v>4</v>
      </c>
      <c r="Q15" s="70">
        <f>SUM(F14+K14+F27+K27)</f>
        <v>-113.50999999977648</v>
      </c>
    </row>
    <row r="16" spans="3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7" t="str">
        <f>+C4</f>
        <v>판매량</v>
      </c>
      <c r="D17" s="35">
        <v>5948.6779999999999</v>
      </c>
      <c r="E17" s="34" t="str">
        <f>+E4</f>
        <v>입금액</v>
      </c>
      <c r="F17" s="36"/>
      <c r="H17" s="97" t="str">
        <f>+C4</f>
        <v>판매량</v>
      </c>
      <c r="I17" s="35"/>
      <c r="J17" s="34" t="str">
        <f>+E4</f>
        <v>입금액</v>
      </c>
      <c r="K17" s="36"/>
      <c r="R17" s="32"/>
      <c r="S17" s="32"/>
    </row>
    <row r="18" spans="3:19" ht="16.5" customHeight="1" thickBot="1">
      <c r="C18" s="98" t="str">
        <f>+C5</f>
        <v>법인전표</v>
      </c>
      <c r="D18" s="43"/>
      <c r="E18" s="42" t="str">
        <f>+E5</f>
        <v>고액권</v>
      </c>
      <c r="F18" s="44">
        <v>245000</v>
      </c>
      <c r="H18" s="98" t="str">
        <f>+C5</f>
        <v>법인전표</v>
      </c>
      <c r="I18" s="43"/>
      <c r="J18" s="42" t="str">
        <f>+E5</f>
        <v>고액권</v>
      </c>
      <c r="K18" s="44"/>
      <c r="N18" s="117" t="s">
        <v>35</v>
      </c>
      <c r="O18" s="130"/>
      <c r="P18" s="71" t="s">
        <v>36</v>
      </c>
      <c r="Q18" s="72" t="s">
        <v>37</v>
      </c>
      <c r="R18" s="32"/>
      <c r="S18" s="32"/>
    </row>
    <row r="19" spans="3:19" ht="16.5" customHeight="1">
      <c r="C19" s="98" t="str">
        <f t="shared" ref="C19:C26" si="7">+C6</f>
        <v>외상전표</v>
      </c>
      <c r="D19" s="50">
        <v>22.167999999999999</v>
      </c>
      <c r="E19" s="42" t="str">
        <f t="shared" ref="E19:E26" si="8">+E6</f>
        <v>천원권</v>
      </c>
      <c r="F19" s="44">
        <v>2000</v>
      </c>
      <c r="H19" s="98" t="str">
        <f t="shared" ref="H19:H26" si="9">+C6</f>
        <v>외상전표</v>
      </c>
      <c r="I19" s="50"/>
      <c r="J19" s="42" t="str">
        <f t="shared" ref="J19:J26" si="10">+E6</f>
        <v>천원권</v>
      </c>
      <c r="K19" s="44"/>
      <c r="N19" s="121" t="s">
        <v>38</v>
      </c>
      <c r="O19" s="122"/>
      <c r="P19" s="73">
        <v>13</v>
      </c>
      <c r="Q19" s="48">
        <f>SUM(P19*1000)</f>
        <v>13000</v>
      </c>
      <c r="R19" s="32"/>
      <c r="S19" s="32"/>
    </row>
    <row r="20" spans="3:19" ht="16.5" customHeight="1">
      <c r="C20" s="98" t="str">
        <f t="shared" si="7"/>
        <v>효신(업)</v>
      </c>
      <c r="D20" s="50"/>
      <c r="E20" s="42" t="str">
        <f t="shared" si="8"/>
        <v>블루포인트</v>
      </c>
      <c r="F20" s="44"/>
      <c r="H20" s="98" t="str">
        <f t="shared" si="9"/>
        <v>효신(업)</v>
      </c>
      <c r="I20" s="50"/>
      <c r="J20" s="42" t="str">
        <f t="shared" si="10"/>
        <v>블루포인트</v>
      </c>
      <c r="K20" s="44"/>
      <c r="N20" s="127" t="s">
        <v>39</v>
      </c>
      <c r="O20" s="128"/>
      <c r="P20" s="74">
        <v>26</v>
      </c>
      <c r="Q20" s="53">
        <f>SUM(P20*1000)</f>
        <v>26000</v>
      </c>
      <c r="R20" s="32"/>
      <c r="S20" s="32"/>
    </row>
    <row r="21" spans="3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22924100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27" t="s">
        <v>49</v>
      </c>
      <c r="O21" s="128"/>
      <c r="P21" s="74">
        <v>13</v>
      </c>
      <c r="Q21" s="53"/>
      <c r="R21" s="32"/>
      <c r="S21" s="32"/>
    </row>
    <row r="22" spans="3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29" t="s">
        <v>54</v>
      </c>
      <c r="O22" s="124"/>
      <c r="P22" s="74">
        <v>6</v>
      </c>
      <c r="Q22" s="53">
        <f>SUM(P22*1000)</f>
        <v>6000</v>
      </c>
      <c r="R22" s="32"/>
      <c r="S22" s="32"/>
    </row>
    <row r="23" spans="3:19" ht="16.5" customHeight="1">
      <c r="C23" s="98" t="str">
        <f t="shared" si="7"/>
        <v>고객우대</v>
      </c>
      <c r="D23" s="50">
        <v>39.03</v>
      </c>
      <c r="E23" s="42" t="str">
        <f t="shared" si="8"/>
        <v>OK케시백</v>
      </c>
      <c r="F23" s="44"/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23" t="s">
        <v>59</v>
      </c>
      <c r="O23" s="124"/>
      <c r="P23" s="74"/>
      <c r="Q23" s="53">
        <f>SUM(P23*1000)</f>
        <v>0</v>
      </c>
      <c r="R23" s="32"/>
      <c r="S23" s="32"/>
    </row>
    <row r="24" spans="3:19" ht="16.5" customHeight="1">
      <c r="C24" s="98" t="str">
        <f t="shared" si="7"/>
        <v>-</v>
      </c>
      <c r="D24" s="55">
        <f>SUM(D23*-35)</f>
        <v>-1366.05</v>
      </c>
      <c r="E24" s="42" t="str">
        <f t="shared" si="8"/>
        <v>모바일</v>
      </c>
      <c r="F24" s="44">
        <v>14000</v>
      </c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23" t="s">
        <v>53</v>
      </c>
      <c r="O24" s="124"/>
      <c r="P24" s="74">
        <v>10</v>
      </c>
      <c r="Q24" s="53"/>
      <c r="R24" s="32"/>
      <c r="S24" s="32"/>
    </row>
    <row r="25" spans="3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/>
      <c r="H25" s="99" t="str">
        <f t="shared" si="9"/>
        <v>-</v>
      </c>
      <c r="I25" s="57"/>
      <c r="J25" s="56" t="str">
        <f t="shared" si="10"/>
        <v>제로페이</v>
      </c>
      <c r="K25" s="58"/>
      <c r="N25" s="125" t="s">
        <v>40</v>
      </c>
      <c r="O25" s="126"/>
      <c r="P25" s="75">
        <f>+P26-SUM(P19:P24)</f>
        <v>78</v>
      </c>
      <c r="Q25" s="76"/>
      <c r="R25" s="32"/>
      <c r="S25" s="32"/>
    </row>
    <row r="26" spans="3:19" ht="16.5" customHeight="1" thickBot="1">
      <c r="C26" s="96" t="str">
        <f t="shared" si="7"/>
        <v>합계</v>
      </c>
      <c r="D26" s="60">
        <f>SUM((D17-D18-D19-D20-D21-D22)*$I$1+D24)</f>
        <v>6571133.54</v>
      </c>
      <c r="E26" s="29" t="str">
        <f t="shared" si="8"/>
        <v>합계</v>
      </c>
      <c r="F26" s="61">
        <f>IF(F21=0,0,SUM(F17:F25)-K8)</f>
        <v>6571934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17" t="s">
        <v>41</v>
      </c>
      <c r="O26" s="118"/>
      <c r="P26" s="77">
        <v>146</v>
      </c>
      <c r="Q26" s="69">
        <f>SUM(Q19:Q25)</f>
        <v>45000</v>
      </c>
      <c r="R26" s="32"/>
      <c r="S26" s="32"/>
    </row>
    <row r="27" spans="3:19" ht="15.75" customHeight="1" thickBot="1">
      <c r="F27" s="67">
        <f>SUM(F26-D26)</f>
        <v>800.45999999996275</v>
      </c>
      <c r="K27" s="67">
        <f>SUM(K26-I26)</f>
        <v>0</v>
      </c>
    </row>
    <row r="28" spans="3:19" ht="23.25" customHeight="1">
      <c r="F28" s="67"/>
      <c r="K28" s="67"/>
      <c r="N28" s="115" t="s">
        <v>55</v>
      </c>
      <c r="O28" s="104" t="s">
        <v>56</v>
      </c>
      <c r="P28" s="104" t="s">
        <v>57</v>
      </c>
      <c r="Q28" s="105" t="s">
        <v>58</v>
      </c>
    </row>
    <row r="29" spans="3:19" ht="21.75" customHeight="1" thickBot="1">
      <c r="F29" s="67"/>
      <c r="K29" s="67"/>
      <c r="N29" s="116"/>
      <c r="O29" s="106">
        <v>15917</v>
      </c>
      <c r="P29" s="107">
        <v>15923</v>
      </c>
      <c r="Q29" s="108">
        <f>P29-O29</f>
        <v>6</v>
      </c>
    </row>
    <row r="30" spans="3:19" ht="21.75" customHeight="1">
      <c r="F30" s="67"/>
      <c r="K30" s="67"/>
    </row>
    <row r="31" spans="3:19" ht="21.75" customHeight="1">
      <c r="F31" s="67"/>
      <c r="K31" s="67"/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14</v>
      </c>
      <c r="D34" s="29" t="s">
        <v>15</v>
      </c>
      <c r="E34" s="29" t="s">
        <v>14</v>
      </c>
      <c r="F34" s="30" t="s">
        <v>15</v>
      </c>
      <c r="H34" s="29" t="s">
        <v>14</v>
      </c>
      <c r="I34" s="29" t="s">
        <v>15</v>
      </c>
      <c r="J34" s="29" t="s">
        <v>14</v>
      </c>
      <c r="K34" s="30" t="s">
        <v>15</v>
      </c>
    </row>
    <row r="35" spans="3:11" ht="21.75" customHeight="1">
      <c r="C35" s="34" t="s">
        <v>16</v>
      </c>
      <c r="D35" s="78"/>
      <c r="E35" s="34" t="s">
        <v>17</v>
      </c>
      <c r="F35" s="36"/>
      <c r="H35" s="34" t="s">
        <v>16</v>
      </c>
      <c r="I35" s="78"/>
      <c r="J35" s="34" t="s">
        <v>17</v>
      </c>
      <c r="K35" s="36"/>
    </row>
    <row r="36" spans="3:11" ht="21.75" customHeight="1">
      <c r="C36" s="42" t="s">
        <v>19</v>
      </c>
      <c r="D36" s="79"/>
      <c r="E36" s="42" t="s">
        <v>20</v>
      </c>
      <c r="F36" s="44"/>
      <c r="H36" s="42" t="s">
        <v>19</v>
      </c>
      <c r="I36" s="79"/>
      <c r="J36" s="42" t="s">
        <v>20</v>
      </c>
      <c r="K36" s="44"/>
    </row>
    <row r="37" spans="3:11" ht="21.75" customHeight="1">
      <c r="C37" s="42" t="s">
        <v>22</v>
      </c>
      <c r="D37" s="80"/>
      <c r="E37" s="42" t="s">
        <v>23</v>
      </c>
      <c r="F37" s="44"/>
      <c r="H37" s="42" t="s">
        <v>22</v>
      </c>
      <c r="I37" s="80"/>
      <c r="J37" s="42" t="s">
        <v>23</v>
      </c>
      <c r="K37" s="44"/>
    </row>
    <row r="38" spans="3:11" ht="21.75" customHeight="1">
      <c r="C38" s="42" t="s">
        <v>25</v>
      </c>
      <c r="D38" s="80"/>
      <c r="E38" s="42" t="s">
        <v>26</v>
      </c>
      <c r="F38" s="44"/>
      <c r="H38" s="42" t="s">
        <v>25</v>
      </c>
      <c r="I38" s="80"/>
      <c r="J38" s="42" t="s">
        <v>26</v>
      </c>
      <c r="K38" s="44"/>
    </row>
    <row r="39" spans="3:11" ht="21.75" customHeight="1">
      <c r="C39" s="42" t="s">
        <v>27</v>
      </c>
      <c r="D39" s="80"/>
      <c r="E39" s="42" t="s">
        <v>28</v>
      </c>
      <c r="F39" s="44"/>
      <c r="H39" s="42" t="s">
        <v>27</v>
      </c>
      <c r="I39" s="80"/>
      <c r="J39" s="42" t="s">
        <v>28</v>
      </c>
      <c r="K39" s="44"/>
    </row>
    <row r="40" spans="3:11" ht="21.75" customHeight="1">
      <c r="C40" s="42"/>
      <c r="D40" s="80"/>
      <c r="E40" s="42" t="s">
        <v>29</v>
      </c>
      <c r="F40" s="44"/>
      <c r="H40" s="42"/>
      <c r="I40" s="80"/>
      <c r="J40" s="42" t="s">
        <v>29</v>
      </c>
      <c r="K40" s="44"/>
    </row>
    <row r="41" spans="3:11" ht="21.75" customHeight="1">
      <c r="C41" s="42" t="s">
        <v>30</v>
      </c>
      <c r="D41" s="80"/>
      <c r="E41" s="42" t="s">
        <v>31</v>
      </c>
      <c r="F41" s="44"/>
      <c r="H41" s="42" t="s">
        <v>30</v>
      </c>
      <c r="I41" s="80"/>
      <c r="J41" s="42" t="s">
        <v>31</v>
      </c>
      <c r="K41" s="44"/>
    </row>
    <row r="42" spans="3:11" ht="21.75" customHeight="1">
      <c r="C42" s="42"/>
      <c r="D42" s="81">
        <f>SUM(D41*-50)</f>
        <v>0</v>
      </c>
      <c r="E42" s="42" t="s">
        <v>32</v>
      </c>
      <c r="F42" s="44"/>
      <c r="H42" s="42"/>
      <c r="I42" s="81">
        <f>SUM(I41*-50)</f>
        <v>0</v>
      </c>
      <c r="J42" s="42" t="s">
        <v>32</v>
      </c>
      <c r="K42" s="44"/>
    </row>
    <row r="43" spans="3:11" ht="21.75" customHeight="1" thickBot="1">
      <c r="C43" s="56"/>
      <c r="D43" s="82"/>
      <c r="E43" s="56" t="s">
        <v>33</v>
      </c>
      <c r="F43" s="58"/>
      <c r="H43" s="56"/>
      <c r="I43" s="82"/>
      <c r="J43" s="56" t="s">
        <v>33</v>
      </c>
      <c r="K43" s="58"/>
    </row>
    <row r="44" spans="3:11" ht="21.75" customHeight="1" thickBot="1">
      <c r="C44" s="59" t="s">
        <v>34</v>
      </c>
      <c r="D44" s="83">
        <f>SUM((D35-D36-D37-D38-D39-D40)*I1+D42)</f>
        <v>0</v>
      </c>
      <c r="E44" s="59" t="s">
        <v>34</v>
      </c>
      <c r="F44" s="61">
        <f>SUM(F35:F43)</f>
        <v>0</v>
      </c>
      <c r="G44" s="62"/>
      <c r="H44" s="59" t="s">
        <v>34</v>
      </c>
      <c r="I44" s="83">
        <f>SUM((I35-I36-I37-I38-I39-I40)*I1+I42)</f>
        <v>0</v>
      </c>
      <c r="J44" s="59" t="s">
        <v>34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103">
        <f>+'(9)'!E1</f>
        <v>1109</v>
      </c>
      <c r="F1" s="1"/>
      <c r="G1" s="1"/>
      <c r="H1" s="1"/>
      <c r="I1" s="1"/>
      <c r="J1" s="1"/>
      <c r="K1" s="1"/>
      <c r="L1" s="22">
        <f>+ROUND(+O5*0.584/1000,3)</f>
        <v>5.1379999999999999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8.907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89.07</v>
      </c>
      <c r="M3" s="18" t="s">
        <v>10</v>
      </c>
      <c r="N3" s="3"/>
      <c r="O3" s="3"/>
      <c r="P3" s="132" t="str">
        <f>+'(1)'!C1&amp;"년"&amp;'(1)'!E1&amp;"월"&amp;C1&amp;"일"</f>
        <v>2022년9월10일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5973.6220000000003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2823.6379999999999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35409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135000</v>
      </c>
      <c r="L5" s="2"/>
      <c r="M5" s="20"/>
      <c r="N5" s="45" t="str">
        <f>+C4</f>
        <v>판매량</v>
      </c>
      <c r="O5" s="46">
        <f>SUM(D4+I4+D17+I17+D35+I35)</f>
        <v>8797.26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430000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6258599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9251140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9251140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5766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5766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56578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6624746.7980000004</v>
      </c>
      <c r="E13" s="29" t="str">
        <f>+'(1)'!E13</f>
        <v>합계</v>
      </c>
      <c r="F13" s="61">
        <f>SUM(F4:F12)</f>
        <v>6624943</v>
      </c>
      <c r="G13" s="62"/>
      <c r="H13" s="29" t="str">
        <f t="shared" si="2"/>
        <v>합계</v>
      </c>
      <c r="I13" s="60">
        <f>SUM((I4-I5-I6-I7-I8-I9)*$E$1+I11)</f>
        <v>3131414.5419999999</v>
      </c>
      <c r="J13" s="29" t="str">
        <f t="shared" si="3"/>
        <v>합계</v>
      </c>
      <c r="K13" s="61">
        <f>IF(K8=0,0,SUM(K4:K12)-F8)</f>
        <v>3130541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56578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196.20199999958277</v>
      </c>
      <c r="G14" s="27"/>
      <c r="H14" s="27"/>
      <c r="I14" s="27"/>
      <c r="J14" s="27"/>
      <c r="K14" s="67">
        <f>SUM(K13-I13)</f>
        <v>-873.54199999989942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9756161.3399999999</v>
      </c>
      <c r="P14" s="39" t="str">
        <f t="shared" si="5"/>
        <v>합계</v>
      </c>
      <c r="Q14" s="69">
        <f>SUM(Q5:Q13)</f>
        <v>9755484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-677.34000000031665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2</v>
      </c>
      <c r="Q19" s="48">
        <f>SUM(P19*1000)</f>
        <v>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11</v>
      </c>
      <c r="Q20" s="53">
        <f>SUM(P20*1000)</f>
        <v>11000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0</v>
      </c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48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65</v>
      </c>
      <c r="Q26" s="69">
        <f>SUM(Q19:Q25)</f>
        <v>15000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15941</v>
      </c>
      <c r="P29" s="107">
        <v>15943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L8" sqref="L8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1109</v>
      </c>
      <c r="F1" s="1"/>
      <c r="G1" s="1"/>
      <c r="H1" s="1"/>
      <c r="I1" s="1"/>
      <c r="J1" s="1"/>
      <c r="K1" s="1"/>
      <c r="L1" s="22">
        <f>+ROUND(+O5*0.584/1000,3)</f>
        <v>4.6820000000000004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8.5229999999999997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93.753</v>
      </c>
      <c r="M3" s="18" t="s">
        <v>10</v>
      </c>
      <c r="N3" s="3"/>
      <c r="O3" s="3"/>
      <c r="P3" s="132" t="str">
        <f>+'(1)'!C1&amp;"년"&amp;'(1)'!E1&amp;"월"&amp;C1&amp;"일"</f>
        <v>2022년9월11일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5069.4139999999998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2947.8710000000001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26812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8017.2849999999999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535000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5171976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8197882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8197882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26637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20562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47199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58394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5621980.1260000002</v>
      </c>
      <c r="E13" s="29" t="str">
        <f>+'(1)'!E13</f>
        <v>합계</v>
      </c>
      <c r="F13" s="61">
        <f>SUM(F4:F12)</f>
        <v>5622007</v>
      </c>
      <c r="G13" s="62"/>
      <c r="H13" s="29" t="str">
        <f t="shared" si="2"/>
        <v>합계</v>
      </c>
      <c r="I13" s="60">
        <f>SUM((I4-I5-I6-I7-I8-I9)*$E$1+I11)</f>
        <v>3269188.9390000002</v>
      </c>
      <c r="J13" s="29" t="str">
        <f t="shared" si="3"/>
        <v>합계</v>
      </c>
      <c r="K13" s="61">
        <f>IF(K8=0,0,SUM(K4:K12)-F8)</f>
        <v>3271468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58394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26.873999999836087</v>
      </c>
      <c r="G14" s="27"/>
      <c r="H14" s="27"/>
      <c r="I14" s="27"/>
      <c r="J14" s="27"/>
      <c r="K14" s="67">
        <f>SUM(K13-I13)</f>
        <v>2279.0609999997541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8891169.0649999995</v>
      </c>
      <c r="P14" s="39" t="str">
        <f t="shared" si="5"/>
        <v>합계</v>
      </c>
      <c r="Q14" s="69">
        <f>SUM(Q5:Q13)</f>
        <v>8893475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2305.9349999995902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8</v>
      </c>
      <c r="Q19" s="48">
        <f t="shared" ref="Q19:Q24" si="12"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9</v>
      </c>
      <c r="Q20" s="53">
        <f t="shared" si="12"/>
        <v>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0</v>
      </c>
      <c r="Q21" s="53">
        <f t="shared" si="12"/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0</v>
      </c>
      <c r="Q22" s="53">
        <f t="shared" si="12"/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>
        <v>0</v>
      </c>
      <c r="Q23" s="53">
        <f t="shared" si="12"/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0</v>
      </c>
      <c r="Q24" s="53">
        <f t="shared" si="12"/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47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64</v>
      </c>
      <c r="Q26" s="69">
        <f>SUM(Q19:Q25)</f>
        <v>17000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15943</v>
      </c>
      <c r="P29" s="107">
        <v>15943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13" sqref="K13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1109</v>
      </c>
      <c r="F1" s="1"/>
      <c r="G1" s="1"/>
      <c r="H1" s="1"/>
      <c r="I1" s="1"/>
      <c r="J1" s="1"/>
      <c r="K1" s="1"/>
      <c r="L1" s="22">
        <f>+ROUND(+O5*0.584/1000,3)</f>
        <v>5.3070000000000004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8.2550000000000008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99.06</v>
      </c>
      <c r="M3" s="18" t="s">
        <v>10</v>
      </c>
      <c r="N3" s="3"/>
      <c r="O3" s="3"/>
      <c r="P3" s="132" t="str">
        <f>+'(1)'!C1&amp;"년"&amp;'(1)'!E1&amp;"월"&amp;C1&amp;"일"</f>
        <v>2022년9월12일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5455.96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3631.59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17501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215000</v>
      </c>
      <c r="L5" s="2"/>
      <c r="M5" s="20"/>
      <c r="N5" s="45" t="str">
        <f>+C4</f>
        <v>판매량</v>
      </c>
      <c r="O5" s="46">
        <f>SUM(D4+I4+D17+I17+D35+I35)</f>
        <v>9087.5499999999993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22.914000000000001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510000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22.914000000000001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5661593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9417086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9417086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30.908000000000001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-1081.78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30.908000000000001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83919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27194</v>
      </c>
      <c r="L12" s="2"/>
      <c r="M12" s="20"/>
      <c r="N12" s="51" t="str">
        <f t="shared" si="4"/>
        <v>-</v>
      </c>
      <c r="O12" s="55">
        <f>SUM(O11*-35)</f>
        <v>-1081.78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6049577.8599999994</v>
      </c>
      <c r="E13" s="29" t="str">
        <f>+'(1)'!E13</f>
        <v>합계</v>
      </c>
      <c r="F13" s="61">
        <f>SUM(F4:F12)</f>
        <v>6050512</v>
      </c>
      <c r="G13" s="62"/>
      <c r="H13" s="29" t="str">
        <f t="shared" si="2"/>
        <v>합계</v>
      </c>
      <c r="I13" s="60">
        <f>SUM((I4-I5-I6-I7-I8-I9)*$E$1+I11)</f>
        <v>4002021.6839999999</v>
      </c>
      <c r="J13" s="29" t="str">
        <f t="shared" si="3"/>
        <v>합계</v>
      </c>
      <c r="K13" s="61">
        <f>IF(K8=0,0,SUM(K4:K12)-F8)</f>
        <v>4001687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111113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934.14000000059605</v>
      </c>
      <c r="G14" s="27"/>
      <c r="H14" s="27"/>
      <c r="I14" s="27"/>
      <c r="J14" s="27"/>
      <c r="K14" s="67">
        <f>SUM(K13-I13)</f>
        <v>-334.68399999989197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10051599.544</v>
      </c>
      <c r="P14" s="39" t="str">
        <f t="shared" si="5"/>
        <v>합계</v>
      </c>
      <c r="Q14" s="69">
        <f>SUM(Q5:Q13)</f>
        <v>10052199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599.45600000070408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26</v>
      </c>
      <c r="Q20" s="53">
        <f>SUM(P20*1000)</f>
        <v>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53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100</v>
      </c>
      <c r="Q26" s="69">
        <f>SUM(Q19:Q25)</f>
        <v>44000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15943</v>
      </c>
      <c r="P29" s="107">
        <v>15946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7" sqref="K7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1109</v>
      </c>
      <c r="F1" s="1"/>
      <c r="G1" s="1"/>
      <c r="H1" s="1"/>
      <c r="I1" s="1"/>
      <c r="J1" s="1"/>
      <c r="K1" s="1"/>
      <c r="L1" s="22">
        <f>+ROUND(+O5*0.584/1000,3)</f>
        <v>10.019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8.391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109.083</v>
      </c>
      <c r="M3" s="18" t="s">
        <v>10</v>
      </c>
      <c r="N3" s="3"/>
      <c r="O3" s="3"/>
      <c r="P3" s="132" t="str">
        <f>+'(1)'!C1&amp;"년"&amp;'(1)'!E1&amp;"월"&amp;C1&amp;"일"</f>
        <v>2022년9월13일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10697.419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6458.0919999999996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36377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155000</v>
      </c>
      <c r="L5" s="2"/>
      <c r="M5" s="20"/>
      <c r="N5" s="45" t="str">
        <f>+C4</f>
        <v>판매량</v>
      </c>
      <c r="O5" s="46">
        <f>SUM(D4+I4+D17+I17+D35+I35)</f>
        <v>17155.510999999999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395.96300000000002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19.459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420000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415.42200000000003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11043565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18017521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18017521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367.959</v>
      </c>
      <c r="E10" s="42" t="str">
        <f>+'(1)'!E10</f>
        <v>OK케시백</v>
      </c>
      <c r="F10" s="44">
        <v>11364</v>
      </c>
      <c r="G10" s="27"/>
      <c r="H10" s="42" t="str">
        <f t="shared" si="2"/>
        <v>고객우대</v>
      </c>
      <c r="I10" s="50">
        <v>54.371000000000002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-12878.565000000001</v>
      </c>
      <c r="E11" s="42" t="str">
        <f>+'(1)'!E11</f>
        <v>모바일</v>
      </c>
      <c r="F11" s="44">
        <v>90000</v>
      </c>
      <c r="G11" s="27"/>
      <c r="H11" s="87" t="str">
        <f t="shared" si="2"/>
        <v>-</v>
      </c>
      <c r="I11" s="55">
        <f>SUM(I10*-35)</f>
        <v>-1902.9850000000001</v>
      </c>
      <c r="J11" s="42" t="str">
        <f t="shared" si="3"/>
        <v>모바일</v>
      </c>
      <c r="K11" s="44">
        <v>8000</v>
      </c>
      <c r="L11" s="2"/>
      <c r="M11" s="20"/>
      <c r="N11" s="51" t="str">
        <f t="shared" si="4"/>
        <v>고객우대</v>
      </c>
      <c r="O11" s="54">
        <f>SUM(D10+I10+D23+I23+D41+I41)</f>
        <v>422.33</v>
      </c>
      <c r="P11" s="51" t="str">
        <f t="shared" si="5"/>
        <v>OK케시백</v>
      </c>
      <c r="Q11" s="53">
        <f>SUM(F10+K10+F23+K23+F41+K41)</f>
        <v>11364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-14781.55</v>
      </c>
      <c r="P12" s="51" t="str">
        <f t="shared" si="5"/>
        <v>모바일</v>
      </c>
      <c r="Q12" s="53">
        <f>SUM(F11+K11+F24+K24+F42+K42)</f>
        <v>98000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11411436.139</v>
      </c>
      <c r="E13" s="29" t="str">
        <f>+'(1)'!E13</f>
        <v>합계</v>
      </c>
      <c r="F13" s="61">
        <f>SUM(F4:F12)</f>
        <v>11410929</v>
      </c>
      <c r="G13" s="62"/>
      <c r="H13" s="29" t="str">
        <f t="shared" si="2"/>
        <v>합계</v>
      </c>
      <c r="I13" s="60">
        <f>SUM((I4-I5-I6-I7-I8-I9)*$E$1+I11)</f>
        <v>7138541.0119999992</v>
      </c>
      <c r="J13" s="29" t="str">
        <f t="shared" si="3"/>
        <v>합계</v>
      </c>
      <c r="K13" s="61">
        <f>IF(K8=0,0,SUM(K4:K12)-F8)</f>
        <v>7138956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-507.13900000043213</v>
      </c>
      <c r="G14" s="27"/>
      <c r="H14" s="27"/>
      <c r="I14" s="27"/>
      <c r="J14" s="27"/>
      <c r="K14" s="67">
        <f>SUM(K13-I13)</f>
        <v>414.98800000082701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18549977.151000001</v>
      </c>
      <c r="P14" s="39" t="str">
        <f t="shared" si="5"/>
        <v>합계</v>
      </c>
      <c r="Q14" s="69">
        <f>SUM(Q5:Q13)</f>
        <v>18549885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-92.150999999605119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14</v>
      </c>
      <c r="Q20" s="53">
        <f>SUM(P20*1000)</f>
        <v>14000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63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114</v>
      </c>
      <c r="Q26" s="69">
        <f>SUM(Q19:Q25)</f>
        <v>28000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15946</v>
      </c>
      <c r="P29" s="107">
        <v>15947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0" sqref="D10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1109</v>
      </c>
      <c r="F1" s="1"/>
      <c r="G1" s="1"/>
      <c r="H1" s="1"/>
      <c r="I1" s="1"/>
      <c r="J1" s="1"/>
      <c r="K1" s="1"/>
      <c r="L1" s="22">
        <f>+ROUND(+O5*0.584/1000,3)</f>
        <v>8.9580000000000002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8.4320000000000004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118.048</v>
      </c>
      <c r="M3" s="18" t="s">
        <v>10</v>
      </c>
      <c r="N3" s="3"/>
      <c r="O3" s="3"/>
      <c r="P3" s="132" t="str">
        <f>+'(1)'!C1&amp;"년"&amp;'(1)'!E1&amp;"월"&amp;C1&amp;"일"</f>
        <v>2022년9월14일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9850.5679999999993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5489.0469999999996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19738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75000</v>
      </c>
      <c r="L5" s="2"/>
      <c r="M5" s="20"/>
      <c r="N5" s="45" t="str">
        <f>+C4</f>
        <v>판매량</v>
      </c>
      <c r="O5" s="46">
        <f>SUM(D4+I4+D17+I17+D35+I35)</f>
        <v>15339.614999999998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285.16899999999998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320000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285.16899999999998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10236720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16226749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70000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16226749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167.77099999999999</v>
      </c>
      <c r="E10" s="42" t="str">
        <f>+'(1)'!E10</f>
        <v>OK케시백</v>
      </c>
      <c r="F10" s="44">
        <v>20176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70000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-5871.9849999999997</v>
      </c>
      <c r="E11" s="42" t="str">
        <f>+'(1)'!E11</f>
        <v>모바일</v>
      </c>
      <c r="F11" s="44">
        <v>44000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167.77099999999999</v>
      </c>
      <c r="P11" s="51" t="str">
        <f t="shared" si="5"/>
        <v>OK케시백</v>
      </c>
      <c r="Q11" s="53">
        <f>SUM(F10+K10+F23+K23+F41+K41)</f>
        <v>20176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-5871.9849999999997</v>
      </c>
      <c r="P12" s="51" t="str">
        <f t="shared" si="5"/>
        <v>모바일</v>
      </c>
      <c r="Q12" s="53">
        <f>SUM(F11+K11+F24+K24+F42+K42)</f>
        <v>44000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10602155.505999999</v>
      </c>
      <c r="E13" s="29" t="str">
        <f>+'(1)'!E13</f>
        <v>합계</v>
      </c>
      <c r="F13" s="61">
        <f>SUM(F4:F12)</f>
        <v>10619896</v>
      </c>
      <c r="G13" s="62"/>
      <c r="H13" s="29" t="str">
        <f t="shared" si="2"/>
        <v>합계</v>
      </c>
      <c r="I13" s="60">
        <f>SUM((I4-I5-I6-I7-I8-I9)*$E$1+I11)</f>
        <v>6087353.1229999997</v>
      </c>
      <c r="J13" s="29" t="str">
        <f t="shared" si="3"/>
        <v>합계</v>
      </c>
      <c r="K13" s="61">
        <f>IF(K8=0,0,SUM(K4:K12)-F8)</f>
        <v>6069029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17740.494000000879</v>
      </c>
      <c r="G14" s="27"/>
      <c r="H14" s="27"/>
      <c r="I14" s="27"/>
      <c r="J14" s="27"/>
      <c r="K14" s="67">
        <f>SUM(K13-I13)</f>
        <v>-18324.122999999672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16689508.628999999</v>
      </c>
      <c r="P14" s="39" t="str">
        <f t="shared" si="5"/>
        <v>합계</v>
      </c>
      <c r="Q14" s="69">
        <f>SUM(Q5:Q13)</f>
        <v>16688925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-583.62899999879301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11</v>
      </c>
      <c r="Q20" s="53">
        <f>SUM(P20*1000)</f>
        <v>11000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14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59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112</v>
      </c>
      <c r="Q26" s="69">
        <f>SUM(Q19:Q25)</f>
        <v>29000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15947</v>
      </c>
      <c r="P29" s="107">
        <v>15952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12" sqref="K12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1109</v>
      </c>
      <c r="F1" s="1"/>
      <c r="G1" s="1"/>
      <c r="H1" s="1"/>
      <c r="I1" s="1"/>
      <c r="J1" s="1"/>
      <c r="K1" s="1"/>
      <c r="L1" s="22">
        <f>+ROUND(+O5*0.584/1000,3)</f>
        <v>9.4440000000000008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8.4990000000000006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127.48500000000001</v>
      </c>
      <c r="M3" s="18" t="s">
        <v>10</v>
      </c>
      <c r="N3" s="3"/>
      <c r="O3" s="3"/>
      <c r="P3" s="132" t="str">
        <f>+'(1)'!C1&amp;"년"&amp;'(1)'!E1&amp;"월"&amp;C1&amp;"일"</f>
        <v>2022년9월15일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10565.083000000001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5606.4669999999996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39915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145000</v>
      </c>
      <c r="L5" s="2"/>
      <c r="M5" s="20"/>
      <c r="N5" s="45" t="str">
        <f>+C4</f>
        <v>판매량</v>
      </c>
      <c r="O5" s="46">
        <f>SUM(D4+I4+D17+I17+D35+I35)</f>
        <v>16171.55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296.94299999999998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330000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296.94299999999998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11108373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17164819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17164819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523.84500000000003</v>
      </c>
      <c r="E10" s="42" t="str">
        <f>+'(1)'!E10</f>
        <v>OK케시백</v>
      </c>
      <c r="F10" s="44">
        <v>39268</v>
      </c>
      <c r="G10" s="27"/>
      <c r="H10" s="42" t="str">
        <f t="shared" si="2"/>
        <v>고객우대</v>
      </c>
      <c r="I10" s="50">
        <v>40.880000000000003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-18334.575000000001</v>
      </c>
      <c r="E11" s="42" t="str">
        <f>+'(1)'!E11</f>
        <v>모바일</v>
      </c>
      <c r="F11" s="44">
        <v>35000</v>
      </c>
      <c r="G11" s="27"/>
      <c r="H11" s="87" t="str">
        <f t="shared" si="2"/>
        <v>-</v>
      </c>
      <c r="I11" s="55">
        <f>SUM(I10*-35)</f>
        <v>-1430.8000000000002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564.72500000000002</v>
      </c>
      <c r="P11" s="51" t="str">
        <f t="shared" si="5"/>
        <v>OK케시백</v>
      </c>
      <c r="Q11" s="53">
        <f>SUM(F10+K10+F23+K23+F41+K41)</f>
        <v>39268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-19765.375</v>
      </c>
      <c r="P12" s="51" t="str">
        <f t="shared" si="5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11369032.685000002</v>
      </c>
      <c r="E13" s="29" t="str">
        <f>+'(1)'!E13</f>
        <v>합계</v>
      </c>
      <c r="F13" s="61">
        <f>SUM(F4:F12)</f>
        <v>11369641</v>
      </c>
      <c r="G13" s="62"/>
      <c r="H13" s="29" t="str">
        <f t="shared" si="2"/>
        <v>합계</v>
      </c>
      <c r="I13" s="60">
        <f>SUM((I4-I5-I6-I7-I8-I9)*$E$1+I11)</f>
        <v>6216141.1030000001</v>
      </c>
      <c r="J13" s="29" t="str">
        <f t="shared" si="3"/>
        <v>합계</v>
      </c>
      <c r="K13" s="61">
        <f>IF(K8=0,0,SUM(K4:K12)-F8)</f>
        <v>6215446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608.31499999761581</v>
      </c>
      <c r="G14" s="27"/>
      <c r="H14" s="27"/>
      <c r="I14" s="27"/>
      <c r="J14" s="27"/>
      <c r="K14" s="67">
        <f>SUM(K13-I13)</f>
        <v>-695.10300000011921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17585173.787999999</v>
      </c>
      <c r="P14" s="39" t="str">
        <f t="shared" si="5"/>
        <v>합계</v>
      </c>
      <c r="Q14" s="69">
        <f>SUM(Q5:Q13)</f>
        <v>17585087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-86.788000002503395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24</v>
      </c>
      <c r="Q20" s="53">
        <f>SUM(P20*1000)</f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58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107</v>
      </c>
      <c r="Q26" s="69">
        <f>SUM(Q19:Q25)</f>
        <v>36000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15952</v>
      </c>
      <c r="P29" s="107">
        <v>15953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1109</v>
      </c>
      <c r="F1" s="1"/>
      <c r="G1" s="1"/>
      <c r="H1" s="1"/>
      <c r="I1" s="1"/>
      <c r="J1" s="1"/>
      <c r="K1" s="1"/>
      <c r="L1" s="22">
        <f>+ROUND(+O5*0.584/1000,3)</f>
        <v>9.2880000000000003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8.548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136.768</v>
      </c>
      <c r="M3" s="18" t="s">
        <v>10</v>
      </c>
      <c r="N3" s="3"/>
      <c r="O3" s="3"/>
      <c r="P3" s="132" t="str">
        <f>+'(1)'!C1&amp;"년"&amp;'(1)'!E1&amp;"월"&amp;C1&amp;"일"</f>
        <v>2022년9월16일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9874.241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6029.585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22556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295000</v>
      </c>
      <c r="L5" s="2"/>
      <c r="M5" s="20"/>
      <c r="N5" s="45" t="str">
        <f>+C4</f>
        <v>판매량</v>
      </c>
      <c r="O5" s="46">
        <f>SUM(D4+I4+D17+I17+D35+I35)</f>
        <v>15903.826000000001</v>
      </c>
      <c r="P5" s="47" t="str">
        <f>+E4</f>
        <v>입금액</v>
      </c>
      <c r="Q5" s="48">
        <f>SUM(F4+K4+F17+K17+F35+K35)</f>
        <v>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404.54500000000002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375000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404.54500000000002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10339093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16647479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>
        <v>20000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16647479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271.678</v>
      </c>
      <c r="E10" s="42" t="str">
        <f>+'(1)'!E10</f>
        <v>OK케시백</v>
      </c>
      <c r="F10" s="44">
        <v>67661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20000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-9508.73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271.678</v>
      </c>
      <c r="P11" s="51" t="str">
        <f t="shared" si="5"/>
        <v>OK케시백</v>
      </c>
      <c r="Q11" s="53">
        <f>SUM(F10+K10+F23+K23+F41+K41)</f>
        <v>67661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58221</v>
      </c>
      <c r="L12" s="2"/>
      <c r="M12" s="20"/>
      <c r="N12" s="51" t="str">
        <f t="shared" si="4"/>
        <v>-</v>
      </c>
      <c r="O12" s="55">
        <f>SUM(O11*-35)</f>
        <v>-9508.73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10492384.134</v>
      </c>
      <c r="E13" s="29" t="str">
        <f>+'(1)'!E13</f>
        <v>합계</v>
      </c>
      <c r="F13" s="61">
        <f>SUM(F4:F12)</f>
        <v>10492754</v>
      </c>
      <c r="G13" s="62"/>
      <c r="H13" s="29" t="str">
        <f t="shared" si="2"/>
        <v>합계</v>
      </c>
      <c r="I13" s="60">
        <f>SUM((I4-I5-I6-I7-I8-I9)*$E$1+I11)</f>
        <v>6686809.7649999997</v>
      </c>
      <c r="J13" s="29" t="str">
        <f t="shared" si="3"/>
        <v>합계</v>
      </c>
      <c r="K13" s="61">
        <f>IF(K8=0,0,SUM(K4:K12)-F8)</f>
        <v>6686607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58221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369.86600000038743</v>
      </c>
      <c r="G14" s="27"/>
      <c r="H14" s="27"/>
      <c r="I14" s="27"/>
      <c r="J14" s="27"/>
      <c r="K14" s="67">
        <f>SUM(K13-I13)</f>
        <v>-202.76499999966472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17179193.899</v>
      </c>
      <c r="P14" s="39" t="str">
        <f t="shared" si="5"/>
        <v>합계</v>
      </c>
      <c r="Q14" s="69">
        <f>SUM(Q5:Q13)</f>
        <v>17179361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167.10100000072271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17</v>
      </c>
      <c r="Q20" s="53">
        <f>SUM(P20*1000)</f>
        <v>17000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55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96</v>
      </c>
      <c r="Q26" s="69">
        <f>SUM(Q19:Q25)</f>
        <v>27000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15953</v>
      </c>
      <c r="P29" s="107">
        <v>15955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1109</v>
      </c>
      <c r="F1" s="1"/>
      <c r="G1" s="1"/>
      <c r="H1" s="1"/>
      <c r="I1" s="1"/>
      <c r="J1" s="1"/>
      <c r="K1" s="1"/>
      <c r="L1" s="22">
        <f>+ROUND(+O5*0.584/1000,3)</f>
        <v>8.2379999999999995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8.5299999999999994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145.01</v>
      </c>
      <c r="M3" s="18" t="s">
        <v>10</v>
      </c>
      <c r="N3" s="3"/>
      <c r="O3" s="3"/>
      <c r="P3" s="132" t="str">
        <f>+'(1)'!C1&amp;"년"&amp;'(1)'!E1&amp;"월"&amp;C1&amp;"일"</f>
        <v>2022년9월17일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9075.848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5030.29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44479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245000</v>
      </c>
      <c r="L5" s="2"/>
      <c r="M5" s="20"/>
      <c r="N5" s="45" t="str">
        <f>+C4</f>
        <v>판매량</v>
      </c>
      <c r="O5" s="46">
        <f>SUM(D4+I4+D17+I17+D35+I35)</f>
        <v>14106.137999999999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96.882999999999996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375000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96.882999999999996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9765771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15089500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15089500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60000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65000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9957672.1850000005</v>
      </c>
      <c r="E13" s="29" t="str">
        <f>+'(1)'!E13</f>
        <v>합계</v>
      </c>
      <c r="F13" s="61">
        <f>SUM(F4:F12)</f>
        <v>9957771</v>
      </c>
      <c r="G13" s="62"/>
      <c r="H13" s="29" t="str">
        <f t="shared" si="2"/>
        <v>합계</v>
      </c>
      <c r="I13" s="60">
        <f>SUM((I4-I5-I6-I7-I8-I9)*$E$1+I11)</f>
        <v>5578591.6100000003</v>
      </c>
      <c r="J13" s="29" t="str">
        <f t="shared" si="3"/>
        <v>합계</v>
      </c>
      <c r="K13" s="61">
        <f>IF(K8=0,0,SUM(K4:K12)-F8)</f>
        <v>5577729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98.814999999478459</v>
      </c>
      <c r="G14" s="27"/>
      <c r="H14" s="27"/>
      <c r="I14" s="27"/>
      <c r="J14" s="27"/>
      <c r="K14" s="67">
        <f>SUM(K13-I13)</f>
        <v>-862.61000000033528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15536263.795</v>
      </c>
      <c r="P14" s="39" t="str">
        <f t="shared" si="5"/>
        <v>합계</v>
      </c>
      <c r="Q14" s="69">
        <f>SUM(Q5:Q13)</f>
        <v>15535500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-763.79500000085682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17</v>
      </c>
      <c r="Q20" s="53">
        <f>SUM(P20*1000)</f>
        <v>17000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14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81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142</v>
      </c>
      <c r="Q26" s="69">
        <f>SUM(Q19:Q25)</f>
        <v>38000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15955</v>
      </c>
      <c r="P29" s="107">
        <v>15961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1109</v>
      </c>
      <c r="F1" s="1"/>
      <c r="G1" s="1"/>
      <c r="H1" s="1"/>
      <c r="I1" s="1"/>
      <c r="J1" s="1"/>
      <c r="K1" s="1"/>
      <c r="L1" s="22">
        <f>+ROUND(+O5*0.584/1000,3)</f>
        <v>5.6280000000000001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8.3689999999999998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150.642</v>
      </c>
      <c r="M3" s="18" t="s">
        <v>10</v>
      </c>
      <c r="N3" s="3"/>
      <c r="O3" s="3"/>
      <c r="P3" s="132" t="str">
        <f>+'(1)'!C1&amp;"년"&amp;'(1)'!E1&amp;"월"&amp;C1&amp;"일"</f>
        <v>2022년9월18일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5716.4629999999997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3920.5140000000001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34459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285000</v>
      </c>
      <c r="L5" s="2"/>
      <c r="M5" s="20"/>
      <c r="N5" s="45" t="str">
        <f>+C4</f>
        <v>판매량</v>
      </c>
      <c r="O5" s="46">
        <f>SUM(D4+I4+D17+I17+D35+I35)</f>
        <v>9636.976999999999</v>
      </c>
      <c r="P5" s="47" t="str">
        <f>+E4</f>
        <v>입금액</v>
      </c>
      <c r="Q5" s="48">
        <f>SUM(F4+K4+F17+K17+F35+K35)</f>
        <v>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475000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6129646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10183678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10183678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13130</v>
      </c>
      <c r="G10" s="27"/>
      <c r="H10" s="42" t="str">
        <f t="shared" si="2"/>
        <v>고객우대</v>
      </c>
      <c r="I10" s="50">
        <v>62.125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-2174.375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62.125</v>
      </c>
      <c r="P11" s="51" t="str">
        <f t="shared" si="5"/>
        <v>OK케시백</v>
      </c>
      <c r="Q11" s="53">
        <f>SUM(F10+K10+F23+K23+F41+K41)</f>
        <v>13130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-2174.375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6339557.4669999992</v>
      </c>
      <c r="E13" s="29" t="str">
        <f>+'(1)'!E13</f>
        <v>합계</v>
      </c>
      <c r="F13" s="61">
        <f>SUM(F4:F12)</f>
        <v>6339776</v>
      </c>
      <c r="G13" s="62"/>
      <c r="H13" s="29" t="str">
        <f t="shared" si="2"/>
        <v>합계</v>
      </c>
      <c r="I13" s="60">
        <f>SUM((I4-I5-I6-I7-I8-I9)*$E$1+I11)</f>
        <v>4345675.6510000005</v>
      </c>
      <c r="J13" s="29" t="str">
        <f t="shared" si="3"/>
        <v>합계</v>
      </c>
      <c r="K13" s="61">
        <f>IF(K8=0,0,SUM(K4:K12)-F8)</f>
        <v>4346032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218.53300000075251</v>
      </c>
      <c r="G14" s="27"/>
      <c r="H14" s="27"/>
      <c r="I14" s="27"/>
      <c r="J14" s="27"/>
      <c r="K14" s="67">
        <f>SUM(K13-I13)</f>
        <v>356.34899999946356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10685233.117999999</v>
      </c>
      <c r="P14" s="39" t="str">
        <f t="shared" si="5"/>
        <v>합계</v>
      </c>
      <c r="Q14" s="69">
        <f>SUM(Q5:Q13)</f>
        <v>10685808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574.88200000021607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15961</v>
      </c>
      <c r="P29" s="107">
        <v>15961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1109</v>
      </c>
      <c r="F1" s="1"/>
      <c r="G1" s="1"/>
      <c r="H1" s="1"/>
      <c r="I1" s="1"/>
      <c r="J1" s="1"/>
      <c r="K1" s="1"/>
      <c r="L1" s="22">
        <f>+ROUND(+O5*0.584/1000,3)</f>
        <v>10.188000000000001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8.4649999999999999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160.83500000000001</v>
      </c>
      <c r="M3" s="18" t="s">
        <v>10</v>
      </c>
      <c r="N3" s="3"/>
      <c r="O3" s="3"/>
      <c r="P3" s="132" t="str">
        <f>+'(1)'!C1&amp;"년"&amp;'(1)'!E1&amp;"월"&amp;C1&amp;"일"</f>
        <v>2022년9월19일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11168.198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6276.585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15201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125000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155000</v>
      </c>
      <c r="L5" s="2"/>
      <c r="M5" s="20"/>
      <c r="N5" s="45" t="str">
        <f>+C4</f>
        <v>판매량</v>
      </c>
      <c r="O5" s="46">
        <f>SUM(D4+I4+D17+I17+D35+I35)</f>
        <v>17444.782999999999</v>
      </c>
      <c r="P5" s="47" t="str">
        <f>+E4</f>
        <v>입금액</v>
      </c>
      <c r="Q5" s="48">
        <f>SUM(F4+K4+F17+K17+F35+K35)</f>
        <v>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287.33600000000001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280000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287.33600000000001</v>
      </c>
      <c r="P7" s="51" t="str">
        <f t="shared" ref="P7:P14" si="5">+E6</f>
        <v>천원권</v>
      </c>
      <c r="Q7" s="53">
        <f>SUM(F6+K6+F19+K19+F37+K37)</f>
        <v>3000</v>
      </c>
      <c r="R7" s="5" t="s">
        <v>63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11764040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18566288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30000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18566288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504.13900000000001</v>
      </c>
      <c r="E10" s="42" t="str">
        <f>+'(1)'!E10</f>
        <v>OK케시백</v>
      </c>
      <c r="F10" s="44">
        <v>33691</v>
      </c>
      <c r="G10" s="27"/>
      <c r="H10" s="42" t="str">
        <f t="shared" si="2"/>
        <v>고객우대</v>
      </c>
      <c r="I10" s="50">
        <v>107.46599999999999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30000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-17644.865000000002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-3761.31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611.60500000000002</v>
      </c>
      <c r="P11" s="51" t="str">
        <f t="shared" si="5"/>
        <v>OK케시백</v>
      </c>
      <c r="Q11" s="53">
        <f>SUM(F10+K10+F23+K23+F41+K41)</f>
        <v>33691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83507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-21406.174999999999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12049231.093</v>
      </c>
      <c r="E13" s="29" t="str">
        <f>+'(1)'!E13</f>
        <v>합계</v>
      </c>
      <c r="F13" s="61">
        <f>SUM(F4:F12)</f>
        <v>12049238</v>
      </c>
      <c r="G13" s="62"/>
      <c r="H13" s="29" t="str">
        <f t="shared" si="2"/>
        <v>합계</v>
      </c>
      <c r="I13" s="60">
        <f>SUM((I4-I5-I6-I7-I8-I9)*$E$1+I11)</f>
        <v>6956971.4550000001</v>
      </c>
      <c r="J13" s="29" t="str">
        <f t="shared" si="3"/>
        <v>합계</v>
      </c>
      <c r="K13" s="61">
        <f>IF(K8=0,0,SUM(K4:K12)-F8)</f>
        <v>6967248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83507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6.9069999996572733</v>
      </c>
      <c r="G14" s="27"/>
      <c r="H14" s="27"/>
      <c r="I14" s="27"/>
      <c r="J14" s="27"/>
      <c r="K14" s="67">
        <f>SUM(K13-I13)</f>
        <v>10276.544999999925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19006202.548</v>
      </c>
      <c r="P14" s="39" t="str">
        <f t="shared" si="5"/>
        <v>합계</v>
      </c>
      <c r="Q14" s="69">
        <f>SUM(Q5:Q13)</f>
        <v>19016486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10283.451999999583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75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124</v>
      </c>
      <c r="Q26" s="69">
        <f>SUM(Q19:Q25)</f>
        <v>32000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15961</v>
      </c>
      <c r="P29" s="107">
        <v>15962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M15" sqref="M15"/>
    </sheetView>
  </sheetViews>
  <sheetFormatPr defaultRowHeight="27.75" customHeight="1"/>
  <cols>
    <col min="1" max="1" width="5.5" style="85" customWidth="1"/>
    <col min="2" max="2" width="4.75" style="85" customWidth="1"/>
    <col min="3" max="3" width="9" style="85" bestFit="1" customWidth="1"/>
    <col min="4" max="4" width="11.375" style="85" customWidth="1"/>
    <col min="5" max="5" width="11.25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11.25" style="85" bestFit="1" customWidth="1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11.25" style="85" bestFit="1" customWidth="1"/>
    <col min="17" max="18" width="12.375" style="85" bestFit="1" customWidth="1"/>
    <col min="19" max="16384" width="9" style="85"/>
  </cols>
  <sheetData>
    <row r="1" spans="3:22" ht="18.75" customHeight="1">
      <c r="C1" s="66">
        <v>2</v>
      </c>
      <c r="D1" s="84" t="s">
        <v>42</v>
      </c>
      <c r="E1" s="103">
        <f>+'(1)'!I1</f>
        <v>1109</v>
      </c>
      <c r="F1" s="27"/>
      <c r="G1" s="27"/>
      <c r="H1" s="27"/>
      <c r="I1" s="27"/>
      <c r="J1" s="27"/>
      <c r="K1" s="27"/>
      <c r="L1" s="31">
        <f>+ROUND(+O5*0.584/1000,3)</f>
        <v>9.907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11.272</v>
      </c>
      <c r="M2" s="27" t="s">
        <v>7</v>
      </c>
      <c r="N2" s="120" t="s">
        <v>43</v>
      </c>
      <c r="O2" s="120"/>
      <c r="P2" s="120"/>
      <c r="Q2" s="120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22.544</v>
      </c>
      <c r="M3" s="27" t="s">
        <v>10</v>
      </c>
      <c r="N3" s="32"/>
      <c r="O3" s="32"/>
      <c r="P3" s="119" t="str">
        <f>+'(1)'!C1&amp;"년"&amp;'(1)'!E1&amp;"월"&amp;C1&amp;"일"</f>
        <v>2022년9월2일</v>
      </c>
      <c r="Q3" s="119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10687.464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6277.15</v>
      </c>
      <c r="J4" s="34" t="str">
        <f>+E4</f>
        <v>입금액</v>
      </c>
      <c r="K4" s="36"/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46393</v>
      </c>
      <c r="S4" s="41" t="s">
        <v>44</v>
      </c>
      <c r="T4" s="27"/>
      <c r="U4" s="27"/>
      <c r="V4" s="27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260000</v>
      </c>
      <c r="L5" s="37"/>
      <c r="M5" s="86"/>
      <c r="N5" s="45" t="str">
        <f>+C4</f>
        <v>판매량</v>
      </c>
      <c r="O5" s="46">
        <f>SUM(D4+I4+D17+I17+D35+I35)</f>
        <v>16964.614000000001</v>
      </c>
      <c r="P5" s="47" t="str">
        <f>+E4</f>
        <v>입금액</v>
      </c>
      <c r="Q5" s="48">
        <f>SUM(F4+K4+F17+K17+F35+K35)</f>
        <v>0</v>
      </c>
      <c r="R5" s="49">
        <v>26</v>
      </c>
      <c r="S5" s="41" t="s">
        <v>45</v>
      </c>
      <c r="T5" s="27"/>
      <c r="U5" s="27"/>
      <c r="V5" s="27"/>
    </row>
    <row r="6" spans="3:22" ht="16.5" customHeight="1">
      <c r="C6" s="87" t="str">
        <f>+'(1)'!C6</f>
        <v>외상전표</v>
      </c>
      <c r="D6" s="50">
        <v>347.09899999999999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7000</v>
      </c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590000</v>
      </c>
      <c r="R6" s="49">
        <v>2.5</v>
      </c>
      <c r="S6" s="41" t="s">
        <v>46</v>
      </c>
      <c r="T6" s="27"/>
      <c r="U6" s="27"/>
      <c r="V6" s="27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347.09899999999999</v>
      </c>
      <c r="P7" s="51" t="str">
        <f t="shared" ref="P7:P14" si="5">+E6</f>
        <v>천원권</v>
      </c>
      <c r="Q7" s="53">
        <f>SUM(F6+K6+F19+K19+F37+K37)</f>
        <v>8000</v>
      </c>
      <c r="R7" s="40" t="s">
        <v>51</v>
      </c>
      <c r="S7" s="41" t="s">
        <v>6</v>
      </c>
      <c r="T7" s="27"/>
      <c r="U7" s="27"/>
      <c r="V7" s="27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11070426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17749792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17749792</v>
      </c>
      <c r="R9" s="40"/>
      <c r="S9" s="27"/>
      <c r="T9" s="27"/>
      <c r="U9" s="27"/>
      <c r="V9" s="27"/>
    </row>
    <row r="10" spans="3:22" ht="16.5" customHeight="1">
      <c r="C10" s="87" t="str">
        <f>+'(1)'!C10</f>
        <v>고객우대</v>
      </c>
      <c r="D10" s="50">
        <v>378.57799999999997</v>
      </c>
      <c r="E10" s="42" t="str">
        <f>+'(1)'!E10</f>
        <v>OK케시백</v>
      </c>
      <c r="F10" s="44">
        <v>22297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>
      <c r="C11" s="87" t="str">
        <f>+'(1)'!C11</f>
        <v>-</v>
      </c>
      <c r="D11" s="55">
        <f>SUM(D10*-35)</f>
        <v>-13250.23</v>
      </c>
      <c r="E11" s="42" t="str">
        <f>+'(1)'!E11</f>
        <v>모바일</v>
      </c>
      <c r="F11" s="44">
        <v>30000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15000</v>
      </c>
      <c r="L11" s="37"/>
      <c r="M11" s="86"/>
      <c r="N11" s="51" t="str">
        <f t="shared" si="4"/>
        <v>고객우대</v>
      </c>
      <c r="O11" s="54">
        <f>SUM(D10+I10+D23+I23+D41+I41)</f>
        <v>378.57799999999997</v>
      </c>
      <c r="P11" s="51" t="str">
        <f t="shared" si="5"/>
        <v>OK케시백</v>
      </c>
      <c r="Q11" s="53">
        <f>SUM(F10+K10+F23+K23+F41+K41)</f>
        <v>22297</v>
      </c>
      <c r="R11" s="40"/>
      <c r="S11" s="27"/>
      <c r="T11" s="27"/>
      <c r="U11" s="27"/>
      <c r="V11" s="27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37"/>
      <c r="M12" s="86"/>
      <c r="N12" s="51" t="str">
        <f t="shared" si="4"/>
        <v>-</v>
      </c>
      <c r="O12" s="52">
        <f>SUM(O11*-35)</f>
        <v>-13250.23</v>
      </c>
      <c r="P12" s="51" t="str">
        <f t="shared" si="5"/>
        <v>모바일</v>
      </c>
      <c r="Q12" s="53">
        <f>SUM(F11+K11+F24+K24+F42+K42)</f>
        <v>45000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11454214.555</v>
      </c>
      <c r="E13" s="29" t="str">
        <f>+'(1)'!E13</f>
        <v>합계</v>
      </c>
      <c r="F13" s="61">
        <f>SUM(F4:F12)</f>
        <v>11453723</v>
      </c>
      <c r="G13" s="62"/>
      <c r="H13" s="29" t="str">
        <f t="shared" si="2"/>
        <v>합계</v>
      </c>
      <c r="I13" s="60">
        <f>SUM((I4-I5-I6-I7-I8-I9)*$E$1+I11)</f>
        <v>6961359.3499999996</v>
      </c>
      <c r="J13" s="29" t="str">
        <f t="shared" si="3"/>
        <v>합계</v>
      </c>
      <c r="K13" s="61">
        <f>IF(K8=0,0,SUM(K4:K12)-F8)</f>
        <v>6961366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-491.55499999970198</v>
      </c>
      <c r="G14" s="27"/>
      <c r="H14" s="27"/>
      <c r="I14" s="27"/>
      <c r="J14" s="27"/>
      <c r="K14" s="67">
        <f>SUM(K13-I13)</f>
        <v>6.650000000372529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18415573.905000001</v>
      </c>
      <c r="P14" s="39" t="str">
        <f t="shared" si="5"/>
        <v>합계</v>
      </c>
      <c r="Q14" s="69">
        <f>SUM(Q5:Q13)</f>
        <v>18415089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-484.90499999932945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20</v>
      </c>
      <c r="Q19" s="48">
        <f>SUM(P19*1000)</f>
        <v>20000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31</v>
      </c>
      <c r="Q20" s="53">
        <f>SUM(P20*1000)</f>
        <v>31000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8</v>
      </c>
      <c r="Q21" s="53">
        <v>0</v>
      </c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7</v>
      </c>
      <c r="Q22" s="53">
        <f>SUM(P22*1000)</f>
        <v>7000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8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75</v>
      </c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149</v>
      </c>
      <c r="Q26" s="69">
        <f>SUM(Q19:Q25)</f>
        <v>58000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15" t="s">
        <v>55</v>
      </c>
      <c r="O28" s="104" t="s">
        <v>56</v>
      </c>
      <c r="P28" s="104" t="s">
        <v>57</v>
      </c>
      <c r="Q28" s="105" t="s">
        <v>58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16"/>
      <c r="O29" s="106">
        <v>15923</v>
      </c>
      <c r="P29" s="107">
        <v>15930</v>
      </c>
      <c r="Q29" s="108">
        <f>P29-O29</f>
        <v>7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1109</v>
      </c>
      <c r="F1" s="1"/>
      <c r="G1" s="1"/>
      <c r="H1" s="1"/>
      <c r="I1" s="1"/>
      <c r="J1" s="1"/>
      <c r="K1" s="1"/>
      <c r="L1" s="22">
        <f>+ROUND(+O5*0.584/1000,3)</f>
        <v>9.1790000000000003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8.5009999999999994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170.01999999999998</v>
      </c>
      <c r="M3" s="18" t="s">
        <v>10</v>
      </c>
      <c r="N3" s="3"/>
      <c r="O3" s="3"/>
      <c r="P3" s="132" t="str">
        <f>+'(1)'!C1&amp;"년"&amp;'(1)'!E1&amp;"월"&amp;C1&amp;"일"</f>
        <v>2022년9월20일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10167.870999999999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5549.73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35746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165000</v>
      </c>
      <c r="L5" s="2"/>
      <c r="M5" s="20"/>
      <c r="N5" s="45" t="str">
        <f>+C4</f>
        <v>판매량</v>
      </c>
      <c r="O5" s="46">
        <f>SUM(D4+I4+D17+I17+D35+I35)</f>
        <v>15717.600999999999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387.11700000000002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430000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387.11700000000002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10536004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16526464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16526464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441.80799999999999</v>
      </c>
      <c r="E10" s="42" t="str">
        <f>+'(1)'!E10</f>
        <v>OK케시백</v>
      </c>
      <c r="F10" s="44">
        <v>23242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-15463.279999999999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441.80799999999999</v>
      </c>
      <c r="P11" s="51" t="str">
        <f t="shared" si="5"/>
        <v>OK케시백</v>
      </c>
      <c r="Q11" s="53">
        <f>SUM(F10+K10+F23+K23+F41+K41)</f>
        <v>23242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-15463.279999999999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10831392.905999999</v>
      </c>
      <c r="E13" s="29" t="str">
        <f>+'(1)'!E13</f>
        <v>합계</v>
      </c>
      <c r="F13" s="61">
        <f>SUM(F4:F12)</f>
        <v>10830246</v>
      </c>
      <c r="G13" s="62"/>
      <c r="H13" s="29" t="str">
        <f t="shared" si="2"/>
        <v>합계</v>
      </c>
      <c r="I13" s="60">
        <f>SUM((I4-I5-I6-I7-I8-I9)*$E$1+I11)</f>
        <v>6154650.5699999994</v>
      </c>
      <c r="J13" s="29" t="str">
        <f t="shared" si="3"/>
        <v>합계</v>
      </c>
      <c r="K13" s="61">
        <f>IF(K8=0,0,SUM(K4:K12)-F8)</f>
        <v>6155460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-1146.9059999994934</v>
      </c>
      <c r="G14" s="27"/>
      <c r="H14" s="27"/>
      <c r="I14" s="27"/>
      <c r="J14" s="27"/>
      <c r="K14" s="67">
        <f>SUM(K13-I13)</f>
        <v>809.4300000006333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16986043.475999996</v>
      </c>
      <c r="P14" s="39" t="str">
        <f t="shared" si="5"/>
        <v>합계</v>
      </c>
      <c r="Q14" s="69">
        <f>SUM(Q5:Q13)</f>
        <v>16985706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-337.47599999886006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28</v>
      </c>
      <c r="Q20" s="53">
        <f>SUM(P20*1000)</f>
        <v>28000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71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136</v>
      </c>
      <c r="Q26" s="69">
        <f>SUM(Q19:Q25)</f>
        <v>47000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15962</v>
      </c>
      <c r="P29" s="107">
        <v>15967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8" sqref="R8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1109</v>
      </c>
      <c r="F1" s="1"/>
      <c r="G1" s="1"/>
      <c r="H1" s="1"/>
      <c r="I1" s="1"/>
      <c r="J1" s="1"/>
      <c r="K1" s="1"/>
      <c r="L1" s="22">
        <f>+ROUND(+O5*0.584/1000,3)</f>
        <v>9.2650000000000006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8.5370000000000008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179.27700000000002</v>
      </c>
      <c r="M3" s="18" t="s">
        <v>10</v>
      </c>
      <c r="N3" s="3"/>
      <c r="O3" s="3"/>
      <c r="P3" s="132" t="str">
        <f>+'(1)'!C1&amp;"년"&amp;'(1)'!E1&amp;"월"&amp;C1&amp;"일"</f>
        <v>2022년9월21일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10073.019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5792.3429999999998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18729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85000</v>
      </c>
      <c r="L5" s="2"/>
      <c r="M5" s="20"/>
      <c r="N5" s="45" t="str">
        <f>+C4</f>
        <v>판매량</v>
      </c>
      <c r="O5" s="46">
        <f>SUM(D4+I4+D17+I17+D35+I35)</f>
        <v>15865.362000000001</v>
      </c>
      <c r="P5" s="47" t="str">
        <f>+E4</f>
        <v>입금액</v>
      </c>
      <c r="Q5" s="48">
        <f>SUM(F4+K4+F17+K17+F35+K35)</f>
        <v>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272.82600000000002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22.036000000000001</v>
      </c>
      <c r="J6" s="42" t="str">
        <f t="shared" ref="J6:J13" si="3">+E6</f>
        <v>천원권</v>
      </c>
      <c r="K6" s="44">
        <v>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285000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294.86200000000002</v>
      </c>
      <c r="P7" s="51" t="str">
        <f t="shared" ref="P7:P14" si="5">+E6</f>
        <v>천원권</v>
      </c>
      <c r="Q7" s="53">
        <f>SUM(F6+K6+F19+K19+F37+K37)</f>
        <v>3000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10633847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16931318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16931318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168.744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47.079000000000001</v>
      </c>
      <c r="J10" s="42" t="str">
        <f t="shared" si="3"/>
        <v>OK케시백</v>
      </c>
      <c r="K10" s="44">
        <v>6000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-5906.04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-1647.7650000000001</v>
      </c>
      <c r="J11" s="42" t="str">
        <f t="shared" si="3"/>
        <v>모바일</v>
      </c>
      <c r="K11" s="44">
        <v>9000</v>
      </c>
      <c r="L11" s="2"/>
      <c r="M11" s="20"/>
      <c r="N11" s="51" t="str">
        <f t="shared" si="4"/>
        <v>고객우대</v>
      </c>
      <c r="O11" s="54">
        <f>SUM(D10+I10+D23+I23+D41+I41)</f>
        <v>215.82300000000001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20000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-7553.8050000000003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10862507.997</v>
      </c>
      <c r="E13" s="29" t="str">
        <f>+'(1)'!E13</f>
        <v>합계</v>
      </c>
      <c r="F13" s="61">
        <f>SUM(F4:F12)</f>
        <v>10861847</v>
      </c>
      <c r="G13" s="62"/>
      <c r="H13" s="29" t="str">
        <f t="shared" si="2"/>
        <v>합계</v>
      </c>
      <c r="I13" s="60">
        <f>SUM((I4-I5-I6-I7-I8-I9)*$E$1+I11)</f>
        <v>6397622.6979999999</v>
      </c>
      <c r="J13" s="29" t="str">
        <f t="shared" si="3"/>
        <v>합계</v>
      </c>
      <c r="K13" s="61">
        <f>IF(K8=0,0,SUM(K4:K12)-F8)</f>
        <v>6397471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-660.99699999950826</v>
      </c>
      <c r="G14" s="27"/>
      <c r="H14" s="27"/>
      <c r="I14" s="27"/>
      <c r="J14" s="27"/>
      <c r="K14" s="67">
        <f>SUM(K13-I13)</f>
        <v>-151.69799999985844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17260130.695000004</v>
      </c>
      <c r="P14" s="39" t="str">
        <f t="shared" si="5"/>
        <v>합계</v>
      </c>
      <c r="Q14" s="69">
        <f>SUM(Q5:Q13)</f>
        <v>17259318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-812.6949999993667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87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143</v>
      </c>
      <c r="Q26" s="69">
        <f>SUM(Q19:Q25)</f>
        <v>36000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15967</v>
      </c>
      <c r="P29" s="107">
        <v>15971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R8" sqref="R8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1109</v>
      </c>
      <c r="F1" s="1"/>
      <c r="G1" s="1"/>
      <c r="H1" s="1"/>
      <c r="I1" s="1"/>
      <c r="J1" s="1"/>
      <c r="K1" s="1"/>
      <c r="L1" s="22">
        <f>+ROUND(+O5*0.584/1000,3)</f>
        <v>9.8119999999999994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8.5950000000000006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189.09</v>
      </c>
      <c r="M3" s="18" t="s">
        <v>10</v>
      </c>
      <c r="N3" s="3"/>
      <c r="O3" s="3"/>
      <c r="P3" s="132" t="str">
        <f>+'(1)'!C1&amp;"년"&amp;'(1)'!E1&amp;"월"&amp;C1&amp;"일"</f>
        <v>2022년9월22일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11007.277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5794.2889999999998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37998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210000</v>
      </c>
      <c r="L5" s="2"/>
      <c r="M5" s="20"/>
      <c r="N5" s="45" t="str">
        <f>+C4</f>
        <v>판매량</v>
      </c>
      <c r="O5" s="46">
        <f>SUM(D4+I4+D17+I17+D35+I35)</f>
        <v>16801.565999999999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349.113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475000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349.113</v>
      </c>
      <c r="P7" s="51" t="str">
        <f t="shared" ref="P7:P14" si="5">+E6</f>
        <v>천원권</v>
      </c>
      <c r="Q7" s="53">
        <f>SUM(F6+K6+F19+K19+F37+K37)</f>
        <v>6000</v>
      </c>
      <c r="R7" s="5" t="s">
        <v>65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11383479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17595373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17595373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310.60000000000002</v>
      </c>
      <c r="E10" s="42" t="str">
        <f>+'(1)'!E10</f>
        <v>OK케시백</v>
      </c>
      <c r="F10" s="44">
        <v>61049</v>
      </c>
      <c r="G10" s="27"/>
      <c r="H10" s="42" t="str">
        <f t="shared" si="2"/>
        <v>고객우대</v>
      </c>
      <c r="I10" s="50">
        <v>42.344000000000001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-10871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-1482.04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352.94400000000002</v>
      </c>
      <c r="P11" s="51" t="str">
        <f t="shared" si="5"/>
        <v>OK케시백</v>
      </c>
      <c r="Q11" s="53">
        <f>SUM(F10+K10+F23+K23+F41+K41)</f>
        <v>61049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90869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-12353.04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11809032.876</v>
      </c>
      <c r="E13" s="29" t="str">
        <f>+'(1)'!E13</f>
        <v>합계</v>
      </c>
      <c r="F13" s="61">
        <f>SUM(F4:F12)</f>
        <v>11809397</v>
      </c>
      <c r="G13" s="62"/>
      <c r="H13" s="29" t="str">
        <f t="shared" si="2"/>
        <v>합계</v>
      </c>
      <c r="I13" s="60">
        <f>SUM((I4-I5-I6-I7-I8-I9)*$E$1+I11)</f>
        <v>6424384.4610000001</v>
      </c>
      <c r="J13" s="29" t="str">
        <f t="shared" si="3"/>
        <v>합계</v>
      </c>
      <c r="K13" s="61">
        <f>IF(K8=0,0,SUM(K4:K12)-F8)</f>
        <v>6423894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90869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364.12399999983609</v>
      </c>
      <c r="G14" s="27"/>
      <c r="H14" s="27"/>
      <c r="I14" s="27"/>
      <c r="J14" s="27"/>
      <c r="K14" s="67">
        <f>SUM(K13-I13)</f>
        <v>-490.46100000012666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18233417.336999997</v>
      </c>
      <c r="P14" s="39" t="str">
        <f t="shared" si="5"/>
        <v>합계</v>
      </c>
      <c r="Q14" s="69">
        <f>SUM(Q5:Q13)</f>
        <v>18233291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-126.33700000029057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14</v>
      </c>
      <c r="Q20" s="53">
        <f>SUM(P20*1000)</f>
        <v>14000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80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129</v>
      </c>
      <c r="Q26" s="69">
        <f>SUM(Q19:Q25)</f>
        <v>30000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15971</v>
      </c>
      <c r="P29" s="107">
        <v>15973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F6" sqref="F6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1109</v>
      </c>
      <c r="F1" s="1"/>
      <c r="G1" s="1"/>
      <c r="H1" s="1"/>
      <c r="I1" s="1"/>
      <c r="J1" s="1"/>
      <c r="K1" s="1"/>
      <c r="L1" s="22">
        <f>+ROUND(+O5*0.584/1000,3)</f>
        <v>9.8190000000000008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8.6479999999999997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198.904</v>
      </c>
      <c r="M3" s="18" t="s">
        <v>10</v>
      </c>
      <c r="N3" s="3"/>
      <c r="O3" s="3"/>
      <c r="P3" s="132" t="str">
        <f>+'(1)'!C1&amp;"년"&amp;'(1)'!E1&amp;"월"&amp;C1&amp;"일"</f>
        <v>2022년9월23일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10798.057000000001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6015.19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19738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150000</v>
      </c>
      <c r="L5" s="2"/>
      <c r="M5" s="20"/>
      <c r="N5" s="45" t="str">
        <f>+C4</f>
        <v>판매량</v>
      </c>
      <c r="O5" s="46">
        <f>SUM(D4+I4+D17+I17+D35+I35)</f>
        <v>16813.246999999999</v>
      </c>
      <c r="P5" s="47" t="str">
        <f>+E4</f>
        <v>입금액</v>
      </c>
      <c r="Q5" s="48">
        <f>SUM(F4+K4+F17+K17+F35+K35)</f>
        <v>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342.137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187000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342.137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11537324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18051790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18051790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318.49299999999999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58.447000000000003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-11147.254999999999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-2045.645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376.94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-13192.9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11584468.024999999</v>
      </c>
      <c r="E13" s="29" t="str">
        <f>+'(1)'!E13</f>
        <v>합계</v>
      </c>
      <c r="F13" s="61">
        <f>SUM(F4:F12)</f>
        <v>11584324</v>
      </c>
      <c r="G13" s="62"/>
      <c r="H13" s="29" t="str">
        <f t="shared" si="2"/>
        <v>합계</v>
      </c>
      <c r="I13" s="60">
        <f>SUM((I4-I5-I6-I7-I8-I9)*$E$1+I11)</f>
        <v>6668800.0650000004</v>
      </c>
      <c r="J13" s="29" t="str">
        <f t="shared" si="3"/>
        <v>합계</v>
      </c>
      <c r="K13" s="61">
        <f>IF(K8=0,0,SUM(K4:K12)-F8)</f>
        <v>6668466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-144.02499999850988</v>
      </c>
      <c r="G14" s="27"/>
      <c r="H14" s="27"/>
      <c r="I14" s="27"/>
      <c r="J14" s="27"/>
      <c r="K14" s="67">
        <f>SUM(K13-I13)</f>
        <v>-334.06500000040978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18253268.090000004</v>
      </c>
      <c r="P14" s="39" t="str">
        <f t="shared" si="5"/>
        <v>합계</v>
      </c>
      <c r="Q14" s="69">
        <f>SUM(Q5:Q13)</f>
        <v>18252790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-478.08999999891967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40</v>
      </c>
      <c r="Q20" s="53">
        <f>SUM(P20*1000)</f>
        <v>40000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68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154</v>
      </c>
      <c r="Q26" s="69">
        <f>SUM(Q19:Q25)</f>
        <v>62000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15973</v>
      </c>
      <c r="P29" s="107">
        <v>15978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L7" sqref="L7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1109</v>
      </c>
      <c r="F1" s="1"/>
      <c r="G1" s="1"/>
      <c r="H1" s="1"/>
      <c r="I1" s="1"/>
      <c r="J1" s="1"/>
      <c r="K1" s="1"/>
      <c r="L1" s="22">
        <f>+ROUND(+O5*0.584/1000,3)</f>
        <v>7.9039999999999999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8.6170000000000009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206.80800000000002</v>
      </c>
      <c r="M3" s="18" t="s">
        <v>10</v>
      </c>
      <c r="N3" s="3"/>
      <c r="O3" s="3"/>
      <c r="P3" s="132" t="str">
        <f>+'(1)'!C1&amp;"년"&amp;'(1)'!E1&amp;"월"&amp;C1&amp;"일"</f>
        <v>2022년9월24일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8711.8850000000002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4822.03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42440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170000</v>
      </c>
      <c r="L5" s="2"/>
      <c r="M5" s="20"/>
      <c r="N5" s="45" t="str">
        <f>+C4</f>
        <v>판매량</v>
      </c>
      <c r="O5" s="46">
        <f>SUM(D4+I4+D17+I17+D35+I35)</f>
        <v>13533.915000000001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89.501000000000005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470000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89.501000000000005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9216116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14373839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14373839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63.326999999999998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-2216.4449999999997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63.326999999999998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-2216.4449999999997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9560007.4110000003</v>
      </c>
      <c r="E13" s="29" t="str">
        <f>+'(1)'!E13</f>
        <v>합계</v>
      </c>
      <c r="F13" s="61">
        <f>SUM(F4:F12)</f>
        <v>9518116</v>
      </c>
      <c r="G13" s="62"/>
      <c r="H13" s="29" t="str">
        <f t="shared" si="2"/>
        <v>합계</v>
      </c>
      <c r="I13" s="60">
        <f>SUM((I4-I5-I6-I7-I8-I9)*$E$1+I11)</f>
        <v>5347631.2699999996</v>
      </c>
      <c r="J13" s="29" t="str">
        <f t="shared" si="3"/>
        <v>합계</v>
      </c>
      <c r="K13" s="61">
        <f>IF(K8=0,0,SUM(K4:K12)-F8)</f>
        <v>5347723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-41891.411000000313</v>
      </c>
      <c r="G14" s="27"/>
      <c r="H14" s="27"/>
      <c r="I14" s="27"/>
      <c r="J14" s="27"/>
      <c r="K14" s="67">
        <f>SUM(K13-I13)</f>
        <v>91.730000000447035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14907638.681</v>
      </c>
      <c r="P14" s="39" t="str">
        <f t="shared" si="5"/>
        <v>합계</v>
      </c>
      <c r="Q14" s="69">
        <f>SUM(Q5:Q13)</f>
        <v>14865839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-41799.680999999866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36</v>
      </c>
      <c r="Q20" s="53">
        <f>SUM(P20*1000)</f>
        <v>36000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74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150</v>
      </c>
      <c r="Q26" s="69">
        <f>SUM(Q19:Q25)</f>
        <v>60000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15978</v>
      </c>
      <c r="P29" s="107">
        <v>15986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6" sqref="K6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1109</v>
      </c>
      <c r="F1" s="1"/>
      <c r="G1" s="1"/>
      <c r="H1" s="1"/>
      <c r="I1" s="1"/>
      <c r="J1" s="1"/>
      <c r="K1" s="1"/>
      <c r="L1" s="22">
        <f>+ROUND(+O5*0.584/1000,3)</f>
        <v>6.5949999999999998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8.5359999999999996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213.39999999999998</v>
      </c>
      <c r="M3" s="18" t="s">
        <v>10</v>
      </c>
      <c r="N3" s="3"/>
      <c r="O3" s="3"/>
      <c r="P3" s="132" t="str">
        <f>+'(1)'!C1&amp;"년"&amp;'(1)'!E1&amp;"월"&amp;C1&amp;"일"</f>
        <v>2022년9월25일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7514.143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3778.8969999999999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30540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205000</v>
      </c>
      <c r="L5" s="2"/>
      <c r="M5" s="20"/>
      <c r="N5" s="45" t="str">
        <f>+C4</f>
        <v>판매량</v>
      </c>
      <c r="O5" s="46">
        <f>SUM(D4+I4+D17+I17+D35+I35)</f>
        <v>11293.04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23.760999999999999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395000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23.760999999999999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8104993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12050119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12050119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58.804000000000002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61.222999999999999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-2058.14</v>
      </c>
      <c r="E11" s="42" t="str">
        <f>+'(1)'!E11</f>
        <v>모바일</v>
      </c>
      <c r="F11" s="44">
        <v>35000</v>
      </c>
      <c r="G11" s="27"/>
      <c r="H11" s="87" t="str">
        <f t="shared" si="2"/>
        <v>-</v>
      </c>
      <c r="I11" s="55">
        <f>SUM(I10*-35)</f>
        <v>-2142.8049999999998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120.027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-4200.9449999999997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8331126.4470000006</v>
      </c>
      <c r="E13" s="29" t="str">
        <f>+'(1)'!E13</f>
        <v>합계</v>
      </c>
      <c r="F13" s="61">
        <f>SUM(F4:F12)</f>
        <v>8331993</v>
      </c>
      <c r="G13" s="62"/>
      <c r="H13" s="29" t="str">
        <f t="shared" si="2"/>
        <v>합계</v>
      </c>
      <c r="I13" s="60">
        <f>SUM((I4-I5-I6-I7-I8-I9)*$E$1+I11)</f>
        <v>4162303.0189999999</v>
      </c>
      <c r="J13" s="29" t="str">
        <f t="shared" si="3"/>
        <v>합계</v>
      </c>
      <c r="K13" s="61">
        <f>IF(K8=0,0,SUM(K4:K12)-F8)</f>
        <v>4161126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866.55299999937415</v>
      </c>
      <c r="G14" s="27"/>
      <c r="H14" s="27"/>
      <c r="I14" s="27"/>
      <c r="J14" s="27"/>
      <c r="K14" s="67">
        <f>SUM(K13-I13)</f>
        <v>-1177.0189999998547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12493429.466</v>
      </c>
      <c r="P14" s="39" t="str">
        <f t="shared" si="5"/>
        <v>합계</v>
      </c>
      <c r="Q14" s="69">
        <f>SUM(Q5:Q13)</f>
        <v>12493119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-310.46600000048056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24</v>
      </c>
      <c r="Q20" s="53">
        <f>SUM(P20*1000)</f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81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123</v>
      </c>
      <c r="Q26" s="69">
        <f>SUM(Q19:Q25)</f>
        <v>37000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15986</v>
      </c>
      <c r="P29" s="107">
        <v>15988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7" sqref="R7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1109</v>
      </c>
      <c r="F1" s="1"/>
      <c r="G1" s="1"/>
      <c r="H1" s="1"/>
      <c r="I1" s="1"/>
      <c r="J1" s="1"/>
      <c r="K1" s="1"/>
      <c r="L1" s="22">
        <f>+ROUND(+O5*0.584/1000,3)</f>
        <v>8.7509999999999994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8.5440000000000005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222.14400000000001</v>
      </c>
      <c r="M3" s="18" t="s">
        <v>10</v>
      </c>
      <c r="N3" s="3"/>
      <c r="O3" s="3"/>
      <c r="P3" s="132" t="str">
        <f>+'(1)'!C1&amp;"년"&amp;'(1)'!E1&amp;"월"&amp;C1&amp;"일"</f>
        <v>2022년9월26일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9432.2860000000001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5552.9579999999996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50969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125000</v>
      </c>
      <c r="L5" s="2"/>
      <c r="M5" s="20"/>
      <c r="N5" s="45" t="str">
        <f>+C4</f>
        <v>판매량</v>
      </c>
      <c r="O5" s="46">
        <f>SUM(D4+I4+D17+I17+D35+I35)</f>
        <v>14985.243999999999</v>
      </c>
      <c r="P5" s="47" t="str">
        <f>+E4</f>
        <v>입금액</v>
      </c>
      <c r="Q5" s="48">
        <f>SUM(F4+K4+F17+K17+F35+K35)</f>
        <v>0</v>
      </c>
      <c r="R5" s="7">
        <v>28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296.173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18.765000000000001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470000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314.93799999999999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60.792000000000002</v>
      </c>
      <c r="E8" s="42" t="str">
        <f>+'(1)'!E8</f>
        <v>신용카드</v>
      </c>
      <c r="F8" s="44">
        <v>9602159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15603650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60.792000000000002</v>
      </c>
      <c r="P9" s="51" t="str">
        <f t="shared" si="5"/>
        <v>신용카드</v>
      </c>
      <c r="Q9" s="53">
        <f>IF(K8=0,F8,IF(F21=0,K8,IF(K21=0,F21,K21)))</f>
        <v>15603650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316.77300000000002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91.738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-11087.055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-3210.83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408.51100000000002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52106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-14297.885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10053443.934</v>
      </c>
      <c r="E13" s="29" t="str">
        <f>+'(1)'!E13</f>
        <v>합계</v>
      </c>
      <c r="F13" s="61">
        <f>SUM(F4:F12)</f>
        <v>10018265</v>
      </c>
      <c r="G13" s="62"/>
      <c r="H13" s="29" t="str">
        <f t="shared" si="2"/>
        <v>합계</v>
      </c>
      <c r="I13" s="60">
        <f>SUM((I4-I5-I6-I7-I8-I9)*$E$1+I11)</f>
        <v>6134209.2069999995</v>
      </c>
      <c r="J13" s="29" t="str">
        <f t="shared" si="3"/>
        <v>합계</v>
      </c>
      <c r="K13" s="61">
        <f>IF(K8=0,0,SUM(K4:K12)-F8)</f>
        <v>6133491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52106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-35178.934000000358</v>
      </c>
      <c r="G14" s="27"/>
      <c r="H14" s="27"/>
      <c r="I14" s="27"/>
      <c r="J14" s="27"/>
      <c r="K14" s="67">
        <f>SUM(K13-I13)</f>
        <v>-718.20699999947101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16187653.140999999</v>
      </c>
      <c r="P14" s="39" t="str">
        <f t="shared" si="5"/>
        <v>합계</v>
      </c>
      <c r="Q14" s="69">
        <f>SUM(Q5:Q13)</f>
        <v>16151756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-35897.140999999829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15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60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121</v>
      </c>
      <c r="Q26" s="69">
        <f>SUM(Q19:Q25)</f>
        <v>36000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15988</v>
      </c>
      <c r="P29" s="107">
        <v>15989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1109</v>
      </c>
      <c r="F1" s="1"/>
      <c r="G1" s="1"/>
      <c r="H1" s="1"/>
      <c r="I1" s="1"/>
      <c r="J1" s="1"/>
      <c r="K1" s="1"/>
      <c r="L1" s="22">
        <f>+ROUND(+O5*0.584/1000,3)</f>
        <v>9.6110000000000007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8.5839999999999996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231.768</v>
      </c>
      <c r="M3" s="18" t="s">
        <v>10</v>
      </c>
      <c r="N3" s="3"/>
      <c r="O3" s="3"/>
      <c r="P3" s="132" t="str">
        <f>+'(1)'!C1&amp;"년"&amp;'(1)'!E1&amp;"월"&amp;C1&amp;"일"</f>
        <v>2022년9월27일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10682.736000000001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5775.1819999999998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34116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330000</v>
      </c>
      <c r="L5" s="2"/>
      <c r="M5" s="20"/>
      <c r="N5" s="45" t="str">
        <f>+C4</f>
        <v>판매량</v>
      </c>
      <c r="O5" s="46">
        <f>SUM(D4+I4+D17+I17+D35+I35)</f>
        <v>16457.918000000001</v>
      </c>
      <c r="P5" s="47" t="str">
        <f>+E4</f>
        <v>입금액</v>
      </c>
      <c r="Q5" s="48">
        <f>SUM(F4+K4+F17+K17+F35+K35)</f>
        <v>0</v>
      </c>
      <c r="R5" s="7">
        <v>29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338.07299999999998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445000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338.07299999999998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11206342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17315551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17315551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330.77600000000001</v>
      </c>
      <c r="E10" s="42" t="str">
        <f>+'(1)'!E10</f>
        <v>OK케시백</v>
      </c>
      <c r="F10" s="44">
        <v>50046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-11577.16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330.77600000000001</v>
      </c>
      <c r="P11" s="51" t="str">
        <f t="shared" si="5"/>
        <v>OK케시백</v>
      </c>
      <c r="Q11" s="53">
        <f>SUM(F10+K10+F23+K23+F41+K41)</f>
        <v>50046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-11577.16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11460654.107000001</v>
      </c>
      <c r="E13" s="29" t="str">
        <f>+'(1)'!E13</f>
        <v>합계</v>
      </c>
      <c r="F13" s="61">
        <f>SUM(F4:F12)</f>
        <v>11425388</v>
      </c>
      <c r="G13" s="62"/>
      <c r="H13" s="29" t="str">
        <f t="shared" si="2"/>
        <v>합계</v>
      </c>
      <c r="I13" s="60">
        <f>SUM((I4-I5-I6-I7-I8-I9)*$E$1+I11)</f>
        <v>6404676.8379999995</v>
      </c>
      <c r="J13" s="29" t="str">
        <f t="shared" si="3"/>
        <v>합계</v>
      </c>
      <c r="K13" s="61">
        <f>IF(K8=0,0,SUM(K4:K12)-F8)</f>
        <v>6439209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-35266.107000000775</v>
      </c>
      <c r="G14" s="27"/>
      <c r="H14" s="27"/>
      <c r="I14" s="27"/>
      <c r="J14" s="27"/>
      <c r="K14" s="67">
        <f>SUM(K13-I13)</f>
        <v>34532.162000000477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17865330.945</v>
      </c>
      <c r="P14" s="39" t="str">
        <f t="shared" si="5"/>
        <v>합계</v>
      </c>
      <c r="Q14" s="69">
        <f>SUM(Q5:Q13)</f>
        <v>17864597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-733.94500000029802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65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117</v>
      </c>
      <c r="Q26" s="69">
        <f>SUM(Q19:Q25)</f>
        <v>34000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15989</v>
      </c>
      <c r="P29" s="107">
        <v>15992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1109</v>
      </c>
      <c r="F1" s="1"/>
      <c r="G1" s="1"/>
      <c r="H1" s="1"/>
      <c r="I1" s="1"/>
      <c r="J1" s="1"/>
      <c r="K1" s="1"/>
      <c r="L1" s="22">
        <f>+ROUND(+O5*0.584/1000,3)</f>
        <v>9.0980000000000008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8.6020000000000003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240.85599999999999</v>
      </c>
      <c r="M3" s="18" t="s">
        <v>10</v>
      </c>
      <c r="N3" s="3"/>
      <c r="O3" s="3"/>
      <c r="P3" s="132" t="str">
        <f>+'(1)'!C1&amp;"년"&amp;'(1)'!E1&amp;"월"&amp;C1&amp;"일"</f>
        <v>2022년9월28일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9843.2839999999997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5735.9840000000004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17294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80000</v>
      </c>
      <c r="L5" s="2"/>
      <c r="M5" s="20"/>
      <c r="N5" s="45" t="str">
        <f>+C4</f>
        <v>판매량</v>
      </c>
      <c r="O5" s="46">
        <f>SUM(D4+I4+D17+I17+D35+I35)</f>
        <v>15579.268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352.79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13.92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160000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366.71000000000004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10354708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16620224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16620224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203.244</v>
      </c>
      <c r="E10" s="42" t="str">
        <f>+'(1)'!E10</f>
        <v>OK케시백</v>
      </c>
      <c r="F10" s="44">
        <v>52000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-7113.54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203.244</v>
      </c>
      <c r="P11" s="51" t="str">
        <f t="shared" si="5"/>
        <v>OK케시백</v>
      </c>
      <c r="Q11" s="53">
        <f>SUM(F10+K10+F23+K23+F41+K41)</f>
        <v>52000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20000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-7113.54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10517844.306</v>
      </c>
      <c r="E13" s="29" t="str">
        <f>+'(1)'!E13</f>
        <v>합계</v>
      </c>
      <c r="F13" s="61">
        <f>SUM(F4:F12)</f>
        <v>10517708</v>
      </c>
      <c r="G13" s="62"/>
      <c r="H13" s="29" t="str">
        <f t="shared" si="2"/>
        <v>합계</v>
      </c>
      <c r="I13" s="60">
        <f>SUM((I4-I5-I6-I7-I8-I9)*$E$1+I11)</f>
        <v>6345768.9760000007</v>
      </c>
      <c r="J13" s="29" t="str">
        <f t="shared" si="3"/>
        <v>합계</v>
      </c>
      <c r="K13" s="61">
        <f>IF(K8=0,0,SUM(K4:K12)-F8)</f>
        <v>6345516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-136.30599999986589</v>
      </c>
      <c r="G14" s="27"/>
      <c r="H14" s="27"/>
      <c r="I14" s="27"/>
      <c r="J14" s="27"/>
      <c r="K14" s="67">
        <f>SUM(K13-I13)</f>
        <v>-252.97600000072271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16863613.282000002</v>
      </c>
      <c r="P14" s="39" t="str">
        <f t="shared" si="5"/>
        <v>합계</v>
      </c>
      <c r="Q14" s="69">
        <f>SUM(Q5:Q13)</f>
        <v>16863224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-389.2820000005886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14</v>
      </c>
      <c r="Q20" s="53">
        <f>SUM(P20*1000)</f>
        <v>14000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63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110</v>
      </c>
      <c r="Q26" s="69">
        <f>SUM(Q19:Q25)</f>
        <v>30000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15992</v>
      </c>
      <c r="P29" s="107">
        <v>15993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1109</v>
      </c>
      <c r="F1" s="1"/>
      <c r="G1" s="1"/>
      <c r="H1" s="1"/>
      <c r="I1" s="1"/>
      <c r="J1" s="1"/>
      <c r="K1" s="1"/>
      <c r="L1" s="22">
        <f>+ROUND(+O5*0.584/1000,3)</f>
        <v>9.8670000000000009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8.6460000000000008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250.73400000000004</v>
      </c>
      <c r="M3" s="18" t="s">
        <v>10</v>
      </c>
      <c r="N3" s="3"/>
      <c r="O3" s="3"/>
      <c r="P3" s="132" t="str">
        <f>+'(1)'!C1&amp;"년"&amp;'(1)'!E1&amp;"월"&amp;C1&amp;"일"</f>
        <v>2022년9월29일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10835.904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6059.4750000000004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35724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16895.379000000001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260.346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80.135000000000005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500000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340.48099999999999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11355987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17742371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17742371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235.37700000000001</v>
      </c>
      <c r="E10" s="42" t="str">
        <f>+'(1)'!E10</f>
        <v>OK케시백</v>
      </c>
      <c r="F10" s="44">
        <v>59924</v>
      </c>
      <c r="G10" s="27"/>
      <c r="H10" s="42" t="str">
        <f t="shared" si="2"/>
        <v>고객우대</v>
      </c>
      <c r="I10" s="50">
        <v>195.58500000000001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-8238.1949999999997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-6845.4750000000004</v>
      </c>
      <c r="J11" s="42" t="str">
        <f t="shared" si="3"/>
        <v>모바일</v>
      </c>
      <c r="K11" s="44">
        <v>9000</v>
      </c>
      <c r="L11" s="2"/>
      <c r="M11" s="20"/>
      <c r="N11" s="51" t="str">
        <f t="shared" si="4"/>
        <v>고객우대</v>
      </c>
      <c r="O11" s="54">
        <f>SUM(D10+I10+D23+I23+D41+I41)</f>
        <v>430.96199999999999</v>
      </c>
      <c r="P11" s="51" t="str">
        <f t="shared" si="5"/>
        <v>OK케시백</v>
      </c>
      <c r="Q11" s="53">
        <f>SUM(F10+K10+F23+K23+F41+K41)</f>
        <v>59924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28972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-15083.67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11720055.627</v>
      </c>
      <c r="E13" s="29" t="str">
        <f>+'(1)'!E13</f>
        <v>합계</v>
      </c>
      <c r="F13" s="61">
        <f>SUM(F4:F12)</f>
        <v>11719883</v>
      </c>
      <c r="G13" s="62"/>
      <c r="H13" s="29" t="str">
        <f t="shared" si="2"/>
        <v>합계</v>
      </c>
      <c r="I13" s="60">
        <f>SUM((I4-I5-I6-I7-I8-I9)*$E$1+I11)</f>
        <v>6624242.5850000009</v>
      </c>
      <c r="J13" s="29" t="str">
        <f t="shared" si="3"/>
        <v>합계</v>
      </c>
      <c r="K13" s="61">
        <f>IF(K8=0,0,SUM(K4:K12)-F8)</f>
        <v>6623384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28972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-172.62700000032783</v>
      </c>
      <c r="G14" s="27"/>
      <c r="H14" s="27"/>
      <c r="I14" s="27"/>
      <c r="J14" s="27"/>
      <c r="K14" s="67">
        <f>SUM(K13-I13)</f>
        <v>-858.58500000089407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18344298.212000001</v>
      </c>
      <c r="P14" s="39" t="str">
        <f t="shared" si="5"/>
        <v>합계</v>
      </c>
      <c r="Q14" s="69">
        <f>SUM(Q5:Q13)</f>
        <v>18343267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-1031.2120000012219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24</v>
      </c>
      <c r="Q20" s="53">
        <f>SUM(P20*1000)</f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66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123</v>
      </c>
      <c r="Q26" s="69">
        <f>SUM(Q19:Q25)</f>
        <v>40000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15993</v>
      </c>
      <c r="P29" s="107">
        <v>15997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M15" sqref="M15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1109</v>
      </c>
      <c r="F1" s="1"/>
      <c r="G1" s="1"/>
      <c r="H1" s="1"/>
      <c r="I1" s="1"/>
      <c r="J1" s="1"/>
      <c r="K1" s="1"/>
      <c r="L1" s="21">
        <f>+ROUND(+O5*0.584/1000,3)</f>
        <v>8.8320000000000007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10.459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31.376999999999999</v>
      </c>
      <c r="M3" s="18" t="s">
        <v>10</v>
      </c>
      <c r="N3" s="3"/>
      <c r="O3" s="3"/>
      <c r="P3" s="132" t="str">
        <f>+'(1)'!C1&amp;"년"&amp;'(1)'!E1&amp;"월"&amp;C1&amp;"일"</f>
        <v>2022년9월3일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9408.0750000000007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5715.3739999999998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30222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305000</v>
      </c>
      <c r="L5" s="2"/>
      <c r="M5" s="20"/>
      <c r="N5" s="45" t="str">
        <f>+C4</f>
        <v>판매량</v>
      </c>
      <c r="O5" s="46">
        <f>SUM(D4+I4+D17+I17+D35+I35)</f>
        <v>15123.449000000001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27.728999999999999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465000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11" t="str">
        <f>+'(1)'!E7</f>
        <v>블루포인트</v>
      </c>
      <c r="F7" s="44">
        <v>40962</v>
      </c>
      <c r="G7" s="110"/>
      <c r="H7" s="87" t="str">
        <f t="shared" si="2"/>
        <v>효신(업)</v>
      </c>
      <c r="I7" s="50"/>
      <c r="J7" s="111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27.728999999999999</v>
      </c>
      <c r="P7" s="51" t="str">
        <f t="shared" ref="P7:P14" si="5">+E6</f>
        <v>천원권</v>
      </c>
      <c r="Q7" s="53">
        <f>SUM(F6+K6+F19+K19+F37+K37)</f>
        <v>6000</v>
      </c>
      <c r="R7" s="5" t="s">
        <v>51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10118164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16145294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2" t="str">
        <f t="shared" si="5"/>
        <v>블루포인트</v>
      </c>
      <c r="Q8" s="53">
        <f>SUM(F7+K7+F20+K20+F38+K38)</f>
        <v>40962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16145294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113.77500000000001</v>
      </c>
      <c r="E10" s="42" t="str">
        <f>+'(1)'!E10</f>
        <v>OK케시백</v>
      </c>
      <c r="F10" s="44">
        <v>7962</v>
      </c>
      <c r="G10" s="27"/>
      <c r="H10" s="42" t="str">
        <f t="shared" si="2"/>
        <v>고객우대</v>
      </c>
      <c r="I10" s="50">
        <v>65.664000000000001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-3982.125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-2298.2400000000002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179.43900000000002</v>
      </c>
      <c r="P11" s="51" t="str">
        <f t="shared" si="5"/>
        <v>OK케시백</v>
      </c>
      <c r="Q11" s="53">
        <f>SUM(F10+K10+F23+K23+F41+K41)</f>
        <v>7962</v>
      </c>
      <c r="R11" s="109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-6280.3650000000007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10398821.589000002</v>
      </c>
      <c r="E13" s="29" t="str">
        <f>+'(1)'!E13</f>
        <v>합계</v>
      </c>
      <c r="F13" s="61">
        <f>SUM(F4:F12)</f>
        <v>10400088</v>
      </c>
      <c r="G13" s="62"/>
      <c r="H13" s="29" t="str">
        <f t="shared" si="2"/>
        <v>합계</v>
      </c>
      <c r="I13" s="60">
        <f>SUM((I4-I5-I6-I7-I8-I9)*$E$1+I11)</f>
        <v>6336051.5259999996</v>
      </c>
      <c r="J13" s="29" t="str">
        <f t="shared" si="3"/>
        <v>합계</v>
      </c>
      <c r="K13" s="61">
        <f>IF(K8=0,0,SUM(K4:K12)-F8)</f>
        <v>6335130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1266.4109999984503</v>
      </c>
      <c r="G14" s="27"/>
      <c r="H14" s="27"/>
      <c r="I14" s="27"/>
      <c r="J14" s="27"/>
      <c r="K14" s="67">
        <f>SUM(K13-I13)</f>
        <v>-921.52599999960512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16734873.115</v>
      </c>
      <c r="P14" s="39" t="str">
        <f t="shared" si="5"/>
        <v>합계</v>
      </c>
      <c r="Q14" s="69">
        <f>SUM(Q5:Q13)</f>
        <v>16735218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344.88499999884516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17</v>
      </c>
      <c r="Q20" s="53">
        <f>SUM(P20*1000)</f>
        <v>17000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4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59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95</v>
      </c>
      <c r="Q26" s="69">
        <f>SUM(Q19:Q25)</f>
        <v>27000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15930</v>
      </c>
      <c r="P29" s="107">
        <v>15930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S15" sqref="S15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101">
        <f>+'(29)'!E1</f>
        <v>1109</v>
      </c>
      <c r="F1" s="1"/>
      <c r="G1" s="1"/>
      <c r="H1" s="1"/>
      <c r="I1" s="1"/>
      <c r="J1" s="1"/>
      <c r="K1" s="1"/>
      <c r="L1" s="22">
        <f>+ROUND(+O5*0.584/1000,3)</f>
        <v>6.742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8.5830000000000002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257.49</v>
      </c>
      <c r="M3" s="18" t="s">
        <v>10</v>
      </c>
      <c r="N3" s="3"/>
      <c r="O3" s="3"/>
      <c r="P3" s="132" t="str">
        <f>+'(1)'!C1&amp;"년"&amp;'(1)'!E1&amp;"월"&amp;C1&amp;"일"</f>
        <v>2022년9월30일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10539.197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1005.582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24025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30000</v>
      </c>
      <c r="L5" s="2"/>
      <c r="M5" s="20"/>
      <c r="N5" s="45" t="str">
        <f>+C4</f>
        <v>판매량</v>
      </c>
      <c r="O5" s="46">
        <f>SUM(D4+I4+D17+I17+D35+I35)</f>
        <v>11544.779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282.79000000000002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265000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282.79000000000002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11076446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12131619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12131619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394.51299999999998</v>
      </c>
      <c r="E10" s="42" t="str">
        <f>+'(1)'!E10</f>
        <v>OK케시백</v>
      </c>
      <c r="F10" s="44">
        <v>23000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-13807.955</v>
      </c>
      <c r="E11" s="42" t="str">
        <f>+'(1)'!E11</f>
        <v>모바일</v>
      </c>
      <c r="F11" s="44">
        <v>25000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30000</v>
      </c>
      <c r="L11" s="2"/>
      <c r="M11" s="20"/>
      <c r="N11" s="51" t="str">
        <f t="shared" si="4"/>
        <v>고객우대</v>
      </c>
      <c r="O11" s="54">
        <f>SUM(D10+I10+D23+I23+D41+I41)</f>
        <v>394.51299999999998</v>
      </c>
      <c r="P11" s="51" t="str">
        <f t="shared" si="5"/>
        <v>OK케시백</v>
      </c>
      <c r="Q11" s="53">
        <f>SUM(F10+K10+F23+K23+F41+K41)</f>
        <v>23000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-13807.955</v>
      </c>
      <c r="P12" s="51" t="str">
        <f t="shared" si="5"/>
        <v>모바일</v>
      </c>
      <c r="Q12" s="53">
        <f>SUM(F11+K11+F24+K24+F42+K42)</f>
        <v>55000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11360547.408</v>
      </c>
      <c r="E13" s="29" t="str">
        <f>+'(1)'!E13</f>
        <v>합계</v>
      </c>
      <c r="F13" s="61">
        <f>SUM(F4:F12)</f>
        <v>11361446</v>
      </c>
      <c r="G13" s="62"/>
      <c r="H13" s="29" t="str">
        <f t="shared" si="2"/>
        <v>합계</v>
      </c>
      <c r="I13" s="60">
        <f>SUM((I4-I5-I6-I7-I8-I9)*$E$1+I11)</f>
        <v>1115190.4380000001</v>
      </c>
      <c r="J13" s="29" t="str">
        <f t="shared" si="3"/>
        <v>합계</v>
      </c>
      <c r="K13" s="61">
        <f>IF(K8=0,0,SUM(K4:K12)-F8)</f>
        <v>1115173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898.59200000017881</v>
      </c>
      <c r="G14" s="27"/>
      <c r="H14" s="27"/>
      <c r="I14" s="27"/>
      <c r="J14" s="27"/>
      <c r="K14" s="67">
        <f>SUM(K13-I13)</f>
        <v>-17.438000000081956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12475737.845999999</v>
      </c>
      <c r="P14" s="39" t="str">
        <f t="shared" si="5"/>
        <v>합계</v>
      </c>
      <c r="Q14" s="69">
        <f>SUM(Q5:Q13)</f>
        <v>12476619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881.15400000009686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11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7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54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110</v>
      </c>
      <c r="Q26" s="69">
        <f>SUM(Q19:Q25)</f>
        <v>38000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15997</v>
      </c>
      <c r="P29" s="107">
        <v>15999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M15" sqref="M15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1109</v>
      </c>
      <c r="F1" s="1"/>
      <c r="G1" s="1"/>
      <c r="H1" s="1"/>
      <c r="I1" s="1"/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8.3059999999999992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257.48599999999999</v>
      </c>
      <c r="M3" s="18" t="s">
        <v>10</v>
      </c>
      <c r="N3" s="3"/>
      <c r="O3" s="3"/>
      <c r="P3" s="132" t="str">
        <f>+'(1)'!C1&amp;"년"&amp;'(1)'!E1&amp;"월"&amp;C1&amp;"일"</f>
        <v>2022년9월31일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+'(1)'!E4</f>
        <v>입금액</v>
      </c>
      <c r="F4" s="36"/>
      <c r="G4" s="27"/>
      <c r="H4" s="34" t="str">
        <f>+C4</f>
        <v>판매량</v>
      </c>
      <c r="I4" s="35"/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/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입금액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/>
      <c r="G8" s="27"/>
      <c r="H8" s="34" t="str">
        <f t="shared" si="2"/>
        <v>자가소비</v>
      </c>
      <c r="I8" s="50"/>
      <c r="J8" s="42" t="str">
        <f t="shared" si="3"/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0</v>
      </c>
      <c r="E13" s="29" t="str">
        <f>+'(1)'!E13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SUM((I4-I5-I6-I7-I8-I9)*$E$1+I11)</f>
        <v>0</v>
      </c>
      <c r="J13" s="29" t="str">
        <f t="shared" si="3"/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/>
      <c r="P29" s="107"/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M15" sqref="M15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1109</v>
      </c>
      <c r="F1" s="1"/>
      <c r="G1" s="1"/>
      <c r="H1" s="1"/>
      <c r="I1" s="1"/>
      <c r="J1" s="1"/>
      <c r="K1" s="1"/>
      <c r="L1" s="21">
        <f>+ROUND(+O5*0.584/1000,3)</f>
        <v>5.3920000000000003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9.1920000000000002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36.768000000000001</v>
      </c>
      <c r="M3" s="18" t="s">
        <v>10</v>
      </c>
      <c r="N3" s="3"/>
      <c r="O3" s="3"/>
      <c r="P3" s="132" t="str">
        <f>+'(1)'!C1&amp;"년"&amp;'(1)'!E1&amp;"월"&amp;C1&amp;"일"</f>
        <v>2022년9월4일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5528.2830000000004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3704.1109999999999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20081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110000</v>
      </c>
      <c r="L5" s="2"/>
      <c r="M5" s="20"/>
      <c r="N5" s="45" t="str">
        <f>+C4</f>
        <v>판매량</v>
      </c>
      <c r="O5" s="46">
        <f>SUM(D4+I4+D17+I17+D35+I35)</f>
        <v>9232.3940000000002</v>
      </c>
      <c r="P5" s="47" t="str">
        <f>+E4</f>
        <v>입금액</v>
      </c>
      <c r="Q5" s="48">
        <f>SUM(F4+K4+F17+K17+F35+K35)</f>
        <v>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210000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11" t="str">
        <f>+'(1)'!E7</f>
        <v>블루포인트</v>
      </c>
      <c r="F7" s="44"/>
      <c r="G7" s="27"/>
      <c r="H7" s="87" t="str">
        <f t="shared" si="2"/>
        <v>효신(업)</v>
      </c>
      <c r="I7" s="50"/>
      <c r="J7" s="111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5989946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9981699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2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9981699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62.944000000000003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62.149000000000001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-2203.04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-2175.2150000000001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125.093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22180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-4378.2550000000001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6128662.807</v>
      </c>
      <c r="E13" s="29" t="str">
        <f>+'(1)'!E13</f>
        <v>합계</v>
      </c>
      <c r="F13" s="61">
        <f>SUM(F4:F12)</f>
        <v>6129126</v>
      </c>
      <c r="G13" s="62"/>
      <c r="H13" s="29" t="str">
        <f t="shared" si="2"/>
        <v>합계</v>
      </c>
      <c r="I13" s="60">
        <f>SUM((I4-I5-I6-I7-I8-I9)*$E$1+I11)</f>
        <v>4105683.8840000001</v>
      </c>
      <c r="J13" s="29" t="str">
        <f t="shared" si="3"/>
        <v>합계</v>
      </c>
      <c r="K13" s="61">
        <f>IF(K8=0,0,SUM(K4:K12)-F8)</f>
        <v>4105753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22180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463.1929999999702</v>
      </c>
      <c r="G14" s="27"/>
      <c r="H14" s="27"/>
      <c r="I14" s="27"/>
      <c r="J14" s="27"/>
      <c r="K14" s="67">
        <f>SUM(K13-I13)</f>
        <v>69.115999999921769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10234346.691</v>
      </c>
      <c r="P14" s="39" t="str">
        <f t="shared" si="5"/>
        <v>합계</v>
      </c>
      <c r="Q14" s="69">
        <f>SUM(Q5:Q13)</f>
        <v>10234879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532.30899999989197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1</v>
      </c>
      <c r="Q20" s="53">
        <f>SUM(P20*1000)</f>
        <v>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>
        <v>0</v>
      </c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0</v>
      </c>
      <c r="Q24" s="53">
        <f>SUM(P24*1000)</f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2</v>
      </c>
      <c r="Q26" s="69">
        <f>SUM(Q19:Q25)</f>
        <v>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15930</v>
      </c>
      <c r="P29" s="107">
        <v>15930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1109</v>
      </c>
      <c r="F1" s="1"/>
      <c r="G1" s="1"/>
      <c r="H1" s="1"/>
      <c r="I1" s="101"/>
      <c r="J1" s="1"/>
      <c r="K1" s="1"/>
      <c r="L1" s="21">
        <f>+ROUND(+O5*0.584/1000,3)</f>
        <v>9.1560000000000006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9.1850000000000005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45.925000000000004</v>
      </c>
      <c r="M3" s="18" t="s">
        <v>10</v>
      </c>
      <c r="N3" s="3"/>
      <c r="O3" s="3"/>
      <c r="P3" s="132" t="str">
        <f>+'(1)'!C1&amp;"년"&amp;'(1)'!E1&amp;"월"&amp;C1&amp;"일"</f>
        <v>2022년9월5일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10977.819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4700.1369999999997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40561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115000</v>
      </c>
      <c r="L5" s="2"/>
      <c r="M5" s="20"/>
      <c r="N5" s="45" t="str">
        <f>+C4</f>
        <v>판매량</v>
      </c>
      <c r="O5" s="46">
        <f>SUM(D4+I4+D17+I17+D35+I35)</f>
        <v>15677.955999999998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312.90100000000001</v>
      </c>
      <c r="E6" s="42" t="str">
        <f>+'(1)'!E6</f>
        <v>천원권</v>
      </c>
      <c r="F6" s="44">
        <v>5000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355000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11" t="str">
        <f>+'(1)'!E7</f>
        <v>블루포인트</v>
      </c>
      <c r="F7" s="44"/>
      <c r="G7" s="27"/>
      <c r="H7" s="87" t="str">
        <f t="shared" si="2"/>
        <v>효신(업)</v>
      </c>
      <c r="I7" s="50"/>
      <c r="J7" s="111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312.90100000000001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11494524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16578490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2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16578490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271.24599999999998</v>
      </c>
      <c r="E10" s="42" t="str">
        <f>+'(1)'!E10</f>
        <v>OK케시백</v>
      </c>
      <c r="F10" s="44">
        <v>58722</v>
      </c>
      <c r="G10" s="27"/>
      <c r="H10" s="42" t="str">
        <f t="shared" si="2"/>
        <v>고객우대</v>
      </c>
      <c r="I10" s="50">
        <v>44.029000000000003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113" t="s">
        <v>62</v>
      </c>
      <c r="S10" s="114"/>
      <c r="T10" s="114"/>
      <c r="U10" s="1"/>
      <c r="V10" s="1"/>
    </row>
    <row r="11" spans="3:22" ht="16.5" customHeight="1">
      <c r="C11" s="87" t="str">
        <f>+'(1)'!C11</f>
        <v>-</v>
      </c>
      <c r="D11" s="55">
        <f>SUM(D10*-35)</f>
        <v>-9493.6099999999988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-1541.0150000000001</v>
      </c>
      <c r="J11" s="42" t="str">
        <f t="shared" si="3"/>
        <v>모바일</v>
      </c>
      <c r="K11" s="44">
        <v>9000</v>
      </c>
      <c r="L11" s="2"/>
      <c r="M11" s="20"/>
      <c r="N11" s="51" t="str">
        <f t="shared" si="4"/>
        <v>고객우대</v>
      </c>
      <c r="O11" s="54">
        <f>SUM(D10+I10+D23+I23+D41+I41)</f>
        <v>315.27499999999998</v>
      </c>
      <c r="P11" s="51" t="str">
        <f t="shared" si="5"/>
        <v>OK케시백</v>
      </c>
      <c r="Q11" s="53">
        <f>SUM(F10+K10+F23+K23+F41+K41)</f>
        <v>58722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19308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-11034.625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11817900.452</v>
      </c>
      <c r="E13" s="29" t="str">
        <f>+'(1)'!E13</f>
        <v>합계</v>
      </c>
      <c r="F13" s="61">
        <f>SUM(F4:F12)</f>
        <v>11817554</v>
      </c>
      <c r="G13" s="62"/>
      <c r="H13" s="29" t="str">
        <f t="shared" si="2"/>
        <v>합계</v>
      </c>
      <c r="I13" s="60">
        <f>SUM((I4-I5-I6-I7-I8-I9)*$E$1+I11)</f>
        <v>5210910.9179999996</v>
      </c>
      <c r="J13" s="29" t="str">
        <f t="shared" si="3"/>
        <v>합계</v>
      </c>
      <c r="K13" s="61">
        <f>IF(K8=0,0,SUM(K4:K12)-F8)</f>
        <v>5210966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19308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-346.45199999958277</v>
      </c>
      <c r="G14" s="27"/>
      <c r="H14" s="27"/>
      <c r="I14" s="27"/>
      <c r="J14" s="27"/>
      <c r="K14" s="67">
        <f>SUM(K13-I13)</f>
        <v>55.082000000402331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17028811.369999997</v>
      </c>
      <c r="P14" s="39" t="str">
        <f t="shared" si="5"/>
        <v>합계</v>
      </c>
      <c r="Q14" s="69">
        <f>SUM(Q5:Q13)</f>
        <v>17028520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-291.36999999918044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0</v>
      </c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15930</v>
      </c>
      <c r="P29" s="107">
        <v>15930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14" sqref="R14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1109</v>
      </c>
      <c r="F1" s="1"/>
      <c r="G1" s="1"/>
      <c r="H1" s="1"/>
      <c r="I1" s="1"/>
      <c r="J1" s="1"/>
      <c r="K1" s="1"/>
      <c r="L1" s="21">
        <f>+ROUND(+O5*0.584/1000,3)</f>
        <v>9.8840000000000003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9.3019999999999996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55.811999999999998</v>
      </c>
      <c r="M3" s="18" t="s">
        <v>10</v>
      </c>
      <c r="N3" s="3"/>
      <c r="O3" s="3"/>
      <c r="P3" s="132" t="str">
        <f>+'(1)'!C1&amp;"년"&amp;'(1)'!E1&amp;"월"&amp;C1&amp;"일"</f>
        <v>2022년9월6일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4372.7619999999997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6287.1949999999997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22533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160000</v>
      </c>
      <c r="L5" s="2"/>
      <c r="M5" s="20"/>
      <c r="N5" s="45" t="str">
        <f>+C4</f>
        <v>판매량</v>
      </c>
      <c r="O5" s="46">
        <f>SUM(D4+I4+D17+I17+D35+I35)</f>
        <v>16924.525999999998</v>
      </c>
      <c r="P5" s="47" t="str">
        <f>+E4</f>
        <v>입금액</v>
      </c>
      <c r="Q5" s="48">
        <f>SUM(F4+K4+F17+K17+F35+K35)</f>
        <v>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260.137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101.626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350000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361.76300000000003</v>
      </c>
      <c r="P7" s="51" t="str">
        <f t="shared" ref="P7:P14" si="5">+E6</f>
        <v>천원권</v>
      </c>
      <c r="Q7" s="53">
        <f>SUM(F6+K6+F19+K19+F37+K37)</f>
        <v>8000</v>
      </c>
      <c r="R7" s="5" t="s">
        <v>11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4466713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11093396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17894173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53.536999999999999</v>
      </c>
      <c r="E10" s="42" t="str">
        <f>+'(1)'!E10</f>
        <v>OK케시백</v>
      </c>
      <c r="F10" s="44">
        <v>29257</v>
      </c>
      <c r="G10" s="27"/>
      <c r="H10" s="42" t="str">
        <f t="shared" si="2"/>
        <v>고객우대</v>
      </c>
      <c r="I10" s="50">
        <v>115.114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-1873.7950000000001</v>
      </c>
      <c r="E11" s="42" t="str">
        <f>+'(1)'!E11</f>
        <v>모바일</v>
      </c>
      <c r="F11" s="44">
        <v>4000</v>
      </c>
      <c r="G11" s="27"/>
      <c r="H11" s="87" t="str">
        <f t="shared" si="2"/>
        <v>-</v>
      </c>
      <c r="I11" s="55">
        <f>SUM(I10*-35)</f>
        <v>-4028.9900000000002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222.70600000000002</v>
      </c>
      <c r="P11" s="51" t="str">
        <f t="shared" si="5"/>
        <v>OK케시백</v>
      </c>
      <c r="Q11" s="53">
        <f>SUM(F10+K10+F23+K23+F41+K41)</f>
        <v>29257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69661</v>
      </c>
      <c r="L12" s="2"/>
      <c r="M12" s="20"/>
      <c r="N12" s="51" t="str">
        <f t="shared" si="4"/>
        <v>-</v>
      </c>
      <c r="O12" s="55">
        <f>SUM(O11*-35)</f>
        <v>-7794.7100000000009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4559027.33</v>
      </c>
      <c r="E13" s="29" t="str">
        <f>+'(1)'!E13</f>
        <v>합계</v>
      </c>
      <c r="F13" s="61">
        <f>SUM(F4:F12)</f>
        <v>4548970</v>
      </c>
      <c r="G13" s="62"/>
      <c r="H13" s="29" t="str">
        <f t="shared" si="2"/>
        <v>합계</v>
      </c>
      <c r="I13" s="60">
        <f>SUM((I4-I5-I6-I7-I8-I9)*$E$1+I11)</f>
        <v>6855767.0309999995</v>
      </c>
      <c r="J13" s="29" t="str">
        <f t="shared" si="3"/>
        <v>합계</v>
      </c>
      <c r="K13" s="61">
        <f>IF(K8=0,0,SUM(K4:K12)-F8)</f>
        <v>6865344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69661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-10057.330000000075</v>
      </c>
      <c r="G14" s="27"/>
      <c r="H14" s="27"/>
      <c r="I14" s="27"/>
      <c r="J14" s="27"/>
      <c r="K14" s="67">
        <f>SUM(K13-I13)</f>
        <v>9576.9690000005066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18360309.456999999</v>
      </c>
      <c r="P14" s="39" t="str">
        <f t="shared" si="5"/>
        <v>합계</v>
      </c>
      <c r="Q14" s="69">
        <f>SUM(Q5:Q13)</f>
        <v>18360091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-218.45700000040233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6264.5690000000004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>
        <v>145000</v>
      </c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>
        <v>0</v>
      </c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29</v>
      </c>
      <c r="Q20" s="53">
        <f>SUM(P20*1000)</f>
        <v>29000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>
        <v>17894173</v>
      </c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>
        <v>54.055</v>
      </c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-1891.925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68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6945515.0960000008</v>
      </c>
      <c r="E26" s="29" t="str">
        <f>+'(1)'!E26</f>
        <v>합계</v>
      </c>
      <c r="F26" s="61">
        <f>IF(F21=0,0,SUM(F17:F25)-K8)</f>
        <v>6945777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128</v>
      </c>
      <c r="Q26" s="69">
        <f>SUM(Q19:Q25)</f>
        <v>39000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261.90399999916553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15930</v>
      </c>
      <c r="P29" s="107">
        <v>15936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E7" workbookViewId="0">
      <selection activeCell="R7" sqref="R7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1109</v>
      </c>
      <c r="F1" s="1"/>
      <c r="G1" s="1"/>
      <c r="H1" s="1"/>
      <c r="I1" s="1"/>
      <c r="J1" s="1"/>
      <c r="K1" s="1"/>
      <c r="L1" s="21">
        <f>+ROUND(+O5*0.584/1000,3)</f>
        <v>11.260999999999999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9.5820000000000007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67.074000000000012</v>
      </c>
      <c r="M3" s="18" t="s">
        <v>10</v>
      </c>
      <c r="N3" s="3"/>
      <c r="O3" s="3"/>
      <c r="P3" s="132" t="str">
        <f>+'(1)'!C1&amp;"년"&amp;'(1)'!E1&amp;"월"&amp;C1&amp;"일"</f>
        <v>2022년9월7일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12031.909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7251.1559999999999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38824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290000</v>
      </c>
      <c r="L5" s="2"/>
      <c r="M5" s="20"/>
      <c r="N5" s="45" t="str">
        <f>+C4</f>
        <v>판매량</v>
      </c>
      <c r="O5" s="46">
        <f>SUM(D4+I4+D17+I17+D35+I35)</f>
        <v>19283.064999999999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336.709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70.096999999999994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350000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406.80599999999998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12839714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20444131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20444131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392.108</v>
      </c>
      <c r="E10" s="42" t="str">
        <f>+'(1)'!E10</f>
        <v>OK케시백</v>
      </c>
      <c r="F10" s="44">
        <v>51392</v>
      </c>
      <c r="G10" s="27"/>
      <c r="H10" s="42" t="str">
        <f t="shared" si="2"/>
        <v>고객우대</v>
      </c>
      <c r="I10" s="50">
        <v>66.218000000000004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-13723.78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-2317.63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458.32600000000002</v>
      </c>
      <c r="P11" s="51" t="str">
        <f t="shared" si="5"/>
        <v>OK케시백</v>
      </c>
      <c r="Q11" s="53">
        <f>SUM(F10+K10+F23+K23+F41+K41)</f>
        <v>51392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58427</v>
      </c>
      <c r="L12" s="2"/>
      <c r="M12" s="20"/>
      <c r="N12" s="51" t="str">
        <f t="shared" si="4"/>
        <v>-</v>
      </c>
      <c r="O12" s="55">
        <f>SUM(O11*-35)</f>
        <v>-16041.41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12956253.02</v>
      </c>
      <c r="E13" s="29" t="str">
        <f>+'(1)'!E13</f>
        <v>합계</v>
      </c>
      <c r="F13" s="61">
        <f>SUM(F4:F12)</f>
        <v>12956106</v>
      </c>
      <c r="G13" s="62"/>
      <c r="H13" s="29" t="str">
        <f t="shared" si="2"/>
        <v>합계</v>
      </c>
      <c r="I13" s="60">
        <f>SUM((I4-I5-I6-I7-I8-I9)*$E$1+I11)</f>
        <v>7961476.801</v>
      </c>
      <c r="J13" s="29" t="str">
        <f t="shared" si="3"/>
        <v>합계</v>
      </c>
      <c r="K13" s="61">
        <f>IF(K8=0,0,SUM(K4:K12)-F8)</f>
        <v>7961844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58427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-147.01999999955297</v>
      </c>
      <c r="G14" s="27"/>
      <c r="H14" s="27"/>
      <c r="I14" s="27"/>
      <c r="J14" s="27"/>
      <c r="K14" s="67">
        <f>SUM(K13-I13)</f>
        <v>367.19900000002235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20917729.820999999</v>
      </c>
      <c r="P14" s="39" t="str">
        <f t="shared" si="5"/>
        <v>합계</v>
      </c>
      <c r="Q14" s="69">
        <f>SUM(Q5:Q13)</f>
        <v>20917950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220.17900000046939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94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167</v>
      </c>
      <c r="Q26" s="69">
        <f>SUM(Q19:Q25)</f>
        <v>52000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15936</v>
      </c>
      <c r="P29" s="107">
        <v>15936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103">
        <f>+'(7)'!E1</f>
        <v>1109</v>
      </c>
      <c r="F1" s="1"/>
      <c r="G1" s="1"/>
      <c r="H1" s="1"/>
      <c r="I1" s="1"/>
      <c r="J1" s="1"/>
      <c r="K1" s="1"/>
      <c r="L1" s="22">
        <f>+ROUND(+O5*0.584/1000,3)</f>
        <v>10.744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9.7270000000000003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77.816000000000003</v>
      </c>
      <c r="M3" s="18" t="s">
        <v>10</v>
      </c>
      <c r="N3" s="3"/>
      <c r="O3" s="3"/>
      <c r="P3" s="132" t="str">
        <f>+'(1)'!C1&amp;"년"&amp;'(1)'!E1&amp;"월"&amp;C1&amp;"일"</f>
        <v>2022년9월8일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12149.387000000001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6247.8810000000003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255000</v>
      </c>
      <c r="L5" s="2"/>
      <c r="M5" s="20"/>
      <c r="N5" s="45" t="str">
        <f>+C4</f>
        <v>판매량</v>
      </c>
      <c r="O5" s="46">
        <f>SUM(D4+I4+D17+I17+D35+I35)</f>
        <v>18397.268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362.49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535000</v>
      </c>
      <c r="R6" s="7">
        <v>19115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362.49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12652314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19296561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19296561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476.53</v>
      </c>
      <c r="E10" s="42" t="str">
        <f>+'(1)'!E10</f>
        <v>OK케시백</v>
      </c>
      <c r="F10" s="44">
        <v>49784</v>
      </c>
      <c r="G10" s="27"/>
      <c r="H10" s="42" t="str">
        <f t="shared" si="2"/>
        <v>고객우대</v>
      </c>
      <c r="I10" s="50">
        <v>42.97</v>
      </c>
      <c r="J10" s="42" t="str">
        <f t="shared" si="3"/>
        <v>OK케시백</v>
      </c>
      <c r="K10" s="44">
        <v>4418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-16678.55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-1503.95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519.5</v>
      </c>
      <c r="P11" s="51" t="str">
        <f t="shared" si="5"/>
        <v>OK케시백</v>
      </c>
      <c r="Q11" s="53">
        <f>SUM(F10+K10+F23+K23+F41+K41)</f>
        <v>54202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50742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-18182.5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13054990.222999999</v>
      </c>
      <c r="E13" s="29" t="str">
        <f>+'(1)'!E13</f>
        <v>합계</v>
      </c>
      <c r="F13" s="61">
        <f>SUM(F4:F12)</f>
        <v>13053840</v>
      </c>
      <c r="G13" s="62"/>
      <c r="H13" s="29" t="str">
        <f t="shared" si="2"/>
        <v>합계</v>
      </c>
      <c r="I13" s="60">
        <f>SUM((I4-I5-I6-I7-I8-I9)*$E$1+I11)</f>
        <v>6927396.0789999999</v>
      </c>
      <c r="J13" s="29" t="str">
        <f t="shared" si="3"/>
        <v>합계</v>
      </c>
      <c r="K13" s="61">
        <f>IF(K8=0,0,SUM(K4:K12)-F8)</f>
        <v>6927665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70742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-1150.2229999992996</v>
      </c>
      <c r="G14" s="27"/>
      <c r="H14" s="27"/>
      <c r="I14" s="27"/>
      <c r="J14" s="27"/>
      <c r="K14" s="67">
        <f>SUM(K13-I13)</f>
        <v>268.92100000008941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19982386.301999997</v>
      </c>
      <c r="P14" s="39" t="str">
        <f t="shared" si="5"/>
        <v>합계</v>
      </c>
      <c r="Q14" s="69">
        <f>SUM(Q5:Q13)</f>
        <v>19981505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-881.30199999921024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31</v>
      </c>
      <c r="Q20" s="53">
        <f>SUM(P20*1000)</f>
        <v>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6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110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174</v>
      </c>
      <c r="Q26" s="69">
        <f>SUM(Q19:Q25)</f>
        <v>50000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15936</v>
      </c>
      <c r="P29" s="107">
        <v>15941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B7" workbookViewId="0">
      <selection activeCell="K9" sqref="K9"/>
    </sheetView>
  </sheetViews>
  <sheetFormatPr defaultRowHeight="27.75" customHeight="1"/>
  <cols>
    <col min="1" max="1" width="5.5" style="10" customWidth="1"/>
    <col min="2" max="2" width="4.75" style="10" customWidth="1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11.25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103">
        <f>+'(8)'!E1</f>
        <v>1109</v>
      </c>
      <c r="F1" s="1"/>
      <c r="G1" s="1"/>
      <c r="H1" s="1"/>
      <c r="I1" s="1"/>
      <c r="J1" s="1"/>
      <c r="K1" s="1"/>
      <c r="L1" s="22">
        <f>+ROUND(+O5*0.584/1000,3)</f>
        <v>6.1219999999999999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9.3260000000000005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83.933999999999997</v>
      </c>
      <c r="M3" s="18" t="s">
        <v>10</v>
      </c>
      <c r="N3" s="3"/>
      <c r="O3" s="3"/>
      <c r="P3" s="132" t="str">
        <f>+'(1)'!C1&amp;"년"&amp;'(1)'!E1&amp;"월"&amp;C1&amp;"일"</f>
        <v>2022년9월9일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7827.259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2654.7910000000002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45211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260000</v>
      </c>
      <c r="L5" s="2"/>
      <c r="M5" s="20"/>
      <c r="N5" s="45" t="str">
        <f>+C4</f>
        <v>판매량</v>
      </c>
      <c r="O5" s="46">
        <f>SUM(D4+I4+D17+I17+D35+I35)</f>
        <v>10482.049999999999</v>
      </c>
      <c r="P5" s="47" t="str">
        <f>+E4</f>
        <v>입금액</v>
      </c>
      <c r="Q5" s="48">
        <f>SUM(F4+K4+F17+K17+F35+K35)</f>
        <v>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560000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블루포인트</v>
      </c>
      <c r="F7" s="44"/>
      <c r="G7" s="27"/>
      <c r="H7" s="87" t="str">
        <f t="shared" si="2"/>
        <v>효신(업)</v>
      </c>
      <c r="I7" s="50"/>
      <c r="J7" s="42" t="str">
        <f t="shared" si="3"/>
        <v>블루포인트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8295827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10978170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블루포인트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10978170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39610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39610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8680430.2310000006</v>
      </c>
      <c r="E13" s="29" t="str">
        <f>+'(1)'!E13</f>
        <v>합계</v>
      </c>
      <c r="F13" s="61">
        <f>SUM(F4:F12)</f>
        <v>8680437</v>
      </c>
      <c r="G13" s="62"/>
      <c r="H13" s="29" t="str">
        <f t="shared" si="2"/>
        <v>합계</v>
      </c>
      <c r="I13" s="60">
        <f>SUM((I4-I5-I6-I7-I8-I9)*$E$1+I11)</f>
        <v>2944163.219</v>
      </c>
      <c r="J13" s="29" t="str">
        <f t="shared" si="3"/>
        <v>합계</v>
      </c>
      <c r="K13" s="61">
        <f>IF(K8=0,0,SUM(K4:K12)-F8)</f>
        <v>2944343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6.7689999993890524</v>
      </c>
      <c r="G14" s="27"/>
      <c r="H14" s="27"/>
      <c r="I14" s="27"/>
      <c r="J14" s="27"/>
      <c r="K14" s="67">
        <f>SUM(K13-I13)</f>
        <v>179.78099999995902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11624593.449999999</v>
      </c>
      <c r="P14" s="39" t="str">
        <f t="shared" si="5"/>
        <v>합계</v>
      </c>
      <c r="Q14" s="69">
        <f>SUM(Q5:Q13)</f>
        <v>11624780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186.54999999934807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35</v>
      </c>
      <c r="O18" s="130"/>
      <c r="P18" s="71" t="s">
        <v>36</v>
      </c>
      <c r="Q18" s="72" t="s">
        <v>37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38</v>
      </c>
      <c r="O19" s="122"/>
      <c r="P19" s="73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블루포인트</v>
      </c>
      <c r="F20" s="44"/>
      <c r="G20" s="27"/>
      <c r="H20" s="42" t="str">
        <f t="shared" si="10"/>
        <v>효신(업)</v>
      </c>
      <c r="I20" s="50"/>
      <c r="J20" s="42" t="str">
        <f t="shared" si="11"/>
        <v>블루포인트</v>
      </c>
      <c r="K20" s="44"/>
      <c r="L20" s="2"/>
      <c r="M20" s="1"/>
      <c r="N20" s="127" t="s">
        <v>39</v>
      </c>
      <c r="O20" s="128"/>
      <c r="P20" s="74">
        <v>31</v>
      </c>
      <c r="Q20" s="53">
        <f>SUM(P20*1000)</f>
        <v>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49</v>
      </c>
      <c r="O21" s="128"/>
      <c r="P21" s="74">
        <v>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54</v>
      </c>
      <c r="O22" s="124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59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53</v>
      </c>
      <c r="O24" s="124"/>
      <c r="P24" s="74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40</v>
      </c>
      <c r="O25" s="126"/>
      <c r="P25" s="75">
        <f>+P26-SUM(P19:P24)</f>
        <v>71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41</v>
      </c>
      <c r="O26" s="118"/>
      <c r="P26" s="77">
        <v>119</v>
      </c>
      <c r="Q26" s="69">
        <f>SUM(Q19:Q25)</f>
        <v>38000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55</v>
      </c>
      <c r="O28" s="104" t="s">
        <v>56</v>
      </c>
      <c r="P28" s="104" t="s">
        <v>57</v>
      </c>
      <c r="Q28" s="105" t="s">
        <v>58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15941</v>
      </c>
      <c r="P29" s="107">
        <v>15941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2022-09-30T23:59:46Z</dcterms:modified>
</cp:coreProperties>
</file>