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7" activeTab="29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  <sheet name="Sheet1" sheetId="160" r:id="rId32"/>
  </sheets>
  <calcPr calcId="144525"/>
</workbook>
</file>

<file path=xl/calcChain.xml><?xml version="1.0" encoding="utf-8"?>
<calcChain xmlns="http://schemas.openxmlformats.org/spreadsheetml/2006/main">
  <c r="K13" i="141" l="1"/>
  <c r="K14" i="141" s="1"/>
  <c r="Q24" i="134" l="1"/>
  <c r="E20" i="134" l="1"/>
  <c r="J20" i="134"/>
  <c r="Q26" i="159" l="1"/>
  <c r="P25" i="159"/>
  <c r="Q23" i="159"/>
  <c r="Q22" i="159"/>
  <c r="Q21" i="159"/>
  <c r="Q20" i="159"/>
  <c r="Q19" i="159"/>
  <c r="P25" i="158"/>
  <c r="Q22" i="158"/>
  <c r="Q20" i="158"/>
  <c r="Q19" i="158"/>
  <c r="P25" i="157"/>
  <c r="Q22" i="157"/>
  <c r="Q20" i="157"/>
  <c r="Q19" i="157"/>
  <c r="P25" i="156"/>
  <c r="Q22" i="156"/>
  <c r="Q20" i="156"/>
  <c r="Q19" i="156"/>
  <c r="P25" i="155"/>
  <c r="Q22" i="155"/>
  <c r="Q20" i="155"/>
  <c r="Q19" i="155"/>
  <c r="P25" i="154"/>
  <c r="Q22" i="154"/>
  <c r="Q20" i="154"/>
  <c r="Q19" i="154"/>
  <c r="P25" i="153"/>
  <c r="Q22" i="153"/>
  <c r="Q20" i="153"/>
  <c r="Q19" i="153"/>
  <c r="P25" i="152"/>
  <c r="Q22" i="152"/>
  <c r="Q20" i="152"/>
  <c r="Q19" i="152"/>
  <c r="P25" i="151"/>
  <c r="Q22" i="151"/>
  <c r="Q20" i="151"/>
  <c r="Q19" i="151"/>
  <c r="P25" i="150"/>
  <c r="Q22" i="150"/>
  <c r="Q20" i="150"/>
  <c r="Q19" i="150"/>
  <c r="P25" i="149"/>
  <c r="Q22" i="149"/>
  <c r="Q20" i="149"/>
  <c r="Q19" i="149"/>
  <c r="P25" i="148"/>
  <c r="Q22" i="148"/>
  <c r="Q20" i="148"/>
  <c r="Q19" i="148"/>
  <c r="P25" i="147"/>
  <c r="Q22" i="147"/>
  <c r="Q20" i="147"/>
  <c r="Q19" i="147"/>
  <c r="P25" i="146"/>
  <c r="Q22" i="146"/>
  <c r="Q20" i="146"/>
  <c r="Q19" i="146"/>
  <c r="P25" i="145"/>
  <c r="Q22" i="145"/>
  <c r="Q20" i="145"/>
  <c r="Q19" i="145"/>
  <c r="P25" i="144"/>
  <c r="Q22" i="144"/>
  <c r="Q20" i="144"/>
  <c r="Q19" i="144"/>
  <c r="P25" i="143"/>
  <c r="Q22" i="143"/>
  <c r="Q20" i="143"/>
  <c r="Q19" i="143"/>
  <c r="P25" i="142"/>
  <c r="Q22" i="142"/>
  <c r="Q20" i="142"/>
  <c r="Q19" i="142"/>
  <c r="P25" i="141"/>
  <c r="Q22" i="141"/>
  <c r="Q20" i="141"/>
  <c r="Q19" i="141"/>
  <c r="P25" i="140"/>
  <c r="Q22" i="140"/>
  <c r="Q20" i="140"/>
  <c r="Q19" i="140"/>
  <c r="P25" i="139"/>
  <c r="Q22" i="139"/>
  <c r="Q20" i="139"/>
  <c r="Q19" i="139"/>
  <c r="P25" i="138"/>
  <c r="Q22" i="138"/>
  <c r="Q20" i="138"/>
  <c r="Q19" i="138"/>
  <c r="P25" i="137"/>
  <c r="Q22" i="137"/>
  <c r="Q20" i="137"/>
  <c r="Q19" i="137"/>
  <c r="Q22" i="136"/>
  <c r="Q20" i="136"/>
  <c r="Q19" i="136"/>
  <c r="P25" i="135"/>
  <c r="Q22" i="135"/>
  <c r="Q20" i="135"/>
  <c r="Q19" i="135"/>
  <c r="P25" i="134"/>
  <c r="Q22" i="134"/>
  <c r="Q20" i="134"/>
  <c r="Q19" i="134"/>
  <c r="P25" i="133"/>
  <c r="Q22" i="133"/>
  <c r="Q20" i="133"/>
  <c r="Q19" i="133"/>
  <c r="P25" i="132"/>
  <c r="Q22" i="132"/>
  <c r="Q20" i="132"/>
  <c r="Q19" i="132"/>
  <c r="P25" i="131"/>
  <c r="Q22" i="131"/>
  <c r="Q20" i="131"/>
  <c r="Q19" i="131"/>
  <c r="P25" i="13"/>
  <c r="Q22" i="13"/>
  <c r="Q20" i="13"/>
  <c r="Q19" i="13"/>
  <c r="Q26" i="158" l="1"/>
  <c r="Q26" i="157"/>
  <c r="Q26" i="156"/>
  <c r="Q26" i="155"/>
  <c r="Q26" i="154"/>
  <c r="Q26" i="153"/>
  <c r="Q26" i="152"/>
  <c r="Q26" i="151"/>
  <c r="Q26" i="150"/>
  <c r="Q26" i="149"/>
  <c r="Q26" i="148"/>
  <c r="Q26" i="147"/>
  <c r="Q26" i="146"/>
  <c r="Q26" i="145"/>
  <c r="Q26" i="144"/>
  <c r="Q26" i="143"/>
  <c r="Q26" i="142"/>
  <c r="Q26" i="141"/>
  <c r="Q26" i="140"/>
  <c r="Q26" i="139"/>
  <c r="Q26" i="138"/>
  <c r="Q26" i="137"/>
  <c r="Q26" i="136"/>
  <c r="Q26" i="135"/>
  <c r="Q26" i="134"/>
  <c r="Q26" i="133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O12" i="159"/>
  <c r="I11" i="159"/>
  <c r="D11" i="159"/>
  <c r="I24" i="158"/>
  <c r="H24" i="158"/>
  <c r="E24" i="158"/>
  <c r="D24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H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H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H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H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H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H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H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H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H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H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H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H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H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H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H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H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H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H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H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H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H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H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H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H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H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H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H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H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H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D26" i="13"/>
  <c r="F27" i="13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Q10" i="159"/>
  <c r="Q9" i="159"/>
  <c r="O9" i="159"/>
  <c r="N9" i="159"/>
  <c r="Q8" i="159"/>
  <c r="O8" i="159"/>
  <c r="Q7" i="159"/>
  <c r="O7" i="159"/>
  <c r="N7" i="159"/>
  <c r="Q6" i="159"/>
  <c r="O6" i="159"/>
  <c r="Q5" i="159"/>
  <c r="Q14" i="159" s="1"/>
  <c r="O5" i="159"/>
  <c r="N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J12" i="13"/>
  <c r="E12" i="13"/>
  <c r="E11" i="13"/>
  <c r="E10" i="13"/>
  <c r="E9" i="13"/>
  <c r="P10" i="13" s="1"/>
  <c r="E8" i="13"/>
  <c r="P9" i="13" s="1"/>
  <c r="E7" i="13"/>
  <c r="P8" i="13" s="1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6" l="1"/>
  <c r="Q14" i="146"/>
  <c r="O14" i="132"/>
  <c r="J7" i="13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7" i="137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<sst xmlns="http://schemas.openxmlformats.org/spreadsheetml/2006/main" count="874" uniqueCount="81">
  <si>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</si>
  <si>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</si>
  <si>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</si>
  <si>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</si>
  <si>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</si>
  <si>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</si>
  <si>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</si>
  <si>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</si>
  <si>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</si>
  <si>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</si>
  <si>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</si>
  <si>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</si>
  <si>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</si>
  <si>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</si>
  <si>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</si>
  <si>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</si>
  <si>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</si>
  <si>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</si>
  <si>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</si>
  <si>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</si>
  <si>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</si>
  <si>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</si>
  <si>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</si>
  <si>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</si>
  <si>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</si>
  <si>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</si>
  <si>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</si>
  <si>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</si>
  <si>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</si>
  <si>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</si>
  <si>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</si>
  <si>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</si>
  <si>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</si>
  <si>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</si>
  <si>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</si>
  <si>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</si>
  <si>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</si>
  <si>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</si>
  <si>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</si>
  <si>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</si>
  <si>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</si>
  <si>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</si>
  <si>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</si>
  <si>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</si>
  <si>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</si>
  <si>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</si>
  <si>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</si>
  <si>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</si>
  <si>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</si>
  <si>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</si>
  <si>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</si>
  <si>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</si>
  <si>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</si>
  <si>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</si>
  <si>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</si>
  <si>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</si>
  <si>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</si>
  <si>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</si>
  <si>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제로페이</t>
    <phoneticPr fontId="1" type="noConversion"/>
  </si>
  <si>
    <t>블루/레드포인트</t>
    <phoneticPr fontId="1" type="noConversion"/>
  </si>
  <si>
    <t>동     양</t>
    <phoneticPr fontId="1" type="noConversion"/>
  </si>
  <si>
    <t>동     양</t>
    <phoneticPr fontId="1" type="noConversion"/>
  </si>
  <si>
    <t>동     양</t>
    <phoneticPr fontId="1" type="noConversion"/>
  </si>
  <si>
    <t>동      양</t>
    <phoneticPr fontId="1" type="noConversion"/>
  </si>
  <si>
    <t>동     양</t>
    <phoneticPr fontId="1" type="noConversion"/>
  </si>
  <si>
    <t>동     양</t>
    <phoneticPr fontId="1" type="noConversion"/>
  </si>
  <si>
    <t>09:01~09:00</t>
    <phoneticPr fontId="1" type="noConversion"/>
  </si>
  <si>
    <t>09:00~09:00</t>
    <phoneticPr fontId="1" type="noConversion"/>
  </si>
  <si>
    <t xml:space="preserve">동     양 </t>
    <phoneticPr fontId="1" type="noConversion"/>
  </si>
  <si>
    <t>동     양</t>
    <phoneticPr fontId="1" type="noConversion"/>
  </si>
  <si>
    <t>동     양</t>
    <phoneticPr fontId="1" type="noConversion"/>
  </si>
  <si>
    <t>동     양</t>
    <phoneticPr fontId="1" type="noConversion"/>
  </si>
  <si>
    <t>동     양</t>
    <phoneticPr fontId="1" type="noConversion"/>
  </si>
  <si>
    <t>동     양</t>
    <phoneticPr fontId="1" type="noConversion"/>
  </si>
  <si>
    <t>동     양</t>
    <phoneticPr fontId="1" type="noConversion"/>
  </si>
  <si>
    <t>09:00~09:02</t>
    <phoneticPr fontId="1" type="noConversion"/>
  </si>
  <si>
    <t>09:02~09:00</t>
    <phoneticPr fontId="1" type="noConversion"/>
  </si>
  <si>
    <t>안</t>
    <phoneticPr fontId="1" type="noConversion"/>
  </si>
  <si>
    <t>안진30,000카드 잘못결재됨</t>
    <phoneticPr fontId="1" type="noConversion"/>
  </si>
  <si>
    <t>안진카드</t>
    <phoneticPr fontId="1" type="noConversion"/>
  </si>
  <si>
    <t>09:00~24:00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</si>
</sst>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0" fillId="0" borderId="11" xfId="0" applyNumberFormat="1" applyFont="1" applyBorder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right" vertical="center"/>
      <protection locked="0"/>
    </xf>
    <xf numFmtId="176" fontId="11" fillId="2" borderId="0" xfId="0" applyNumberFormat="1" applyFont="1" applyFill="1" applyAlignment="1" applyProtection="1">
      <alignment horizontal="center" vertical="center"/>
      <protection locked="0"/>
    </xf>
    <xf numFmtId="176" fontId="4" fillId="2" borderId="0" xfId="0" applyNumberFormat="1" applyFont="1" applyFill="1" applyAlignment="1" applyProtection="1">
      <alignment horizontal="right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A4" workbookViewId="0">
      <selection activeCell="F22" sqref="F2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2022</v>
      </c>
      <c r="D1" s="24" t="str">
        <f>IF(C1&lt;2000,"◀  년 입력","년")</f>
        <v>년</v>
      </c>
      <c r="E1" s="25">
        <v>11</v>
      </c>
      <c r="F1" s="24" t="str">
        <f>IF(E1&lt;1,"◀  월 입력","월")</f>
        <v>월</v>
      </c>
      <c r="G1" s="25"/>
      <c r="H1" s="26" t="s">
        <v>11</v>
      </c>
      <c r="I1" s="25">
        <v>1092</v>
      </c>
      <c r="J1" s="24" t="str">
        <f>IF(I1&lt;100,"◀  단가입력","원")</f>
        <v>원</v>
      </c>
      <c r="L1" s="28">
        <f>+ROUND(+O5*0.584/1000,3)</f>
        <v>13.332000000000001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13.332000000000001</v>
      </c>
      <c r="M2" s="27" t="s">
        <v>7</v>
      </c>
      <c r="N2" s="120" t="s">
        <v>12</v>
      </c>
      <c r="O2" s="120"/>
      <c r="P2" s="120"/>
      <c r="Q2" s="120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0</v>
      </c>
      <c r="M3" s="27" t="s">
        <v>10</v>
      </c>
      <c r="N3" s="32"/>
      <c r="O3" s="32"/>
      <c r="P3" s="119" t="str">
        <f>+'(1)'!$C$1&amp;"년"&amp;'(1)'!$E$1&amp;"월"&amp;$G$1&amp;"일"</f>
        <v>2022년11월일</v>
      </c>
      <c r="Q3" s="119"/>
      <c r="R3" s="33"/>
    </row>
    <row r="4" spans="3:25" ht="16.5" customHeight="1" thickBot="1">
      <c r="C4" s="34" t="s">
        <v>15</v>
      </c>
      <c r="D4" s="35">
        <v>5234.43</v>
      </c>
      <c r="E4" s="34" t="s">
        <v>16</v>
      </c>
      <c r="F4" s="36"/>
      <c r="H4" s="97" t="str">
        <f>+C4</f>
        <v>판매량</v>
      </c>
      <c r="I4" s="35">
        <v>11284.562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21598</v>
      </c>
      <c r="S4" s="41" t="s">
        <v>17</v>
      </c>
      <c r="T4" s="27">
        <v>39804</v>
      </c>
    </row>
    <row r="5" spans="3:25" ht="16.5" customHeight="1">
      <c r="C5" s="42" t="s">
        <v>18</v>
      </c>
      <c r="D5" s="43"/>
      <c r="E5" s="42" t="s">
        <v>19</v>
      </c>
      <c r="F5" s="44">
        <v>135000</v>
      </c>
      <c r="H5" s="98" t="str">
        <f>+C5</f>
        <v>법인전표</v>
      </c>
      <c r="I5" s="43"/>
      <c r="J5" s="42" t="str">
        <f>+E5</f>
        <v>고액권</v>
      </c>
      <c r="K5" s="44">
        <v>155000</v>
      </c>
      <c r="M5" s="38"/>
      <c r="N5" s="45" t="str">
        <f>+C4</f>
        <v>판매량</v>
      </c>
      <c r="O5" s="46">
        <f>SUM(D4+I4+D17+I17+D35+I35)</f>
        <v>22828.663999999997</v>
      </c>
      <c r="P5" s="47" t="str">
        <f>+E4</f>
        <v>입금액</v>
      </c>
      <c r="Q5" s="48">
        <f>SUM(F4+K4+F17+K17+F35+K35)</f>
        <v>0</v>
      </c>
      <c r="R5" s="49">
        <v>23</v>
      </c>
      <c r="S5" s="41" t="s">
        <v>20</v>
      </c>
    </row>
    <row r="6" spans="3:25" ht="16.5" customHeight="1">
      <c r="C6" s="42" t="s">
        <v>21</v>
      </c>
      <c r="D6" s="50"/>
      <c r="E6" s="42" t="s">
        <v>22</v>
      </c>
      <c r="F6" s="44">
        <v>6000</v>
      </c>
      <c r="H6" s="98" t="str">
        <f t="shared" ref="H6:H13" si="2">+C6</f>
        <v>외상전표</v>
      </c>
      <c r="I6" s="50">
        <v>382.54700000000003</v>
      </c>
      <c r="J6" s="42" t="str">
        <f t="shared" ref="J6:J13" si="3">+E6</f>
        <v>천원권</v>
      </c>
      <c r="K6" s="44">
        <v>3000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420000</v>
      </c>
      <c r="R6" s="49">
        <v>1.5</v>
      </c>
      <c r="S6" s="41" t="s">
        <v>23</v>
      </c>
    </row>
    <row r="7" spans="3:25" ht="16.5" customHeight="1">
      <c r="C7" s="42" t="s">
        <v>24</v>
      </c>
      <c r="D7" s="50"/>
      <c r="E7" s="109" t="s">
        <v>59</v>
      </c>
      <c r="F7" s="44"/>
      <c r="H7" s="98" t="str">
        <f t="shared" si="2"/>
        <v>효신(업)</v>
      </c>
      <c r="I7" s="50"/>
      <c r="J7" s="109" t="str">
        <f t="shared" si="3"/>
        <v>블루/레드포인트</v>
      </c>
      <c r="K7" s="44"/>
      <c r="M7" s="38"/>
      <c r="N7" s="51" t="str">
        <f t="shared" ref="N7:N14" si="4">+C6</f>
        <v>외상전표</v>
      </c>
      <c r="O7" s="54">
        <f>SUM(D6+I6+D19+I19+D37+I37)</f>
        <v>382.54700000000003</v>
      </c>
      <c r="P7" s="51" t="str">
        <f t="shared" ref="P7:P14" si="5">+E6</f>
        <v>천원권</v>
      </c>
      <c r="Q7" s="53">
        <f>SUM(F6+K6+F19+K19+F37+K37)</f>
        <v>12000</v>
      </c>
      <c r="R7" s="40" t="s">
        <v>49</v>
      </c>
      <c r="S7" s="41" t="s">
        <v>6</v>
      </c>
    </row>
    <row r="8" spans="3:25" ht="16.5" customHeight="1">
      <c r="C8" s="42" t="s">
        <v>26</v>
      </c>
      <c r="D8" s="50"/>
      <c r="E8" s="42" t="s">
        <v>27</v>
      </c>
      <c r="F8" s="44">
        <v>5575692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17293577</v>
      </c>
      <c r="M8" s="38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24048781</v>
      </c>
      <c r="R9" s="40"/>
    </row>
    <row r="10" spans="3:25" ht="16.5" customHeight="1">
      <c r="C10" s="42" t="s">
        <v>51</v>
      </c>
      <c r="D10" s="50"/>
      <c r="E10" s="42" t="s">
        <v>47</v>
      </c>
      <c r="F10" s="44"/>
      <c r="H10" s="98" t="str">
        <f t="shared" si="2"/>
        <v>고객우대</v>
      </c>
      <c r="I10" s="50">
        <v>560.29399999999998</v>
      </c>
      <c r="J10" s="42" t="str">
        <f t="shared" si="3"/>
        <v>OK케시백</v>
      </c>
      <c r="K10" s="44"/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46</v>
      </c>
      <c r="D11" s="55">
        <f>SUM(D10*-35)</f>
        <v>0</v>
      </c>
      <c r="E11" s="42" t="s">
        <v>31</v>
      </c>
      <c r="F11" s="44"/>
      <c r="H11" s="98" t="str">
        <f t="shared" si="2"/>
        <v>-</v>
      </c>
      <c r="I11" s="55">
        <f>SUM(I10*-35)</f>
        <v>-19610.29</v>
      </c>
      <c r="J11" s="42" t="str">
        <f t="shared" si="3"/>
        <v>모바일</v>
      </c>
      <c r="K11" s="44">
        <v>10000</v>
      </c>
      <c r="M11" s="38"/>
      <c r="N11" s="51" t="str">
        <f t="shared" si="4"/>
        <v>고객우대</v>
      </c>
      <c r="O11" s="54">
        <f>SUM(D10+I10+D23+I23+D41+I41)</f>
        <v>609.25599999999997</v>
      </c>
      <c r="P11" s="51" t="str">
        <f t="shared" si="5"/>
        <v>OK케시백</v>
      </c>
      <c r="Q11" s="53">
        <f>SUM(F10+K10+F23+K23+F41+K41)</f>
        <v>0</v>
      </c>
      <c r="R11" s="49"/>
    </row>
    <row r="12" spans="3:25" ht="16.5" customHeight="1" thickBot="1">
      <c r="C12" s="56" t="s">
        <v>46</v>
      </c>
      <c r="D12" s="57"/>
      <c r="E12" s="56" t="s">
        <v>58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/>
      <c r="M12" s="38"/>
      <c r="N12" s="51" t="str">
        <f t="shared" si="4"/>
        <v>-</v>
      </c>
      <c r="O12" s="52">
        <f>SUM(O11*-35)</f>
        <v>-21323.96</v>
      </c>
      <c r="P12" s="51" t="str">
        <f t="shared" si="5"/>
        <v>모바일</v>
      </c>
      <c r="Q12" s="53">
        <f>SUM(F11+K11+F24+K24+F42+K42)</f>
        <v>10000</v>
      </c>
      <c r="R12" s="40"/>
    </row>
    <row r="13" spans="3:25" ht="16.5" customHeight="1" thickBot="1">
      <c r="C13" s="59" t="s">
        <v>33</v>
      </c>
      <c r="D13" s="60">
        <f>SUM((D4-D5-D6-D7-D8-D9)*$I$1+D11)</f>
        <v>5715997.5600000005</v>
      </c>
      <c r="E13" s="59" t="s">
        <v>33</v>
      </c>
      <c r="F13" s="61">
        <f>SUM(F4:F12)</f>
        <v>5716692</v>
      </c>
      <c r="G13" s="62"/>
      <c r="H13" s="96" t="str">
        <f t="shared" si="2"/>
        <v>합계</v>
      </c>
      <c r="I13" s="60">
        <f>SUM((I4-I5-I6-I7-I8-I9)*$I$1+I11)</f>
        <v>11885390.09</v>
      </c>
      <c r="J13" s="29" t="str">
        <f t="shared" si="3"/>
        <v>합계</v>
      </c>
      <c r="K13" s="61">
        <f>IF(K8=0,0,SUM(K4:K12)-F8)</f>
        <v>11885885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694.43999999947846</v>
      </c>
      <c r="K14" s="67">
        <f>SUM(K13-I13)</f>
        <v>494.91000000014901</v>
      </c>
      <c r="N14" s="39" t="str">
        <f t="shared" si="4"/>
        <v>합계</v>
      </c>
      <c r="O14" s="68">
        <f>SUM((O5-O6-O7-O8-O9-O10)*+$I$1+O12)</f>
        <v>24489835.803999998</v>
      </c>
      <c r="P14" s="39" t="str">
        <f t="shared" si="5"/>
        <v>합계</v>
      </c>
      <c r="Q14" s="69">
        <f>SUM(Q5:Q13)</f>
        <v>24490781</v>
      </c>
    </row>
    <row r="15" spans="3:25" ht="16.5" customHeight="1" thickBot="1">
      <c r="C15" s="27">
        <v>3</v>
      </c>
      <c r="H15" s="27">
        <v>4</v>
      </c>
      <c r="Q15" s="70">
        <f>SUM(F14+K14+F27+K27)</f>
        <v>945.19600000046194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6309.6719999999996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130000</v>
      </c>
      <c r="H18" s="98" t="str">
        <f>+C5</f>
        <v>법인전표</v>
      </c>
      <c r="I18" s="43"/>
      <c r="J18" s="42" t="str">
        <f>+E5</f>
        <v>고액권</v>
      </c>
      <c r="K18" s="44"/>
      <c r="N18" s="117" t="s">
        <v>34</v>
      </c>
      <c r="O18" s="130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/>
      <c r="E19" s="42" t="str">
        <f t="shared" ref="E19:E26" si="8">+E6</f>
        <v>천원권</v>
      </c>
      <c r="F19" s="44">
        <v>3000</v>
      </c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21" t="s">
        <v>37</v>
      </c>
      <c r="O19" s="122"/>
      <c r="P19" s="73">
        <v>13</v>
      </c>
      <c r="Q19" s="48">
        <f>SUM(P19*1000)</f>
        <v>13000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111" t="str">
        <f t="shared" si="8"/>
        <v>블루/레드포인트</v>
      </c>
      <c r="F20" s="44"/>
      <c r="H20" s="98" t="str">
        <f t="shared" si="9"/>
        <v>효신(업)</v>
      </c>
      <c r="I20" s="50"/>
      <c r="J20" s="111" t="str">
        <f t="shared" si="10"/>
        <v>블루/레드포인트</v>
      </c>
      <c r="K20" s="44"/>
      <c r="N20" s="127" t="s">
        <v>38</v>
      </c>
      <c r="O20" s="128"/>
      <c r="P20" s="74">
        <v>25</v>
      </c>
      <c r="Q20" s="53">
        <f>SUM(P20*1000)</f>
        <v>25000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24048781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7" t="s">
        <v>48</v>
      </c>
      <c r="O21" s="128"/>
      <c r="P21" s="74">
        <v>13</v>
      </c>
      <c r="Q21" s="53">
        <v>0</v>
      </c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9" t="s">
        <v>53</v>
      </c>
      <c r="O22" s="124"/>
      <c r="P22" s="74">
        <v>1</v>
      </c>
      <c r="Q22" s="53">
        <f>SUM(P22*1000)</f>
        <v>1000</v>
      </c>
      <c r="R22" s="32"/>
      <c r="S22" s="32"/>
    </row>
    <row r="23" spans="3:19" ht="16.5" customHeight="1">
      <c r="C23" s="98" t="str">
        <f t="shared" si="7"/>
        <v>고객우대</v>
      </c>
      <c r="D23" s="50">
        <v>48.962000000000003</v>
      </c>
      <c r="E23" s="42" t="str">
        <f t="shared" si="8"/>
        <v>OK케시백</v>
      </c>
      <c r="F23" s="44"/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23" t="s">
        <v>60</v>
      </c>
      <c r="O23" s="124"/>
      <c r="P23" s="74">
        <v>28</v>
      </c>
      <c r="Q23" s="53">
        <v>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-1713.67</v>
      </c>
      <c r="E24" s="42" t="str">
        <f t="shared" si="8"/>
        <v>모바일</v>
      </c>
      <c r="F24" s="44"/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23" t="s">
        <v>52</v>
      </c>
      <c r="O24" s="124"/>
      <c r="P24" s="74">
        <v>3</v>
      </c>
      <c r="Q24" s="53">
        <v>0</v>
      </c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25" t="s">
        <v>39</v>
      </c>
      <c r="O25" s="126"/>
      <c r="P25" s="75">
        <v>74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6888448.1539999992</v>
      </c>
      <c r="E26" s="29" t="str">
        <f t="shared" si="8"/>
        <v>합계</v>
      </c>
      <c r="F26" s="61">
        <f>IF(F21=0,0,SUM(F17:F25)-K8)</f>
        <v>6888204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7" t="s">
        <v>40</v>
      </c>
      <c r="O26" s="118"/>
      <c r="P26" s="77">
        <v>157</v>
      </c>
      <c r="Q26" s="69">
        <f>SUM(Q19:Q25)</f>
        <v>39000</v>
      </c>
      <c r="R26" s="32"/>
      <c r="S26" s="32"/>
    </row>
    <row r="27" spans="3:19" ht="15.75" customHeight="1" thickBot="1">
      <c r="F27" s="67">
        <f>SUM(F26-D26)</f>
        <v>-244.15399999916553</v>
      </c>
      <c r="K27" s="67">
        <f>SUM(K26-I26)</f>
        <v>0</v>
      </c>
    </row>
    <row r="28" spans="3:19" ht="23.25" customHeight="1">
      <c r="F28" s="67"/>
      <c r="K28" s="67"/>
      <c r="N28" s="115" t="s">
        <v>54</v>
      </c>
      <c r="O28" s="104" t="s">
        <v>55</v>
      </c>
      <c r="P28" s="104" t="s">
        <v>56</v>
      </c>
      <c r="Q28" s="105" t="s">
        <v>57</v>
      </c>
    </row>
    <row r="29" spans="3:19" ht="21.75" customHeight="1" thickBot="1">
      <c r="F29" s="67"/>
      <c r="K29" s="67"/>
      <c r="N29" s="116"/>
      <c r="O29" s="106">
        <v>16072</v>
      </c>
      <c r="P29" s="107">
        <v>16073</v>
      </c>
      <c r="Q29" s="108">
        <f>P29-O29</f>
        <v>1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4" sqref="K14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1092</v>
      </c>
      <c r="F1" s="1"/>
      <c r="G1" s="1"/>
      <c r="H1" s="1"/>
      <c r="I1" s="1"/>
      <c r="J1" s="1"/>
      <c r="K1" s="1"/>
      <c r="L1" s="22">
        <f>+ROUND(+O5*0.584/1000,3)</f>
        <v>11.411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10.531000000000001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105.31</v>
      </c>
      <c r="M3" s="18" t="s">
        <v>10</v>
      </c>
      <c r="N3" s="3"/>
      <c r="O3" s="3"/>
      <c r="P3" s="132" t="str">
        <f>+'(1)'!C1&amp;"년"&amp;'(1)'!E1&amp;"월"&amp;C1&amp;"일"</f>
        <v>2022년11월10일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12234.227999999999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7304.857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44264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245000</v>
      </c>
      <c r="L5" s="2"/>
      <c r="M5" s="20"/>
      <c r="N5" s="45" t="str">
        <f>+C4</f>
        <v>판매량</v>
      </c>
      <c r="O5" s="46">
        <f>SUM(D4+I4+D17+I17+D35+I35)</f>
        <v>19539.084999999999</v>
      </c>
      <c r="P5" s="47" t="str">
        <f>+E4</f>
        <v>입금액</v>
      </c>
      <c r="Q5" s="48">
        <f>SUM(F4+K4+F17+K17+F35+K35)</f>
        <v>0</v>
      </c>
      <c r="R5" s="7">
        <v>23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304.23099999999999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430000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304.23099999999999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12751794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20450033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20450033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353.55599999999998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10000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-12374.46</v>
      </c>
      <c r="E11" s="42" t="str">
        <f>+'(1)'!E11</f>
        <v>모바일</v>
      </c>
      <c r="F11" s="44">
        <v>29000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353.55599999999998</v>
      </c>
      <c r="P11" s="51" t="str">
        <f t="shared" si="5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49487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-12374.46</v>
      </c>
      <c r="P12" s="51" t="str">
        <f t="shared" si="5"/>
        <v>모바일</v>
      </c>
      <c r="Q12" s="53">
        <f>SUM(F11+K11+F24+K24+F42+K42)</f>
        <v>29000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13015182.263999999</v>
      </c>
      <c r="E13" s="29" t="str">
        <f>+'(1)'!E13</f>
        <v>합계</v>
      </c>
      <c r="F13" s="61">
        <f>SUM(F4:F12)</f>
        <v>13015281</v>
      </c>
      <c r="G13" s="62"/>
      <c r="H13" s="29" t="str">
        <f t="shared" si="2"/>
        <v>합계</v>
      </c>
      <c r="I13" s="60">
        <f>SUM((I4-I5-I6-I7-I8-I9)*$E$1+I11)</f>
        <v>7976903.8439999996</v>
      </c>
      <c r="J13" s="29" t="str">
        <f t="shared" si="3"/>
        <v>합계</v>
      </c>
      <c r="K13" s="61">
        <f>IF(K8=0,0,SUM(K4:K12)-F8)</f>
        <v>7977239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69487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98.736000001430511</v>
      </c>
      <c r="G14" s="27"/>
      <c r="H14" s="27"/>
      <c r="I14" s="27"/>
      <c r="J14" s="27"/>
      <c r="K14" s="67">
        <f>SUM(K13-I13)</f>
        <v>335.15600000042468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20992086.107999999</v>
      </c>
      <c r="P14" s="39" t="str">
        <f t="shared" si="5"/>
        <v>합계</v>
      </c>
      <c r="Q14" s="69">
        <f>SUM(Q5:Q13)</f>
        <v>20992520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433.89200000185519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71</v>
      </c>
      <c r="O23" s="124"/>
      <c r="P23" s="74">
        <v>28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83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167</v>
      </c>
      <c r="Q26" s="69">
        <f>SUM(Q19:Q25)</f>
        <v>33000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16097</v>
      </c>
      <c r="P29" s="107">
        <v>16097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1092</v>
      </c>
      <c r="F1" s="1"/>
      <c r="G1" s="1"/>
      <c r="H1" s="1"/>
      <c r="I1" s="1"/>
      <c r="J1" s="1"/>
      <c r="K1" s="1"/>
      <c r="L1" s="22">
        <f>+ROUND(+O5*0.584/1000,3)</f>
        <v>11.353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10.606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116.666</v>
      </c>
      <c r="M3" s="18" t="s">
        <v>10</v>
      </c>
      <c r="N3" s="3"/>
      <c r="O3" s="3"/>
      <c r="P3" s="132" t="str">
        <f>+'(1)'!C1&amp;"년"&amp;'(1)'!E1&amp;"월"&amp;C1&amp;"일"</f>
        <v>2022년11월11일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12086.88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7353.5590000000002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24003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297000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170000</v>
      </c>
      <c r="L5" s="2"/>
      <c r="M5" s="20"/>
      <c r="N5" s="45" t="str">
        <f>+C4</f>
        <v>판매량</v>
      </c>
      <c r="O5" s="46">
        <f>SUM(D4+I4+D17+I17+D35+I35)</f>
        <v>19440.438999999998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355.58600000000001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467000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355.58600000000001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12463131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20307847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20307847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106.43899999999999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46.226999999999997</v>
      </c>
      <c r="J10" s="42" t="str">
        <f t="shared" si="3"/>
        <v>OK케시백</v>
      </c>
      <c r="K10" s="44">
        <v>12000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-3725.3649999999998</v>
      </c>
      <c r="E11" s="42" t="str">
        <f>+'(1)'!E11</f>
        <v>모바일</v>
      </c>
      <c r="F11" s="44">
        <v>45000</v>
      </c>
      <c r="G11" s="27"/>
      <c r="H11" s="87" t="str">
        <f t="shared" si="2"/>
        <v>-</v>
      </c>
      <c r="I11" s="55">
        <f>SUM(I10*-35)</f>
        <v>-1617.9449999999999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152.666</v>
      </c>
      <c r="P11" s="51" t="str">
        <f t="shared" si="5"/>
        <v>OK케시백</v>
      </c>
      <c r="Q11" s="53">
        <f>SUM(F10+K10+F23+K23+F41+K41)</f>
        <v>12000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-5343.3099999999995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12806847.683</v>
      </c>
      <c r="E13" s="29" t="str">
        <f>+'(1)'!E13</f>
        <v>합계</v>
      </c>
      <c r="F13" s="61">
        <f>SUM(F4:F12)</f>
        <v>12806131</v>
      </c>
      <c r="G13" s="62"/>
      <c r="H13" s="29" t="str">
        <f t="shared" si="2"/>
        <v>합계</v>
      </c>
      <c r="I13" s="60">
        <f>SUM((I4-I5-I6-I7-I8-I9)*$E$1+I11)</f>
        <v>8028468.483</v>
      </c>
      <c r="J13" s="29" t="str">
        <f t="shared" si="3"/>
        <v>합계</v>
      </c>
      <c r="K13" s="61">
        <f>IF(K8=0,0,SUM(K4:K12)-F8)</f>
        <v>8027716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-716.68300000019372</v>
      </c>
      <c r="G14" s="27"/>
      <c r="H14" s="27"/>
      <c r="I14" s="27"/>
      <c r="J14" s="27"/>
      <c r="K14" s="67">
        <f>SUM(K13-I13)</f>
        <v>-752.48300000000745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20835316.166000001</v>
      </c>
      <c r="P14" s="39" t="str">
        <f t="shared" si="5"/>
        <v>합계</v>
      </c>
      <c r="Q14" s="69">
        <f>SUM(Q5:Q13)</f>
        <v>20833847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-1469.1660000002012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72</v>
      </c>
      <c r="O23" s="124"/>
      <c r="P23" s="74">
        <v>26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88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172</v>
      </c>
      <c r="Q26" s="69">
        <f>SUM(Q19:Q25)</f>
        <v>39000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16097</v>
      </c>
      <c r="P29" s="107">
        <v>16101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3" sqref="K13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1092</v>
      </c>
      <c r="F1" s="1"/>
      <c r="G1" s="1"/>
      <c r="H1" s="1"/>
      <c r="I1" s="1"/>
      <c r="J1" s="1"/>
      <c r="K1" s="1"/>
      <c r="L1" s="22">
        <f>+ROUND(+O5*0.584/1000,3)</f>
        <v>9.0359999999999996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10.475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125.69999999999999</v>
      </c>
      <c r="M3" s="18" t="s">
        <v>10</v>
      </c>
      <c r="N3" s="3"/>
      <c r="O3" s="3"/>
      <c r="P3" s="132" t="str">
        <f>+'(1)'!C1&amp;"년"&amp;'(1)'!E1&amp;"월"&amp;C1&amp;"일"</f>
        <v>2022년11월12일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9224.2289999999994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6248.2979999999998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45170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200000</v>
      </c>
      <c r="L5" s="2"/>
      <c r="M5" s="20"/>
      <c r="N5" s="45" t="str">
        <f>+C4</f>
        <v>판매량</v>
      </c>
      <c r="O5" s="46">
        <f>SUM(D4+I4+D17+I17+D35+I35)</f>
        <v>15472.526999999998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67.866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410000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>
        <v>51560</v>
      </c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67.866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9686710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16250386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51560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16250386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101.452</v>
      </c>
      <c r="E10" s="42" t="str">
        <f>+'(1)'!E10</f>
        <v>OK케시백</v>
      </c>
      <c r="F10" s="44">
        <v>8000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-3550.8199999999997</v>
      </c>
      <c r="E11" s="42" t="str">
        <f>+'(1)'!E11</f>
        <v>모바일</v>
      </c>
      <c r="F11" s="44">
        <v>39000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101.452</v>
      </c>
      <c r="P11" s="51" t="str">
        <f t="shared" si="5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55808</v>
      </c>
      <c r="L12" s="2"/>
      <c r="M12" s="20"/>
      <c r="N12" s="51" t="str">
        <f t="shared" si="4"/>
        <v>-</v>
      </c>
      <c r="O12" s="55">
        <f>SUM(O11*-35)</f>
        <v>-3550.8199999999997</v>
      </c>
      <c r="P12" s="51" t="str">
        <f t="shared" si="5"/>
        <v>모바일</v>
      </c>
      <c r="Q12" s="53">
        <f>SUM(F11+K11+F24+K24+F42+K42)</f>
        <v>39000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9995197.5759999994</v>
      </c>
      <c r="E13" s="29" t="str">
        <f>+'(1)'!E13</f>
        <v>합계</v>
      </c>
      <c r="F13" s="61">
        <f>SUM(F4:F12)</f>
        <v>9995270</v>
      </c>
      <c r="G13" s="62"/>
      <c r="H13" s="29" t="str">
        <f t="shared" si="2"/>
        <v>합계</v>
      </c>
      <c r="I13" s="60">
        <f>SUM((I4-I5-I6-I7-I8-I9)*$E$1+I11)</f>
        <v>6823141.4160000002</v>
      </c>
      <c r="J13" s="29" t="str">
        <f t="shared" si="3"/>
        <v>합계</v>
      </c>
      <c r="K13" s="61">
        <f>IF(K8=0,0,SUM(K4:K12)-F8)</f>
        <v>6823484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55808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72.424000000581145</v>
      </c>
      <c r="G14" s="27"/>
      <c r="H14" s="27"/>
      <c r="I14" s="27"/>
      <c r="J14" s="27"/>
      <c r="K14" s="67">
        <f>SUM(K13-I13)</f>
        <v>342.58399999979883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16818338.991999999</v>
      </c>
      <c r="P14" s="39" t="str">
        <f t="shared" si="5"/>
        <v>합계</v>
      </c>
      <c r="Q14" s="69">
        <f>SUM(Q5:Q13)</f>
        <v>16818754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415.00800000037998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0</v>
      </c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73</v>
      </c>
      <c r="O23" s="124"/>
      <c r="P23" s="74">
        <v>14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35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64</v>
      </c>
      <c r="Q26" s="69">
        <f>SUM(Q19:Q25)</f>
        <v>12000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16101</v>
      </c>
      <c r="P29" s="107">
        <v>16104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20" sqref="I2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1092</v>
      </c>
      <c r="F1" s="1"/>
      <c r="G1" s="1"/>
      <c r="H1" s="1"/>
      <c r="I1" s="1"/>
      <c r="J1" s="1"/>
      <c r="K1" s="1"/>
      <c r="L1" s="22">
        <f>+ROUND(+O5*0.584/1000,3)</f>
        <v>6.86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10.196999999999999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132.56099999999998</v>
      </c>
      <c r="M3" s="18" t="s">
        <v>10</v>
      </c>
      <c r="N3" s="3"/>
      <c r="O3" s="3"/>
      <c r="P3" s="132" t="str">
        <f>+'(1)'!C1&amp;"년"&amp;'(1)'!E1&amp;"월"&amp;C1&amp;"일"</f>
        <v>2022년11월13일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7961.9639999999999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3784.7350000000001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32951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180000</v>
      </c>
      <c r="L5" s="2"/>
      <c r="M5" s="20"/>
      <c r="N5" s="45" t="str">
        <f>+C4</f>
        <v>판매량</v>
      </c>
      <c r="O5" s="46">
        <f>SUM(D4+I4+D17+I17+D35+I35)</f>
        <v>11746.699000000001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375000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8383670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12283734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12283734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63.247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27807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-2213.645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63.247</v>
      </c>
      <c r="P11" s="51" t="str">
        <f t="shared" si="5"/>
        <v>OK케시백</v>
      </c>
      <c r="Q11" s="53">
        <f>SUM(F10+K10+F23+K23+F41+K41)</f>
        <v>29807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69474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-2213.645</v>
      </c>
      <c r="P12" s="51" t="str">
        <f t="shared" si="5"/>
        <v>모바일</v>
      </c>
      <c r="Q12" s="53">
        <f>SUM(F11+K11+F24+K24+F42+K42)</f>
        <v>44000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8692251.0429999996</v>
      </c>
      <c r="E13" s="29" t="str">
        <f>+'(1)'!E13</f>
        <v>합계</v>
      </c>
      <c r="F13" s="61">
        <f>SUM(F4:F12)</f>
        <v>8692144</v>
      </c>
      <c r="G13" s="62"/>
      <c r="H13" s="29" t="str">
        <f t="shared" si="2"/>
        <v>합계</v>
      </c>
      <c r="I13" s="60">
        <f>SUM((I4-I5-I6-I7-I8-I9)*$E$1+I11)</f>
        <v>4132930.62</v>
      </c>
      <c r="J13" s="29" t="str">
        <f t="shared" si="3"/>
        <v>합계</v>
      </c>
      <c r="K13" s="61">
        <f>IF(K8=0,0,SUM(K4:K12)-F8)</f>
        <v>4132871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89474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-107.04299999959767</v>
      </c>
      <c r="G14" s="27"/>
      <c r="H14" s="27"/>
      <c r="I14" s="27"/>
      <c r="J14" s="27"/>
      <c r="K14" s="67">
        <f>SUM(K13-I13)</f>
        <v>-59.620000000111759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12825181.663000001</v>
      </c>
      <c r="P14" s="39" t="str">
        <f t="shared" si="5"/>
        <v>합계</v>
      </c>
      <c r="Q14" s="69">
        <f>SUM(Q5:Q13)</f>
        <v>12825015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-166.66299999970943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13</v>
      </c>
      <c r="Q20" s="53">
        <f>SUM(P20*1000)</f>
        <v>13000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74</v>
      </c>
      <c r="O23" s="124"/>
      <c r="P23" s="74">
        <v>18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46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90</v>
      </c>
      <c r="Q26" s="69">
        <f>SUM(Q19:Q25)</f>
        <v>23000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16104</v>
      </c>
      <c r="P29" s="107">
        <v>16104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5" sqref="D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1092</v>
      </c>
      <c r="F1" s="1"/>
      <c r="G1" s="1"/>
      <c r="H1" s="1"/>
      <c r="I1" s="1"/>
      <c r="J1" s="1"/>
      <c r="K1" s="1"/>
      <c r="L1" s="22">
        <f>+ROUND(+O5*0.584/1000,3)</f>
        <v>10.852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10.244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143.416</v>
      </c>
      <c r="M3" s="18" t="s">
        <v>10</v>
      </c>
      <c r="N3" s="3"/>
      <c r="O3" s="3"/>
      <c r="P3" s="132" t="str">
        <f>+'(1)'!C1&amp;"년"&amp;'(1)'!E1&amp;"월"&amp;C1&amp;"일"</f>
        <v>2022년11월14일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11022.866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7559.6390000000001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13434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110000</v>
      </c>
      <c r="L5" s="2"/>
      <c r="M5" s="20"/>
      <c r="N5" s="45" t="str">
        <f>+C4</f>
        <v>판매량</v>
      </c>
      <c r="O5" s="46">
        <f>SUM(D4+I4+D17+I17+D35+I35)</f>
        <v>18582.505000000001</v>
      </c>
      <c r="P5" s="47" t="str">
        <f>+E4</f>
        <v>입금액</v>
      </c>
      <c r="Q5" s="48">
        <f>SUM(F4+K4+F17+K17+F35+K35)</f>
        <v>0</v>
      </c>
      <c r="R5" s="7">
        <v>26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250.19300000000001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380000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250.19300000000001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11458931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19601195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19601195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328.48399999999998</v>
      </c>
      <c r="E10" s="42" t="str">
        <f>+'(1)'!E10</f>
        <v>OK케시백</v>
      </c>
      <c r="F10" s="44">
        <v>7000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-11496.939999999999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328.48399999999998</v>
      </c>
      <c r="P11" s="51" t="str">
        <f t="shared" si="5"/>
        <v>OK케시백</v>
      </c>
      <c r="Q11" s="53">
        <f>SUM(F10+K10+F23+K23+F41+K41)</f>
        <v>7000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-11496.939999999999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11752261.976000002</v>
      </c>
      <c r="E13" s="29" t="str">
        <f>+'(1)'!E13</f>
        <v>합계</v>
      </c>
      <c r="F13" s="61">
        <f>SUM(F4:F12)</f>
        <v>11750931</v>
      </c>
      <c r="G13" s="62"/>
      <c r="H13" s="29" t="str">
        <f t="shared" si="2"/>
        <v>합계</v>
      </c>
      <c r="I13" s="60">
        <f>SUM((I4-I5-I6-I7-I8-I9)*$E$1+I11)</f>
        <v>8255125.7879999997</v>
      </c>
      <c r="J13" s="29" t="str">
        <f t="shared" si="3"/>
        <v>합계</v>
      </c>
      <c r="K13" s="61">
        <f>IF(K8=0,0,SUM(K4:K12)-F8)</f>
        <v>8255264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-1330.976000001654</v>
      </c>
      <c r="G14" s="27"/>
      <c r="H14" s="27"/>
      <c r="I14" s="27"/>
      <c r="J14" s="27"/>
      <c r="K14" s="67">
        <f>SUM(K13-I13)</f>
        <v>138.21200000029057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20007387.764000002</v>
      </c>
      <c r="P14" s="39" t="str">
        <f t="shared" si="5"/>
        <v>합계</v>
      </c>
      <c r="Q14" s="69">
        <f>SUM(Q5:Q13)</f>
        <v>20006195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-1192.7640000013635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26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73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166</v>
      </c>
      <c r="Q26" s="69">
        <f>SUM(Q19:Q25)</f>
        <v>48000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16104</v>
      </c>
      <c r="P29" s="107">
        <v>16107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A2" sqref="A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1092</v>
      </c>
      <c r="F1" s="1"/>
      <c r="G1" s="1"/>
      <c r="H1" s="1"/>
      <c r="I1" s="1"/>
      <c r="J1" s="1"/>
      <c r="K1" s="1"/>
      <c r="L1" s="22">
        <f>+ROUND(+O5*0.584/1000,3)</f>
        <v>10.396000000000001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10.254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153.81</v>
      </c>
      <c r="M3" s="18" t="s">
        <v>10</v>
      </c>
      <c r="N3" s="3"/>
      <c r="O3" s="3"/>
      <c r="P3" s="132" t="str">
        <f>+'(1)'!C1&amp;"년"&amp;'(1)'!E1&amp;"월"&amp;C1&amp;"일"</f>
        <v>2022년11월15일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11097.928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6704.0749999999998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32449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170000</v>
      </c>
      <c r="L5" s="2"/>
      <c r="M5" s="20"/>
      <c r="N5" s="45" t="str">
        <f>+C4</f>
        <v>판매량</v>
      </c>
      <c r="O5" s="46">
        <f>SUM(D4+I4+D17+I17+D35+I35)</f>
        <v>17802.003000000001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323.14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48.820999999999998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360000</v>
      </c>
      <c r="R6" s="7">
        <v>3.1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371.96100000000001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11560671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18668224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18668224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406.58800000000002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-14230.58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406.58800000000002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-14230.58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11751837.916000001</v>
      </c>
      <c r="E13" s="29" t="str">
        <f>+'(1)'!E13</f>
        <v>합계</v>
      </c>
      <c r="F13" s="61">
        <f>SUM(F4:F12)</f>
        <v>11751671</v>
      </c>
      <c r="G13" s="62"/>
      <c r="H13" s="29" t="str">
        <f t="shared" si="2"/>
        <v>합계</v>
      </c>
      <c r="I13" s="60">
        <f>SUM((I4-I5-I6-I7-I8-I9)*$E$1+I11)</f>
        <v>7267537.3679999998</v>
      </c>
      <c r="J13" s="29" t="str">
        <f t="shared" si="3"/>
        <v>합계</v>
      </c>
      <c r="K13" s="61">
        <f>IF(K8=0,0,SUM(K4:K12)-F8)</f>
        <v>7287553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-166.91600000113249</v>
      </c>
      <c r="G14" s="27"/>
      <c r="H14" s="27"/>
      <c r="I14" s="27"/>
      <c r="J14" s="27"/>
      <c r="K14" s="67">
        <f>SUM(K13-I13)</f>
        <v>20015.632000000216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19019375.284000002</v>
      </c>
      <c r="P14" s="39" t="str">
        <f t="shared" si="5"/>
        <v>합계</v>
      </c>
      <c r="Q14" s="69">
        <f>SUM(Q5:Q13)</f>
        <v>19039224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19848.715999999084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28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54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143</v>
      </c>
      <c r="Q26" s="69">
        <f>SUM(Q19:Q25)</f>
        <v>38000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16107</v>
      </c>
      <c r="P29" s="107">
        <v>16110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1092</v>
      </c>
      <c r="F1" s="1"/>
      <c r="G1" s="1"/>
      <c r="H1" s="1"/>
      <c r="I1" s="1"/>
      <c r="J1" s="1"/>
      <c r="K1" s="1"/>
      <c r="L1" s="22">
        <f>+ROUND(+O5*0.584/1000,3)</f>
        <v>10.554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10.273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164.36799999999999</v>
      </c>
      <c r="M3" s="18" t="s">
        <v>10</v>
      </c>
      <c r="N3" s="3"/>
      <c r="O3" s="3"/>
      <c r="P3" s="132" t="str">
        <f>+'(1)'!C1&amp;"년"&amp;'(1)'!E1&amp;"월"&amp;C1&amp;"일"</f>
        <v>2022년11월16일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10838.522000000001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7233.2139999999999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50300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110000</v>
      </c>
      <c r="L5" s="2"/>
      <c r="M5" s="20"/>
      <c r="N5" s="45" t="str">
        <f>+C4</f>
        <v>판매량</v>
      </c>
      <c r="O5" s="46">
        <f>SUM(D4+I4+D17+I17+D35+I35)</f>
        <v>18071.736000000001</v>
      </c>
      <c r="P5" s="47" t="str">
        <f>+E4</f>
        <v>입금액</v>
      </c>
      <c r="Q5" s="48">
        <f>SUM(F4+K4+F17+K17+F35+K35)</f>
        <v>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200.21100000000001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430000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200.21100000000001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75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11227852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18981093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18981093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232.51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50.518000000000001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-8137.8499999999995</v>
      </c>
      <c r="E11" s="42" t="str">
        <f>+'(1)'!E11</f>
        <v>모바일</v>
      </c>
      <c r="F11" s="44">
        <v>60000</v>
      </c>
      <c r="G11" s="27"/>
      <c r="H11" s="87" t="str">
        <f t="shared" si="2"/>
        <v>-</v>
      </c>
      <c r="I11" s="55">
        <f>SUM(I10*-35)</f>
        <v>-1768.13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283.02800000000002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-9905.9800000000014</v>
      </c>
      <c r="P12" s="51" t="str">
        <f t="shared" si="5"/>
        <v>모바일</v>
      </c>
      <c r="Q12" s="53">
        <f>SUM(F11+K11+F24+K24+F42+K42)</f>
        <v>70000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11608897.762000002</v>
      </c>
      <c r="E13" s="29" t="str">
        <f>+'(1)'!E13</f>
        <v>합계</v>
      </c>
      <c r="F13" s="61">
        <f>SUM(F4:F12)</f>
        <v>11608852</v>
      </c>
      <c r="G13" s="62"/>
      <c r="H13" s="29" t="str">
        <f t="shared" si="2"/>
        <v>합계</v>
      </c>
      <c r="I13" s="60">
        <f>SUM((I4-I5-I6-I7-I8-I9)*$E$1+I11)</f>
        <v>7896901.5580000002</v>
      </c>
      <c r="J13" s="29" t="str">
        <f t="shared" si="3"/>
        <v>합계</v>
      </c>
      <c r="K13" s="61">
        <f>IF(K8=0,0,SUM(K4:K12)-F8)</f>
        <v>7876241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-45.762000001966953</v>
      </c>
      <c r="G14" s="27"/>
      <c r="H14" s="27"/>
      <c r="I14" s="27"/>
      <c r="J14" s="27"/>
      <c r="K14" s="67">
        <f>SUM(K13-I13)</f>
        <v>-20660.558000000194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19505799.32</v>
      </c>
      <c r="P14" s="39" t="str">
        <f t="shared" si="5"/>
        <v>합계</v>
      </c>
      <c r="Q14" s="69">
        <f>SUM(Q5:Q13)</f>
        <v>19485093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-20706.320000002161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26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57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178</v>
      </c>
      <c r="Q26" s="69">
        <f>SUM(Q19:Q25)</f>
        <v>62000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16110</v>
      </c>
      <c r="P29" s="107">
        <v>16114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1092</v>
      </c>
      <c r="F1" s="1"/>
      <c r="G1" s="1"/>
      <c r="H1" s="1"/>
      <c r="I1" s="1"/>
      <c r="J1" s="1"/>
      <c r="K1" s="1"/>
      <c r="L1" s="22">
        <f>+ROUND(+O5*0.584/1000,3)</f>
        <v>10.801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10.304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175.16800000000001</v>
      </c>
      <c r="M3" s="18" t="s">
        <v>10</v>
      </c>
      <c r="N3" s="3"/>
      <c r="O3" s="3"/>
      <c r="P3" s="132" t="str">
        <f>+'(1)'!C1&amp;"년"&amp;'(1)'!E1&amp;"월"&amp;C1&amp;"일"</f>
        <v>2022년11월17일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11348.689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7146.5789999999997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31290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310000</v>
      </c>
      <c r="L5" s="2"/>
      <c r="M5" s="20"/>
      <c r="N5" s="45" t="str">
        <f>+C4</f>
        <v>판매량</v>
      </c>
      <c r="O5" s="46">
        <f>SUM(D4+I4+D17+I17+D35+I35)</f>
        <v>18495.268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357.322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425000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357.322</v>
      </c>
      <c r="P7" s="51" t="str">
        <f t="shared" ref="P7:P14" si="5">+E6</f>
        <v>천원권</v>
      </c>
      <c r="Q7" s="53">
        <f>SUM(F6+K6+F19+K19+F37+K37)</f>
        <v>5000</v>
      </c>
      <c r="R7" s="5" t="s">
        <v>76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11795446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19280075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19280075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359.36200000000002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>
        <v>62.654000000000003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-12577.67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-2192.8900000000003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422.01600000000002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36684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-14770.560000000001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11989995.094000001</v>
      </c>
      <c r="E13" s="29" t="str">
        <f>+'(1)'!E13</f>
        <v>합계</v>
      </c>
      <c r="F13" s="61">
        <f>SUM(F4:F12)</f>
        <v>11989130</v>
      </c>
      <c r="G13" s="62"/>
      <c r="H13" s="29" t="str">
        <f t="shared" si="2"/>
        <v>합계</v>
      </c>
      <c r="I13" s="60">
        <f>SUM((I4-I5-I6-I7-I8-I9)*$E$1+I11)</f>
        <v>7801871.3780000005</v>
      </c>
      <c r="J13" s="29" t="str">
        <f t="shared" si="3"/>
        <v>합계</v>
      </c>
      <c r="K13" s="61">
        <f>IF(K8=0,0,SUM(K4:K12)-F8)</f>
        <v>7801629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36684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-865.09400000050664</v>
      </c>
      <c r="G14" s="27"/>
      <c r="H14" s="27"/>
      <c r="I14" s="27"/>
      <c r="J14" s="27"/>
      <c r="K14" s="67">
        <f>SUM(K13-I13)</f>
        <v>-242.37800000049174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19791866.472000003</v>
      </c>
      <c r="P14" s="39" t="str">
        <f t="shared" si="5"/>
        <v>합계</v>
      </c>
      <c r="Q14" s="69">
        <f>SUM(Q5:Q13)</f>
        <v>19790759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-1107.4720000009984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23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66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128</v>
      </c>
      <c r="Q26" s="69">
        <f>SUM(Q19:Q25)</f>
        <v>28000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16114</v>
      </c>
      <c r="P29" s="107">
        <v>16114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1" sqref="E2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1092</v>
      </c>
      <c r="F1" s="1"/>
      <c r="G1" s="1"/>
      <c r="H1" s="1"/>
      <c r="I1" s="1"/>
      <c r="J1" s="1"/>
      <c r="K1" s="1"/>
      <c r="L1" s="22">
        <f>+ROUND(+O5*0.584/1000,3)</f>
        <v>11.427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10.366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186.58799999999999</v>
      </c>
      <c r="M3" s="18" t="s">
        <v>10</v>
      </c>
      <c r="N3" s="3"/>
      <c r="O3" s="3"/>
      <c r="P3" s="132" t="str">
        <f>+'(1)'!C1&amp;"년"&amp;'(1)'!E1&amp;"월"&amp;C1&amp;"일"</f>
        <v>2022년11월18일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12380.19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7187.14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48153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145000</v>
      </c>
      <c r="L5" s="2"/>
      <c r="M5" s="20"/>
      <c r="N5" s="45" t="str">
        <f>+C4</f>
        <v>판매량</v>
      </c>
      <c r="O5" s="46">
        <f>SUM(D4+I4+D17+I17+D35+I35)</f>
        <v>19567.330000000002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205.393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425000</v>
      </c>
      <c r="R6" s="7">
        <v>3.7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205.393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13000739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20736567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20736567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234.00200000000001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-8190.0700000000006</v>
      </c>
      <c r="E11" s="42" t="str">
        <f>+'(1)'!E11</f>
        <v>모바일</v>
      </c>
      <c r="F11" s="44">
        <v>4000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234.00200000000001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-8190.0700000000006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13286688.254000001</v>
      </c>
      <c r="E13" s="29" t="str">
        <f>+'(1)'!E13</f>
        <v>합계</v>
      </c>
      <c r="F13" s="61">
        <f>SUM(F4:F12)</f>
        <v>13286739</v>
      </c>
      <c r="G13" s="62"/>
      <c r="H13" s="29" t="str">
        <f t="shared" si="2"/>
        <v>합계</v>
      </c>
      <c r="I13" s="60">
        <f>SUM((I4-I5-I6-I7-I8-I9)*$E$1+I11)</f>
        <v>7848356.8800000008</v>
      </c>
      <c r="J13" s="29" t="str">
        <f t="shared" si="3"/>
        <v>합계</v>
      </c>
      <c r="K13" s="61">
        <f>IF(K8=0,0,SUM(K4:K12)-F8)</f>
        <v>7888828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50.745999999344349</v>
      </c>
      <c r="G14" s="27"/>
      <c r="H14" s="27"/>
      <c r="I14" s="27"/>
      <c r="J14" s="27"/>
      <c r="K14" s="67">
        <f>SUM(K13-I13)</f>
        <v>40471.11999999918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21135045.134000003</v>
      </c>
      <c r="P14" s="39" t="str">
        <f t="shared" si="5"/>
        <v>합계</v>
      </c>
      <c r="Q14" s="69">
        <f>SUM(Q5:Q13)</f>
        <v>21175567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40521.865999998525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32</v>
      </c>
      <c r="Q20" s="53">
        <f>SUM(P20*1000)</f>
        <v>32000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27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82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171</v>
      </c>
      <c r="Q26" s="69">
        <f>SUM(Q19:Q25)</f>
        <v>48000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16114</v>
      </c>
      <c r="P29" s="107">
        <v>16118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1092</v>
      </c>
      <c r="F1" s="1"/>
      <c r="G1" s="1"/>
      <c r="H1" s="1"/>
      <c r="I1" s="1"/>
      <c r="J1" s="1"/>
      <c r="K1" s="1"/>
      <c r="L1" s="22">
        <f>+ROUND(+O5*0.584/1000,3)</f>
        <v>9.3160000000000007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10.311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195.90899999999999</v>
      </c>
      <c r="M3" s="18" t="s">
        <v>10</v>
      </c>
      <c r="N3" s="3"/>
      <c r="O3" s="3"/>
      <c r="P3" s="132" t="str">
        <f>+'(1)'!C1&amp;"년"&amp;'(1)'!E1&amp;"월"&amp;C1&amp;"일"</f>
        <v>2022년11월19일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9820.9069999999992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6130.3490000000002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265000</v>
      </c>
      <c r="L5" s="2"/>
      <c r="M5" s="20"/>
      <c r="N5" s="45" t="str">
        <f>+C4</f>
        <v>판매량</v>
      </c>
      <c r="O5" s="46">
        <f>SUM(D4+I4+D17+I17+D35+I35)</f>
        <v>15951.255999999999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85.004000000000005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85.004000000000005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10292193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16696911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16696911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61.142000000000003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-2139.9700000000003</v>
      </c>
      <c r="E11" s="42" t="str">
        <f>+'(1)'!E11</f>
        <v>모바일</v>
      </c>
      <c r="F11" s="44">
        <v>59644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61.142000000000003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-2139.9700000000003</v>
      </c>
      <c r="P12" s="51" t="str">
        <f t="shared" si="5"/>
        <v>모바일</v>
      </c>
      <c r="Q12" s="53">
        <f>SUM(F11+K11+F24+K24+F42+K42)</f>
        <v>59644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10629466.105999997</v>
      </c>
      <c r="E13" s="29" t="str">
        <f>+'(1)'!E13</f>
        <v>합계</v>
      </c>
      <c r="F13" s="61">
        <f>SUM(F4:F12)</f>
        <v>10629837</v>
      </c>
      <c r="G13" s="62"/>
      <c r="H13" s="29" t="str">
        <f t="shared" si="2"/>
        <v>합계</v>
      </c>
      <c r="I13" s="60">
        <f>SUM((I4-I5-I6-I7-I8-I9)*$E$1+I11)</f>
        <v>6694341.108</v>
      </c>
      <c r="J13" s="29" t="str">
        <f t="shared" si="3"/>
        <v>합계</v>
      </c>
      <c r="K13" s="61">
        <f>IF(K8=0,0,SUM(K4:K12)-F8)</f>
        <v>6693718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370.89400000311434</v>
      </c>
      <c r="G14" s="27"/>
      <c r="H14" s="27"/>
      <c r="I14" s="27"/>
      <c r="J14" s="27"/>
      <c r="K14" s="67">
        <f>SUM(K13-I13)</f>
        <v>-623.10800000000745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17323807.213999998</v>
      </c>
      <c r="P14" s="39" t="str">
        <f t="shared" si="5"/>
        <v>합계</v>
      </c>
      <c r="Q14" s="69">
        <f>SUM(Q5:Q13)</f>
        <v>17323555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-252.21399999689311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23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80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165</v>
      </c>
      <c r="Q26" s="69">
        <f>SUM(Q19:Q25)</f>
        <v>50000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16118</v>
      </c>
      <c r="P29" s="107">
        <v>16124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5" workbookViewId="0">
      <selection activeCell="F12" sqref="F12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11.25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11.25" style="85" bestFit="1" customWidth="1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41</v>
      </c>
      <c r="E1" s="103">
        <f>+'(1)'!I1</f>
        <v>1092</v>
      </c>
      <c r="F1" s="27"/>
      <c r="G1" s="27"/>
      <c r="H1" s="27"/>
      <c r="I1" s="27"/>
      <c r="J1" s="27"/>
      <c r="K1" s="27"/>
      <c r="L1" s="31">
        <f>+ROUND(+O5*0.584/1000,3)</f>
        <v>9.923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11.628</v>
      </c>
      <c r="M2" s="27" t="s">
        <v>7</v>
      </c>
      <c r="N2" s="120" t="s">
        <v>42</v>
      </c>
      <c r="O2" s="120"/>
      <c r="P2" s="120"/>
      <c r="Q2" s="120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23.256</v>
      </c>
      <c r="M3" s="27" t="s">
        <v>10</v>
      </c>
      <c r="N3" s="32"/>
      <c r="O3" s="32"/>
      <c r="P3" s="119" t="str">
        <f>+'(1)'!C1&amp;"년"&amp;'(1)'!E1&amp;"월"&amp;C1&amp;"일"</f>
        <v>2022년11월2일</v>
      </c>
      <c r="Q3" s="119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10054.011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6937.8710000000001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41185</v>
      </c>
      <c r="S4" s="41" t="s">
        <v>43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170000</v>
      </c>
      <c r="L5" s="37"/>
      <c r="M5" s="86"/>
      <c r="N5" s="45" t="str">
        <f>+C4</f>
        <v>판매량</v>
      </c>
      <c r="O5" s="46">
        <f>SUM(D4+I4+D17+I17+D35+I35)</f>
        <v>16991.882000000001</v>
      </c>
      <c r="P5" s="47" t="str">
        <f>+E4</f>
        <v>입금액</v>
      </c>
      <c r="Q5" s="48">
        <f>SUM(F4+K4+F17+K17+F35+K35)</f>
        <v>0</v>
      </c>
      <c r="R5" s="49">
        <v>23</v>
      </c>
      <c r="S5" s="41" t="s">
        <v>44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322.25299999999999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565000</v>
      </c>
      <c r="R6" s="49">
        <v>2.7</v>
      </c>
      <c r="S6" s="41" t="s">
        <v>45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322.25299999999999</v>
      </c>
      <c r="P7" s="51" t="str">
        <f t="shared" ref="P7:P14" si="5">+E6</f>
        <v>천원권</v>
      </c>
      <c r="Q7" s="53">
        <f>SUM(F6+K6+F19+K19+F37+K37)</f>
        <v>3000</v>
      </c>
      <c r="R7" s="40" t="s">
        <v>50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10138711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17539772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17539772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165.58699999999999</v>
      </c>
      <c r="E10" s="42" t="str">
        <f>+'(1)'!E10</f>
        <v>OK케시백</v>
      </c>
      <c r="F10" s="44">
        <v>18965</v>
      </c>
      <c r="G10" s="27"/>
      <c r="H10" s="42" t="str">
        <f t="shared" si="2"/>
        <v>고객우대</v>
      </c>
      <c r="I10" s="50">
        <v>43.38</v>
      </c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-5795.5450000000001</v>
      </c>
      <c r="E11" s="42" t="str">
        <f>+'(1)'!E11</f>
        <v>모바일</v>
      </c>
      <c r="F11" s="44">
        <v>65000</v>
      </c>
      <c r="G11" s="27"/>
      <c r="H11" s="87" t="str">
        <f t="shared" si="2"/>
        <v>-</v>
      </c>
      <c r="I11" s="55">
        <f>SUM(I10*-35)</f>
        <v>-1518.3000000000002</v>
      </c>
      <c r="J11" s="42" t="str">
        <f t="shared" si="3"/>
        <v>모바일</v>
      </c>
      <c r="K11" s="44">
        <v>4000</v>
      </c>
      <c r="L11" s="37"/>
      <c r="M11" s="86"/>
      <c r="N11" s="51" t="str">
        <f t="shared" si="4"/>
        <v>고객우대</v>
      </c>
      <c r="O11" s="54">
        <f>SUM(D10+I10+D23+I23+D41+I41)</f>
        <v>208.96699999999998</v>
      </c>
      <c r="P11" s="51" t="str">
        <f t="shared" si="5"/>
        <v>OK케시백</v>
      </c>
      <c r="Q11" s="53">
        <f>SUM(F10+K10+F23+K23+F41+K41)</f>
        <v>18965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-7313.8449999999993</v>
      </c>
      <c r="P12" s="51" t="str">
        <f t="shared" si="5"/>
        <v>모바일</v>
      </c>
      <c r="Q12" s="53">
        <f>SUM(F11+K11+F24+K24+F42+K42)</f>
        <v>69000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10621284.191</v>
      </c>
      <c r="E13" s="29" t="str">
        <f>+'(1)'!E13</f>
        <v>합계</v>
      </c>
      <c r="F13" s="61">
        <f>SUM(F4:F12)</f>
        <v>10620676</v>
      </c>
      <c r="G13" s="62"/>
      <c r="H13" s="29" t="str">
        <f t="shared" si="2"/>
        <v>합계</v>
      </c>
      <c r="I13" s="60">
        <f>SUM((I4-I5-I6-I7-I8-I9)*$E$1+I11)</f>
        <v>7574636.8320000004</v>
      </c>
      <c r="J13" s="29" t="str">
        <f t="shared" si="3"/>
        <v>합계</v>
      </c>
      <c r="K13" s="61">
        <f>IF(K8=0,0,SUM(K4:K12)-F8)</f>
        <v>7575061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-608.19099999964237</v>
      </c>
      <c r="G14" s="27"/>
      <c r="H14" s="27"/>
      <c r="I14" s="27"/>
      <c r="J14" s="27"/>
      <c r="K14" s="67">
        <f>SUM(K13-I13)</f>
        <v>424.16799999959767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18195921.023000002</v>
      </c>
      <c r="P14" s="39" t="str">
        <f t="shared" si="5"/>
        <v>합계</v>
      </c>
      <c r="Q14" s="69">
        <f>SUM(Q5:Q13)</f>
        <v>18195737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-184.0230000000447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17</v>
      </c>
      <c r="Q19" s="48">
        <f>SUM(P19*1000)</f>
        <v>17000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29</v>
      </c>
      <c r="Q20" s="53">
        <f>SUM(P20*1000)</f>
        <v>29000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7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/>
      <c r="Q22" s="53">
        <f>SUM(P22*1000)</f>
        <v>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61</v>
      </c>
      <c r="O23" s="124"/>
      <c r="P23" s="74">
        <v>22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12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65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152</v>
      </c>
      <c r="Q26" s="69">
        <f>SUM(Q19:Q25)</f>
        <v>46000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15" t="s">
        <v>54</v>
      </c>
      <c r="O28" s="104" t="s">
        <v>55</v>
      </c>
      <c r="P28" s="104" t="s">
        <v>56</v>
      </c>
      <c r="Q28" s="105" t="s">
        <v>57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6"/>
      <c r="O29" s="106">
        <v>16073</v>
      </c>
      <c r="P29" s="107">
        <v>16073</v>
      </c>
      <c r="Q29" s="108">
        <f>P29-O29</f>
        <v>0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1092</v>
      </c>
      <c r="F1" s="1"/>
      <c r="G1" s="1"/>
      <c r="H1" s="1"/>
      <c r="I1" s="1"/>
      <c r="J1" s="1"/>
      <c r="K1" s="1"/>
      <c r="L1" s="22">
        <f>+ROUND(+O5*0.584/1000,3)</f>
        <v>7.3860000000000001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10.164999999999999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203.29999999999998</v>
      </c>
      <c r="M3" s="18" t="s">
        <v>10</v>
      </c>
      <c r="N3" s="3"/>
      <c r="O3" s="3"/>
      <c r="P3" s="132" t="str">
        <f>+'(1)'!C1&amp;"년"&amp;'(1)'!E1&amp;"월"&amp;C1&amp;"일"</f>
        <v>2022년11월20일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8363.0490000000009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4284.8789999999999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18471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195000</v>
      </c>
      <c r="L5" s="2"/>
      <c r="M5" s="20"/>
      <c r="N5" s="45" t="str">
        <f>+C4</f>
        <v>판매량</v>
      </c>
      <c r="O5" s="46">
        <f>SUM(D4+I4+D17+I17+D35+I35)</f>
        <v>12647.928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480000</v>
      </c>
      <c r="R6" s="7">
        <v>3.3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>
        <v>52520</v>
      </c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8668837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13107883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52520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13107883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107.538</v>
      </c>
      <c r="E10" s="42" t="str">
        <f>+'(1)'!E10</f>
        <v>OK케시백</v>
      </c>
      <c r="F10" s="44">
        <v>43560</v>
      </c>
      <c r="G10" s="27"/>
      <c r="H10" s="42" t="str">
        <f t="shared" si="2"/>
        <v>고객우대</v>
      </c>
      <c r="I10" s="50">
        <v>59.432000000000002</v>
      </c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-3763.83</v>
      </c>
      <c r="E11" s="42" t="str">
        <f>+'(1)'!E11</f>
        <v>모바일</v>
      </c>
      <c r="F11" s="44">
        <v>25000</v>
      </c>
      <c r="G11" s="27"/>
      <c r="H11" s="87" t="str">
        <f t="shared" si="2"/>
        <v>-</v>
      </c>
      <c r="I11" s="55">
        <f>SUM(I10*-35)</f>
        <v>-2080.12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166.97</v>
      </c>
      <c r="P11" s="51" t="str">
        <f t="shared" si="5"/>
        <v>OK케시백</v>
      </c>
      <c r="Q11" s="53">
        <f>SUM(F10+K10+F23+K23+F41+K41)</f>
        <v>45560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-5843.95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9128685.6780000012</v>
      </c>
      <c r="E13" s="29" t="str">
        <f>+'(1)'!E13</f>
        <v>합계</v>
      </c>
      <c r="F13" s="61">
        <f>SUM(F4:F12)</f>
        <v>9128917</v>
      </c>
      <c r="G13" s="62"/>
      <c r="H13" s="29" t="str">
        <f t="shared" si="2"/>
        <v>합계</v>
      </c>
      <c r="I13" s="60">
        <f>SUM((I4-I5-I6-I7-I8-I9)*$E$1+I11)</f>
        <v>4677007.7479999997</v>
      </c>
      <c r="J13" s="29" t="str">
        <f t="shared" si="3"/>
        <v>합계</v>
      </c>
      <c r="K13" s="61">
        <f>IF(K8=0,0,SUM(K4:K12)-F8)</f>
        <v>4636046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231.3219999987632</v>
      </c>
      <c r="G14" s="27"/>
      <c r="H14" s="27"/>
      <c r="I14" s="27"/>
      <c r="J14" s="27"/>
      <c r="K14" s="67">
        <f>SUM(K13-I13)</f>
        <v>-40961.747999999672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13805693.426000001</v>
      </c>
      <c r="P14" s="39" t="str">
        <f t="shared" si="5"/>
        <v>합계</v>
      </c>
      <c r="Q14" s="69">
        <f>SUM(Q5:Q13)</f>
        <v>13764963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-40730.426000000909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3</v>
      </c>
      <c r="Q20" s="53">
        <f>SUM(P20*1000)</f>
        <v>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30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53</v>
      </c>
      <c r="Q26" s="69">
        <f>SUM(Q19:Q25)</f>
        <v>11000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16124</v>
      </c>
      <c r="P29" s="107">
        <v>16128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1092</v>
      </c>
      <c r="F1" s="1"/>
      <c r="G1" s="1"/>
      <c r="H1" s="1"/>
      <c r="I1" s="1"/>
      <c r="J1" s="1"/>
      <c r="K1" s="1"/>
      <c r="L1" s="22">
        <f>+ROUND(+O5*0.584/1000,3)</f>
        <v>10.955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10.202999999999999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214.26299999999998</v>
      </c>
      <c r="M3" s="18" t="s">
        <v>10</v>
      </c>
      <c r="N3" s="3"/>
      <c r="O3" s="3"/>
      <c r="P3" s="132" t="str">
        <f>+'(1)'!C1&amp;"년"&amp;'(1)'!E1&amp;"월"&amp;C1&amp;"일"</f>
        <v>2022년11월21일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11174.925999999999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7583.1840000000002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36692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140000</v>
      </c>
      <c r="L5" s="2"/>
      <c r="M5" s="20"/>
      <c r="N5" s="45" t="str">
        <f>+C4</f>
        <v>판매량</v>
      </c>
      <c r="O5" s="46">
        <f>SUM(D4+I4+D17+I17+D35+I35)</f>
        <v>18758.11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291.7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400000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291.7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11534718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19649536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19649536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363.18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44.368000000000002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-12711.300000000001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-1552.88</v>
      </c>
      <c r="J11" s="42" t="str">
        <f t="shared" si="3"/>
        <v>모바일</v>
      </c>
      <c r="K11" s="44">
        <v>20000</v>
      </c>
      <c r="L11" s="2"/>
      <c r="M11" s="20"/>
      <c r="N11" s="51" t="str">
        <f t="shared" si="4"/>
        <v>고객우대</v>
      </c>
      <c r="O11" s="54">
        <f>SUM(D10+I10+D23+I23+D41+I41)</f>
        <v>407.548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60836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-14264.18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11871771.491999999</v>
      </c>
      <c r="E13" s="29" t="str">
        <f>+'(1)'!E13</f>
        <v>합계</v>
      </c>
      <c r="F13" s="61">
        <f>SUM(F4:F12)</f>
        <v>11871554</v>
      </c>
      <c r="G13" s="62"/>
      <c r="H13" s="29" t="str">
        <f t="shared" si="2"/>
        <v>합계</v>
      </c>
      <c r="I13" s="60">
        <f>SUM((I4-I5-I6-I7-I8-I9)*$E$1+I11)</f>
        <v>8279284.0480000004</v>
      </c>
      <c r="J13" s="29" t="str">
        <f t="shared" si="3"/>
        <v>합계</v>
      </c>
      <c r="K13" s="61">
        <f>IF(K8=0,0,SUM(K4:K12)-F8)</f>
        <v>8278818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60836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-217.4919999986887</v>
      </c>
      <c r="G14" s="27"/>
      <c r="H14" s="27"/>
      <c r="I14" s="27"/>
      <c r="J14" s="27"/>
      <c r="K14" s="67">
        <f>SUM(K13-I13)</f>
        <v>-466.04800000041723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20151055.539999999</v>
      </c>
      <c r="P14" s="39" t="str">
        <f t="shared" si="5"/>
        <v>합계</v>
      </c>
      <c r="Q14" s="69">
        <f>SUM(Q5:Q13)</f>
        <v>20150372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-683.53999999910593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8</v>
      </c>
      <c r="Q20" s="53">
        <f>SUM(P20*1000)</f>
        <v>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39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78</v>
      </c>
      <c r="Q26" s="69">
        <f>SUM(Q19:Q25)</f>
        <v>15000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16128</v>
      </c>
      <c r="P29" s="107">
        <v>16128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1092</v>
      </c>
      <c r="F1" s="1"/>
      <c r="G1" s="1"/>
      <c r="H1" s="1"/>
      <c r="I1" s="1"/>
      <c r="J1" s="1"/>
      <c r="K1" s="1"/>
      <c r="L1" s="22">
        <f>+ROUND(+O5*0.584/1000,3)</f>
        <v>10.448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10.214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224.708</v>
      </c>
      <c r="M3" s="18" t="s">
        <v>10</v>
      </c>
      <c r="N3" s="3"/>
      <c r="O3" s="3"/>
      <c r="P3" s="132" t="str">
        <f>+'(1)'!C1&amp;"년"&amp;'(1)'!E1&amp;"월"&amp;C1&amp;"일"</f>
        <v>2022년11월22일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11393.14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6497.75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17874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90000</v>
      </c>
      <c r="L5" s="2"/>
      <c r="M5" s="20"/>
      <c r="N5" s="45" t="str">
        <f>+C4</f>
        <v>판매량</v>
      </c>
      <c r="O5" s="46">
        <f>SUM(D4+I4+D17+I17+D35+I35)</f>
        <v>17890.89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268.262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455000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268.262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11716908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18700897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18700897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495.06700000000001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21400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-17327.345000000001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495.06700000000001</v>
      </c>
      <c r="P11" s="51" t="str">
        <f t="shared" si="5"/>
        <v>OK케시백</v>
      </c>
      <c r="Q11" s="53">
        <f>SUM(F10+K10+F23+K23+F41+K41)</f>
        <v>21400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47669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-17327.345000000001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12131039.430999998</v>
      </c>
      <c r="E13" s="29" t="str">
        <f>+'(1)'!E13</f>
        <v>합계</v>
      </c>
      <c r="F13" s="61">
        <f>SUM(F4:F12)</f>
        <v>12131577</v>
      </c>
      <c r="G13" s="62"/>
      <c r="H13" s="29" t="str">
        <f t="shared" si="2"/>
        <v>합계</v>
      </c>
      <c r="I13" s="60">
        <f>SUM((I4-I5-I6-I7-I8-I9)*$E$1+I11)</f>
        <v>7095543</v>
      </c>
      <c r="J13" s="29" t="str">
        <f t="shared" si="3"/>
        <v>합계</v>
      </c>
      <c r="K13" s="61">
        <f>IF(K8=0,0,SUM(K4:K12)-F8)</f>
        <v>7095389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47669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537.56900000199676</v>
      </c>
      <c r="G14" s="27"/>
      <c r="H14" s="27"/>
      <c r="I14" s="27"/>
      <c r="J14" s="27"/>
      <c r="K14" s="67">
        <f>SUM(K13-I13)</f>
        <v>-154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19226582.431000002</v>
      </c>
      <c r="P14" s="39" t="str">
        <f t="shared" si="5"/>
        <v>합계</v>
      </c>
      <c r="Q14" s="69">
        <f>SUM(Q5:Q13)</f>
        <v>19226966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383.56900000199676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12</v>
      </c>
      <c r="Q20" s="53">
        <f>SUM(P20*1000)</f>
        <v>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17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53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96</v>
      </c>
      <c r="Q26" s="69">
        <f>SUM(Q19:Q25)</f>
        <v>16000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16128</v>
      </c>
      <c r="P29" s="107">
        <v>16128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1092</v>
      </c>
      <c r="F1" s="1"/>
      <c r="G1" s="1"/>
      <c r="H1" s="1"/>
      <c r="I1" s="1"/>
      <c r="J1" s="1"/>
      <c r="K1" s="1"/>
      <c r="L1" s="22">
        <f>+ROUND(+O5*0.584/1000,3)</f>
        <v>10.438000000000001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10.224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235.15200000000002</v>
      </c>
      <c r="M3" s="18" t="s">
        <v>10</v>
      </c>
      <c r="N3" s="3"/>
      <c r="O3" s="3"/>
      <c r="P3" s="132" t="str">
        <f>+'(1)'!C1&amp;"년"&amp;'(1)'!E1&amp;"월"&amp;C1&amp;"일"</f>
        <v>2022년11월23일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10702.041999999999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7171.4560000000001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36670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250000</v>
      </c>
      <c r="L5" s="2"/>
      <c r="M5" s="20"/>
      <c r="N5" s="45" t="str">
        <f>+C4</f>
        <v>판매량</v>
      </c>
      <c r="O5" s="46">
        <f>SUM(D4+I4+D17+I17+D35+I35)</f>
        <v>17873.498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288.625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28.573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625000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317.19799999999998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10972119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18511562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18511562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147.501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115.054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-5162.5349999999999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-4026.89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262.55500000000001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-9189.4250000000011</v>
      </c>
      <c r="P12" s="51" t="str">
        <f t="shared" si="5"/>
        <v>모바일</v>
      </c>
      <c r="Q12" s="53">
        <f>SUM(F11+K11+F24+K24+F42+K42)</f>
        <v>19000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11366288.829</v>
      </c>
      <c r="E13" s="29" t="str">
        <f>+'(1)'!E13</f>
        <v>합계</v>
      </c>
      <c r="F13" s="61">
        <f>SUM(F4:F12)</f>
        <v>11366119</v>
      </c>
      <c r="G13" s="62"/>
      <c r="H13" s="29" t="str">
        <f t="shared" si="2"/>
        <v>합계</v>
      </c>
      <c r="I13" s="60">
        <f>SUM((I4-I5-I6-I7-I8-I9)*$E$1+I11)</f>
        <v>7796001.3459999999</v>
      </c>
      <c r="J13" s="29" t="str">
        <f t="shared" si="3"/>
        <v>합계</v>
      </c>
      <c r="K13" s="61">
        <f>IF(K8=0,0,SUM(K4:K12)-F8)</f>
        <v>7795443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-169.82899999991059</v>
      </c>
      <c r="G14" s="27"/>
      <c r="H14" s="27"/>
      <c r="I14" s="27"/>
      <c r="J14" s="27"/>
      <c r="K14" s="67">
        <f>SUM(K13-I13)</f>
        <v>-558.34599999990314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19162290.174999997</v>
      </c>
      <c r="P14" s="39" t="str">
        <f t="shared" si="5"/>
        <v>합계</v>
      </c>
      <c r="Q14" s="69">
        <f>SUM(Q5:Q13)</f>
        <v>19161562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-728.17499999981374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29</v>
      </c>
      <c r="Q20" s="53">
        <f>SUM(P20*1000)</f>
        <v>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29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12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89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210</v>
      </c>
      <c r="Q26" s="69">
        <f>SUM(Q19:Q25)</f>
        <v>64000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16128</v>
      </c>
      <c r="P29" s="107">
        <v>16133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1092</v>
      </c>
      <c r="F1" s="1"/>
      <c r="G1" s="1"/>
      <c r="H1" s="1"/>
      <c r="I1" s="1"/>
      <c r="J1" s="1"/>
      <c r="K1" s="1"/>
      <c r="L1" s="22">
        <f>+ROUND(+O5*0.584/1000,3)</f>
        <v>10.491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10.234999999999999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245.64</v>
      </c>
      <c r="M3" s="18" t="s">
        <v>10</v>
      </c>
      <c r="N3" s="3"/>
      <c r="O3" s="3"/>
      <c r="P3" s="132" t="str">
        <f>+'(1)'!C1&amp;"년"&amp;'(1)'!E1&amp;"월"&amp;C1&amp;"일"</f>
        <v>2022년11월24일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11177.531000000001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6786.1149999999998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18020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17963.646000000001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178.268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560000</v>
      </c>
      <c r="R6" s="7">
        <v>3.4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>
        <v>57950</v>
      </c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178.268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11555611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18661209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57950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18661209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110.803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57.122999999999998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-3878.105</v>
      </c>
      <c r="E11" s="42" t="str">
        <f>+'(1)'!E11</f>
        <v>모바일</v>
      </c>
      <c r="F11" s="44">
        <v>69000</v>
      </c>
      <c r="G11" s="27"/>
      <c r="H11" s="87" t="str">
        <f t="shared" si="2"/>
        <v>-</v>
      </c>
      <c r="I11" s="55">
        <f>SUM(I10*-35)</f>
        <v>-1999.3049999999998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167.92599999999999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42363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-5877.41</v>
      </c>
      <c r="P12" s="51" t="str">
        <f t="shared" si="5"/>
        <v>모바일</v>
      </c>
      <c r="Q12" s="53">
        <f>SUM(F11+K11+F24+K24+F42+K42)</f>
        <v>69000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12007317.091</v>
      </c>
      <c r="E13" s="29" t="str">
        <f>+'(1)'!E13</f>
        <v>합계</v>
      </c>
      <c r="F13" s="61">
        <f>SUM(F4:F12)</f>
        <v>12007924</v>
      </c>
      <c r="G13" s="62"/>
      <c r="H13" s="29" t="str">
        <f t="shared" si="2"/>
        <v>합계</v>
      </c>
      <c r="I13" s="60">
        <f>SUM((I4-I5-I6-I7-I8-I9)*$E$1+I11)</f>
        <v>7408438.2750000004</v>
      </c>
      <c r="J13" s="29" t="str">
        <f t="shared" si="3"/>
        <v>합계</v>
      </c>
      <c r="K13" s="61">
        <f>IF(K8=0,0,SUM(K4:K12)-F8)</f>
        <v>7407598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62363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606.9089999999851</v>
      </c>
      <c r="G14" s="27"/>
      <c r="H14" s="27"/>
      <c r="I14" s="27"/>
      <c r="J14" s="27"/>
      <c r="K14" s="67">
        <f>SUM(K13-I13)</f>
        <v>-840.27500000037253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19415755.366</v>
      </c>
      <c r="P14" s="39" t="str">
        <f t="shared" si="5"/>
        <v>합계</v>
      </c>
      <c r="Q14" s="69">
        <f>SUM(Q5:Q13)</f>
        <v>19415522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-233.36600000038743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20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78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144</v>
      </c>
      <c r="Q26" s="69">
        <f>SUM(Q19:Q25)</f>
        <v>32000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16133</v>
      </c>
      <c r="P29" s="107">
        <v>16136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0" sqref="K1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1092</v>
      </c>
      <c r="F1" s="1"/>
      <c r="G1" s="1"/>
      <c r="H1" s="1"/>
      <c r="I1" s="1"/>
      <c r="J1" s="1"/>
      <c r="K1" s="1"/>
      <c r="L1" s="22">
        <f>+ROUND(+O5*0.584/1000,3)</f>
        <v>12.33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10.319000000000001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257.97500000000002</v>
      </c>
      <c r="M3" s="18" t="s">
        <v>10</v>
      </c>
      <c r="N3" s="3"/>
      <c r="O3" s="3"/>
      <c r="P3" s="132" t="str">
        <f>+'(1)'!C1&amp;"년"&amp;'(1)'!E1&amp;"월"&amp;C1&amp;"일"</f>
        <v>2022년11월25일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13310.206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7803.2520000000004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33751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>
        <v>0</v>
      </c>
      <c r="E5" s="42" t="str">
        <f>+'(1)'!E5</f>
        <v>고액권</v>
      </c>
      <c r="F5" s="44">
        <v>285000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340000</v>
      </c>
      <c r="L5" s="2"/>
      <c r="M5" s="20"/>
      <c r="N5" s="45" t="str">
        <f>+C4</f>
        <v>판매량</v>
      </c>
      <c r="O5" s="46">
        <f>SUM(D4+I4+D17+I17+D35+I35)</f>
        <v>21113.457999999999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443.173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625000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443.173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13719465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21904595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">
        <v>79</v>
      </c>
      <c r="K9" s="44">
        <v>-30000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21904595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353.87599999999998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104.529</v>
      </c>
      <c r="J10" s="42" t="str">
        <f t="shared" si="3"/>
        <v>OK케시백</v>
      </c>
      <c r="K10" s="44"/>
      <c r="L10" s="112" t="s">
        <v>77</v>
      </c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-30000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-12385.66</v>
      </c>
      <c r="E11" s="42" t="str">
        <f>+'(1)'!E11</f>
        <v>모바일</v>
      </c>
      <c r="F11" s="44">
        <v>30000</v>
      </c>
      <c r="G11" s="27"/>
      <c r="H11" s="87" t="str">
        <f t="shared" si="2"/>
        <v>-</v>
      </c>
      <c r="I11" s="55">
        <f>SUM(I10*-35)</f>
        <v>-3658.5149999999999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458.40499999999997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-16044.174999999999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14038414.376</v>
      </c>
      <c r="E13" s="29" t="str">
        <f>+'(1)'!E13</f>
        <v>합계</v>
      </c>
      <c r="F13" s="61">
        <f>SUM(F4:F12)</f>
        <v>14038465</v>
      </c>
      <c r="G13" s="62"/>
      <c r="H13" s="29" t="str">
        <f t="shared" si="2"/>
        <v>합계</v>
      </c>
      <c r="I13" s="60">
        <f>SUM((I4-I5-I6-I7-I8-I9)*$E$1+I11)</f>
        <v>8517492.6689999998</v>
      </c>
      <c r="J13" s="29" t="str">
        <f t="shared" si="3"/>
        <v>합계</v>
      </c>
      <c r="K13" s="61">
        <f>IF(K8=0,0,SUM(K4:K12)-F8)</f>
        <v>8497130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50.623999999836087</v>
      </c>
      <c r="G14" s="27"/>
      <c r="H14" s="27"/>
      <c r="I14" s="27"/>
      <c r="J14" s="27"/>
      <c r="K14" s="67">
        <f>SUM(K13-I13)</f>
        <v>-20362.668999999762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22555907.044999998</v>
      </c>
      <c r="P14" s="39" t="str">
        <f t="shared" si="5"/>
        <v>합계</v>
      </c>
      <c r="Q14" s="69">
        <f>SUM(Q5:Q13)</f>
        <v>22535595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113"/>
      <c r="K15" s="113" t="s">
        <v>78</v>
      </c>
      <c r="L15" s="114"/>
      <c r="M15" s="1"/>
      <c r="N15" s="27"/>
      <c r="O15" s="27"/>
      <c r="P15" s="27"/>
      <c r="Q15" s="70">
        <f>SUM(F14+K14+F27+K27)</f>
        <v>-20312.044999999925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32</v>
      </c>
      <c r="Q20" s="53">
        <f>SUM(P20*1000)</f>
        <v>32000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19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5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112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186</v>
      </c>
      <c r="Q26" s="69">
        <f>SUM(Q19:Q25)</f>
        <v>44000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16136</v>
      </c>
      <c r="P29" s="107">
        <v>16139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1" sqref="R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1092</v>
      </c>
      <c r="F1" s="1"/>
      <c r="G1" s="1"/>
      <c r="H1" s="1"/>
      <c r="I1" s="1"/>
      <c r="J1" s="1"/>
      <c r="K1" s="1"/>
      <c r="L1" s="22">
        <f>+ROUND(+O5*0.584/1000,3)</f>
        <v>9.5779999999999994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10.291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267.56600000000003</v>
      </c>
      <c r="M3" s="18" t="s">
        <v>10</v>
      </c>
      <c r="N3" s="3"/>
      <c r="O3" s="3"/>
      <c r="P3" s="132" t="str">
        <f>+'(1)'!C1&amp;"년"&amp;'(1)'!E1&amp;"월"&amp;C1&amp;"일"</f>
        <v>2022년11월26일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9413.8770000000004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6986.674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16071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135000</v>
      </c>
      <c r="L5" s="2"/>
      <c r="M5" s="20"/>
      <c r="N5" s="45" t="str">
        <f>+C4</f>
        <v>판매량</v>
      </c>
      <c r="O5" s="46">
        <f>SUM(D4+I4+D17+I17+D35+I35)</f>
        <v>16400.550999999999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13.297000000000001</v>
      </c>
      <c r="E6" s="42" t="str">
        <f>+'(1)'!E6</f>
        <v>천원권</v>
      </c>
      <c r="F6" s="44">
        <v>6000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460000</v>
      </c>
      <c r="R6" s="7">
        <v>3.4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13.297000000000001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9918666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17412362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17412362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157.31700000000001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-5506.0950000000003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157.31700000000001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-5506.0950000000003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10259927.264999999</v>
      </c>
      <c r="E13" s="29" t="str">
        <f>+'(1)'!E13</f>
        <v>합계</v>
      </c>
      <c r="F13" s="61">
        <f>SUM(F4:F12)</f>
        <v>10259666</v>
      </c>
      <c r="G13" s="62"/>
      <c r="H13" s="29" t="str">
        <f t="shared" si="2"/>
        <v>합계</v>
      </c>
      <c r="I13" s="60">
        <f>SUM((I4-I5-I6-I7-I8-I9)*$E$1+I11)</f>
        <v>7629448.0080000004</v>
      </c>
      <c r="J13" s="29" t="str">
        <f t="shared" si="3"/>
        <v>합계</v>
      </c>
      <c r="K13" s="61">
        <f>IF(K8=0,0,SUM(K4:K12)-F8)</f>
        <v>7628696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-261.2649999987334</v>
      </c>
      <c r="G14" s="27"/>
      <c r="H14" s="27"/>
      <c r="I14" s="27"/>
      <c r="J14" s="27"/>
      <c r="K14" s="67">
        <f>SUM(K13-I13)</f>
        <v>-752.00800000037998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17889375.273000002</v>
      </c>
      <c r="P14" s="39" t="str">
        <f t="shared" si="5"/>
        <v>합계</v>
      </c>
      <c r="Q14" s="69">
        <f>SUM(Q5:Q13)</f>
        <v>17888362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-1013.2729999991134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28</v>
      </c>
      <c r="Q20" s="53">
        <f>SUM(P20*1000)</f>
        <v>28000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26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77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176</v>
      </c>
      <c r="Q26" s="69">
        <f>SUM(Q19:Q25)</f>
        <v>55000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16139</v>
      </c>
      <c r="P29" s="107">
        <v>16143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1092</v>
      </c>
      <c r="F1" s="1"/>
      <c r="G1" s="1"/>
      <c r="H1" s="1"/>
      <c r="I1" s="1"/>
      <c r="J1" s="1"/>
      <c r="K1" s="1"/>
      <c r="L1" s="22">
        <f>+ROUND(+O5*0.584/1000,3)</f>
        <v>7.9669999999999996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10.205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275.53500000000003</v>
      </c>
      <c r="M3" s="18" t="s">
        <v>10</v>
      </c>
      <c r="N3" s="3"/>
      <c r="O3" s="3"/>
      <c r="P3" s="132" t="str">
        <f>+'(1)'!C1&amp;"년"&amp;'(1)'!E1&amp;"월"&amp;C1&amp;"일"</f>
        <v>2022년11월27일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9356.8829999999998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4285.0929999999998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39314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95000</v>
      </c>
      <c r="L5" s="2"/>
      <c r="M5" s="20"/>
      <c r="N5" s="45" t="str">
        <f>+C4</f>
        <v>판매량</v>
      </c>
      <c r="O5" s="46">
        <f>SUM(D4+I4+D17+I17+D35+I35)</f>
        <v>13641.975999999999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50.654000000000003</v>
      </c>
      <c r="E6" s="42" t="str">
        <f>+'(1)'!E6</f>
        <v>천원권</v>
      </c>
      <c r="F6" s="44">
        <v>6000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390000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>
        <v>48690</v>
      </c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50.654000000000003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9789104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14352455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48690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14352455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63.429000000000002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-2220.0149999999999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20000</v>
      </c>
      <c r="L11" s="2"/>
      <c r="M11" s="20"/>
      <c r="N11" s="51" t="str">
        <f t="shared" si="4"/>
        <v>고객우대</v>
      </c>
      <c r="O11" s="54">
        <f>SUM(D10+I10+D23+I23+D41+I41)</f>
        <v>63.429000000000002</v>
      </c>
      <c r="P11" s="51" t="str">
        <f t="shared" si="5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-2220.0149999999999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10160182.052999999</v>
      </c>
      <c r="E13" s="29" t="str">
        <f>+'(1)'!E13</f>
        <v>합계</v>
      </c>
      <c r="F13" s="61">
        <f>SUM(F4:F12)</f>
        <v>10159794</v>
      </c>
      <c r="G13" s="62"/>
      <c r="H13" s="29" t="str">
        <f t="shared" si="2"/>
        <v>합계</v>
      </c>
      <c r="I13" s="60">
        <f>SUM((I4-I5-I6-I7-I8-I9)*$E$1+I11)</f>
        <v>4679321.5559999999</v>
      </c>
      <c r="J13" s="29" t="str">
        <f t="shared" si="3"/>
        <v>합계</v>
      </c>
      <c r="K13" s="61">
        <f>IF(K8=0,0,SUM(K4:K12)-F8)</f>
        <v>4679351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-388.05299999937415</v>
      </c>
      <c r="G14" s="27"/>
      <c r="H14" s="27"/>
      <c r="I14" s="27"/>
      <c r="J14" s="27"/>
      <c r="K14" s="67">
        <f>SUM(K13-I13)</f>
        <v>29.44400000013411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14839503.608999997</v>
      </c>
      <c r="P14" s="39" t="str">
        <f t="shared" si="5"/>
        <v>합계</v>
      </c>
      <c r="Q14" s="69">
        <f>SUM(Q5:Q13)</f>
        <v>14839145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-358.60899999924004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15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70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117</v>
      </c>
      <c r="Q26" s="69">
        <f>SUM(Q19:Q25)</f>
        <v>30000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16143</v>
      </c>
      <c r="P29" s="107">
        <v>16146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N17" sqref="N1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1092</v>
      </c>
      <c r="F1" s="1"/>
      <c r="G1" s="1"/>
      <c r="H1" s="1"/>
      <c r="I1" s="1"/>
      <c r="J1" s="1"/>
      <c r="K1" s="1"/>
      <c r="L1" s="22">
        <f>+ROUND(+O5*0.584/1000,3)</f>
        <v>9.94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10.196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285.488</v>
      </c>
      <c r="M3" s="18" t="s">
        <v>10</v>
      </c>
      <c r="N3" s="3"/>
      <c r="O3" s="3"/>
      <c r="P3" s="132" t="str">
        <f>+'(1)'!C1&amp;"년"&amp;'(1)'!E1&amp;"월"&amp;C1&amp;"일"</f>
        <v>2022년11월28일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10965.77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6053.9279999999999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21999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115000</v>
      </c>
      <c r="L5" s="2"/>
      <c r="M5" s="20"/>
      <c r="N5" s="45" t="str">
        <f>+C4</f>
        <v>판매량</v>
      </c>
      <c r="O5" s="46">
        <f>SUM(D4+I4+D17+I17+D35+I35)</f>
        <v>17019.698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238.96700000000001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238.96700000000001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11291098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17780859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17780859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354.702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55.241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-12414.57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-1933.4349999999999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409.94299999999998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-14348.004999999999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11701254.306</v>
      </c>
      <c r="E13" s="29" t="str">
        <f>+'(1)'!E13</f>
        <v>합계</v>
      </c>
      <c r="F13" s="61">
        <f>SUM(F4:F12)</f>
        <v>11701098</v>
      </c>
      <c r="G13" s="62"/>
      <c r="H13" s="29" t="str">
        <f t="shared" si="2"/>
        <v>합계</v>
      </c>
      <c r="I13" s="60">
        <f>SUM((I4-I5-I6-I7-I8-I9)*$E$1+I11)</f>
        <v>6608955.9410000006</v>
      </c>
      <c r="J13" s="29" t="str">
        <f t="shared" si="3"/>
        <v>합계</v>
      </c>
      <c r="K13" s="61">
        <f>IF(K8=0,0,SUM(K4:K12)-F8)</f>
        <v>6609761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-156.30599999986589</v>
      </c>
      <c r="G14" s="27"/>
      <c r="H14" s="27"/>
      <c r="I14" s="27"/>
      <c r="J14" s="27"/>
      <c r="K14" s="67">
        <f>SUM(K13-I13)</f>
        <v>805.05899999942631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18310210.247000001</v>
      </c>
      <c r="P14" s="39" t="str">
        <f t="shared" si="5"/>
        <v>합계</v>
      </c>
      <c r="Q14" s="69">
        <f>SUM(Q5:Q13)</f>
        <v>18310859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648.75299999956042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1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11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29</v>
      </c>
      <c r="Q26" s="69">
        <f>SUM(Q19:Q25)</f>
        <v>14000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16146</v>
      </c>
      <c r="P29" s="107">
        <v>16146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1092</v>
      </c>
      <c r="F1" s="1"/>
      <c r="G1" s="1"/>
      <c r="H1" s="1"/>
      <c r="I1" s="1"/>
      <c r="J1" s="1"/>
      <c r="K1" s="1"/>
      <c r="L1" s="22">
        <f>+ROUND(+O5*0.584/1000,3)</f>
        <v>11.859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10.253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297.33699999999999</v>
      </c>
      <c r="M3" s="18" t="s">
        <v>10</v>
      </c>
      <c r="N3" s="3"/>
      <c r="O3" s="3"/>
      <c r="P3" s="132" t="str">
        <f>+'(1)'!C1&amp;"년"&amp;'(1)'!E1&amp;"월"&amp;C1&amp;"일"</f>
        <v>2022년11월29일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12713.819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7592.4679999999998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37796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20306.287</v>
      </c>
      <c r="P5" s="47" t="str">
        <f>+E4</f>
        <v>입금액</v>
      </c>
      <c r="Q5" s="48">
        <f>SUM(F4+K4+F17+K17+F35+K35)</f>
        <v>0</v>
      </c>
      <c r="R5" s="7">
        <v>21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335.42200000000003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390000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335.42200000000003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13227885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21242607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21242607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214.99700000000001</v>
      </c>
      <c r="E10" s="42" t="str">
        <f>+'(1)'!E10</f>
        <v>OK케시백</v>
      </c>
      <c r="F10" s="44">
        <v>35091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7782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-7524.8950000000004</v>
      </c>
      <c r="E11" s="42" t="str">
        <f>+'(1)'!E11</f>
        <v>모바일</v>
      </c>
      <c r="F11" s="44">
        <v>30000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214.99700000000001</v>
      </c>
      <c r="P11" s="51" t="str">
        <f t="shared" si="5"/>
        <v>OK케시백</v>
      </c>
      <c r="Q11" s="53">
        <f>SUM(F10+K10+F23+K23+F41+K41)</f>
        <v>42873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42249</v>
      </c>
      <c r="L12" s="2"/>
      <c r="M12" s="20"/>
      <c r="N12" s="51" t="str">
        <f t="shared" si="4"/>
        <v>-</v>
      </c>
      <c r="O12" s="55">
        <f>SUM(O11*-35)</f>
        <v>-7524.8950000000004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13509684.628999999</v>
      </c>
      <c r="E13" s="29" t="str">
        <f>+'(1)'!E13</f>
        <v>합계</v>
      </c>
      <c r="F13" s="61">
        <f>SUM(F4:F12)</f>
        <v>13508976</v>
      </c>
      <c r="G13" s="62"/>
      <c r="H13" s="29" t="str">
        <f t="shared" si="2"/>
        <v>합계</v>
      </c>
      <c r="I13" s="60">
        <f>SUM((I4-I5-I6-I7-I8-I9)*$E$1+I11)</f>
        <v>8290975.0559999999</v>
      </c>
      <c r="J13" s="29" t="str">
        <f t="shared" si="3"/>
        <v>합계</v>
      </c>
      <c r="K13" s="61">
        <f>IF(K8=0,0,SUM(K4:K12)-F8)</f>
        <v>8290753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42249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-708.62899999879301</v>
      </c>
      <c r="G14" s="27"/>
      <c r="H14" s="27"/>
      <c r="I14" s="27"/>
      <c r="J14" s="27"/>
      <c r="K14" s="67">
        <f>SUM(K13-I13)</f>
        <v>-222.05599999986589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21800659.685000002</v>
      </c>
      <c r="P14" s="39" t="str">
        <f t="shared" si="5"/>
        <v>합계</v>
      </c>
      <c r="Q14" s="69">
        <f>SUM(Q5:Q13)</f>
        <v>21799729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-930.6849999986589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35</v>
      </c>
      <c r="Q19" s="48">
        <f>SUM(P19*1000)</f>
        <v>35000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66</v>
      </c>
      <c r="Q20" s="53">
        <f>SUM(P20*1000)</f>
        <v>66000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32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20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86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262</v>
      </c>
      <c r="Q26" s="69">
        <f>SUM(Q19:Q25)</f>
        <v>109000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16146</v>
      </c>
      <c r="P29" s="107">
        <v>16154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4" sqref="K14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1092</v>
      </c>
      <c r="F1" s="1"/>
      <c r="G1" s="1"/>
      <c r="H1" s="1"/>
      <c r="I1" s="1"/>
      <c r="J1" s="1"/>
      <c r="K1" s="1"/>
      <c r="L1" s="21">
        <f>+ROUND(+O5*0.584/1000,3)</f>
        <v>10.425000000000001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11.227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33.680999999999997</v>
      </c>
      <c r="M3" s="18" t="s">
        <v>10</v>
      </c>
      <c r="N3" s="3"/>
      <c r="O3" s="3"/>
      <c r="P3" s="132" t="str">
        <f>+'(1)'!C1&amp;"년"&amp;'(1)'!E1&amp;"월"&amp;C1&amp;"일"</f>
        <v>2022년11월3일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9992.5319999999992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7858.2150000000001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22533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235000</v>
      </c>
      <c r="L5" s="2"/>
      <c r="M5" s="20"/>
      <c r="N5" s="45" t="str">
        <f>+C4</f>
        <v>판매량</v>
      </c>
      <c r="O5" s="46">
        <f>SUM(D4+I4+D17+I17+D35+I35)</f>
        <v>17850.746999999999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225.892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425000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225.892</v>
      </c>
      <c r="P7" s="51" t="str">
        <f t="shared" ref="P7:P14" si="5">+E6</f>
        <v>천원권</v>
      </c>
      <c r="Q7" s="53">
        <f>SUM(F6+K6+F19+K19+F37+K37)</f>
        <v>4000</v>
      </c>
      <c r="R7" s="5" t="s">
        <v>50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10411028</v>
      </c>
      <c r="G8" s="27"/>
      <c r="H8" s="34" t="str">
        <f t="shared" si="2"/>
        <v>자가소비</v>
      </c>
      <c r="I8" s="50">
        <v>0</v>
      </c>
      <c r="J8" s="42" t="str">
        <f t="shared" si="3"/>
        <v>신용카드</v>
      </c>
      <c r="K8" s="44">
        <v>18751241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18751241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349.197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-12221.895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349.197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32912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-12221.895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10652948.984999999</v>
      </c>
      <c r="E13" s="29" t="str">
        <f>+'(1)'!E13</f>
        <v>합계</v>
      </c>
      <c r="F13" s="61">
        <f>SUM(F4:F12)</f>
        <v>10651940</v>
      </c>
      <c r="G13" s="62"/>
      <c r="H13" s="29" t="str">
        <f t="shared" si="2"/>
        <v>합계</v>
      </c>
      <c r="I13" s="60">
        <f>SUM((I4-I5-I6-I7-I8-I9)*$E$1+I11)</f>
        <v>8581170.7799999993</v>
      </c>
      <c r="J13" s="29" t="str">
        <f t="shared" si="3"/>
        <v>합계</v>
      </c>
      <c r="K13" s="61">
        <f>IF(K8=0,0,SUM(K4:K12)-F8)</f>
        <v>8581213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32912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-1008.984999999404</v>
      </c>
      <c r="G14" s="27"/>
      <c r="H14" s="27"/>
      <c r="I14" s="27"/>
      <c r="J14" s="27"/>
      <c r="K14" s="67">
        <f>SUM(K13-I13)</f>
        <v>42.220000000670552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19234119.765000001</v>
      </c>
      <c r="P14" s="39" t="str">
        <f t="shared" si="5"/>
        <v>합계</v>
      </c>
      <c r="Q14" s="69">
        <f>SUM(Q5:Q13)</f>
        <v>19233153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-966.7649999987334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4</v>
      </c>
      <c r="Q19" s="48">
        <f>SUM(P19*1000)</f>
        <v>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12</v>
      </c>
      <c r="Q20" s="53">
        <f>SUM(P20*1000)</f>
        <v>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62</v>
      </c>
      <c r="O23" s="124"/>
      <c r="P23" s="74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51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101</v>
      </c>
      <c r="Q26" s="69">
        <f>SUM(Q19:Q25)</f>
        <v>18000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16073</v>
      </c>
      <c r="P29" s="107">
        <v>16075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topLeftCell="A7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1092</v>
      </c>
      <c r="F1" s="1"/>
      <c r="G1" s="1"/>
      <c r="H1" s="1"/>
      <c r="I1" s="1"/>
      <c r="J1" s="1"/>
      <c r="K1" s="1"/>
      <c r="L1" s="22">
        <f>+ROUND(+O5*0.584/1000,3)</f>
        <v>7.6260000000000003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10.164999999999999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304.95</v>
      </c>
      <c r="M3" s="18" t="s">
        <v>10</v>
      </c>
      <c r="N3" s="3"/>
      <c r="O3" s="3"/>
      <c r="P3" s="132" t="str">
        <f>+'(1)'!C1&amp;"년"&amp;'(1)'!E1&amp;"월"&amp;C1&amp;"일"</f>
        <v>2022년11월30일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11779.946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1279.068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24605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95000</v>
      </c>
      <c r="L5" s="2"/>
      <c r="M5" s="20"/>
      <c r="N5" s="45" t="str">
        <f>+C4</f>
        <v>판매량</v>
      </c>
      <c r="O5" s="46">
        <f>SUM(D4+I4+D17+I17+D35+I35)</f>
        <v>13059.013999999999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341.87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23.294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365.16399999999999</v>
      </c>
      <c r="P7" s="51" t="str">
        <f t="shared" ref="P7:P14" si="5">+E6</f>
        <v>천원권</v>
      </c>
      <c r="Q7" s="53">
        <f>SUM(F6+K6+F19+K19+F37+K37)</f>
        <v>6000</v>
      </c>
      <c r="R7" s="5" t="s">
        <v>80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12054189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13327250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13327250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171.191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>
        <v>54.125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-5991.6850000000004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-1894.375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225.316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-7886.06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12484387.306999998</v>
      </c>
      <c r="E13" s="29" t="str">
        <f>+'(1)'!E13</f>
        <v>합계</v>
      </c>
      <c r="F13" s="61">
        <f>SUM(F4:F12)</f>
        <v>12484189</v>
      </c>
      <c r="G13" s="62"/>
      <c r="H13" s="29" t="str">
        <f t="shared" si="2"/>
        <v>합계</v>
      </c>
      <c r="I13" s="60">
        <f>SUM((I4-I5-I6-I7-I8-I9)*$E$1+I11)</f>
        <v>1369410.8329999999</v>
      </c>
      <c r="J13" s="29" t="str">
        <f t="shared" si="3"/>
        <v>합계</v>
      </c>
      <c r="K13" s="61">
        <f>IF(K8=0,0,SUM(K4:K12)-F8)</f>
        <v>1370061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-198.30699999816716</v>
      </c>
      <c r="G14" s="27"/>
      <c r="H14" s="27"/>
      <c r="I14" s="27"/>
      <c r="J14" s="27"/>
      <c r="K14" s="67">
        <f>SUM(K13-I13)</f>
        <v>650.16700000013225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13853798.139999999</v>
      </c>
      <c r="P14" s="39" t="str">
        <f t="shared" si="5"/>
        <v>합계</v>
      </c>
      <c r="Q14" s="69">
        <f>SUM(Q5:Q13)</f>
        <v>13854250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451.86000000196509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20</v>
      </c>
      <c r="Q20" s="53">
        <f>SUM(P20*1000)</f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>
        <v>10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21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60</v>
      </c>
      <c r="Q26" s="69">
        <f>SUM(Q19:Q25)</f>
        <v>26000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16154</v>
      </c>
      <c r="P29" s="107">
        <v>16155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N19" sqref="N19:O2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1092</v>
      </c>
      <c r="F1" s="1"/>
      <c r="G1" s="1"/>
      <c r="H1" s="1"/>
      <c r="I1" s="1"/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9.8369999999999997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304.947</v>
      </c>
      <c r="M3" s="18" t="s">
        <v>10</v>
      </c>
      <c r="N3" s="3"/>
      <c r="O3" s="3"/>
      <c r="P3" s="132" t="str">
        <f>+'(1)'!C1&amp;"년"&amp;'(1)'!E1&amp;"월"&amp;C1&amp;"일"</f>
        <v>2022년11월31일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+'(1)'!E4</f>
        <v>입금액</v>
      </c>
      <c r="F4" s="36"/>
      <c r="G4" s="27"/>
      <c r="H4" s="34" t="str">
        <f>+C4</f>
        <v>판매량</v>
      </c>
      <c r="I4" s="35"/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/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/>
      <c r="G8" s="27"/>
      <c r="H8" s="34" t="str">
        <f t="shared" si="2"/>
        <v>자가소비</v>
      </c>
      <c r="I8" s="50"/>
      <c r="J8" s="42" t="str">
        <f t="shared" si="3"/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0</v>
      </c>
      <c r="E13" s="29" t="str">
        <f>+'(1)'!E13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SUM((I4-I5-I6-I7-I8-I9)*$E$1+I11)</f>
        <v>0</v>
      </c>
      <c r="J13" s="29" t="str">
        <f t="shared" si="3"/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60</v>
      </c>
      <c r="O23" s="124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/>
      <c r="P29" s="107"/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12" sqref="K1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1092</v>
      </c>
      <c r="F1" s="1"/>
      <c r="G1" s="1"/>
      <c r="H1" s="1"/>
      <c r="I1" s="1"/>
      <c r="J1" s="1"/>
      <c r="K1" s="1"/>
      <c r="L1" s="21">
        <f>+ROUND(+O5*0.584/1000,3)</f>
        <v>12.099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11.445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45.78</v>
      </c>
      <c r="M3" s="18" t="s">
        <v>10</v>
      </c>
      <c r="N3" s="3"/>
      <c r="O3" s="3"/>
      <c r="P3" s="132" t="str">
        <f>+'(1)'!C1&amp;"년"&amp;'(1)'!E1&amp;"월"&amp;C1&amp;"일"</f>
        <v>2022년11월4일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12842.439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7875.7209999999995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38377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135000</v>
      </c>
      <c r="L5" s="2"/>
      <c r="M5" s="20"/>
      <c r="N5" s="45" t="str">
        <f>+C4</f>
        <v>판매량</v>
      </c>
      <c r="O5" s="46">
        <f>SUM(D4+I4+D17+I17+D35+I35)</f>
        <v>20718.16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341.488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320000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341.488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13416512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21840721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21840721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248.49100000000001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52.337000000000003</v>
      </c>
      <c r="J10" s="42" t="str">
        <f t="shared" si="3"/>
        <v>OK케시백</v>
      </c>
      <c r="K10" s="44">
        <v>7000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-8697.1850000000013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-1831.7950000000001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300.82800000000003</v>
      </c>
      <c r="P11" s="51" t="str">
        <f t="shared" si="5"/>
        <v>OK케시백</v>
      </c>
      <c r="Q11" s="53">
        <f>SUM(F10+K10+F23+K23+F41+K41)</f>
        <v>7000</v>
      </c>
      <c r="R11" s="5">
        <v>55576</v>
      </c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-10528.980000000001</v>
      </c>
      <c r="P12" s="51" t="str">
        <f t="shared" si="5"/>
        <v>모바일</v>
      </c>
      <c r="Q12" s="53">
        <f>SUM(F11+K11+F24+K24+F42+K42)</f>
        <v>50000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13642341.307</v>
      </c>
      <c r="E13" s="29" t="str">
        <f>+'(1)'!E13</f>
        <v>합계</v>
      </c>
      <c r="F13" s="61">
        <f>SUM(F4:F12)</f>
        <v>13642512</v>
      </c>
      <c r="G13" s="62"/>
      <c r="H13" s="29" t="str">
        <f t="shared" si="2"/>
        <v>합계</v>
      </c>
      <c r="I13" s="60">
        <f>SUM((I4-I5-I6-I7-I8-I9)*$E$1+I11)</f>
        <v>8598455.5370000005</v>
      </c>
      <c r="J13" s="29" t="str">
        <f t="shared" si="3"/>
        <v>합계</v>
      </c>
      <c r="K13" s="61">
        <f>IF(K8=0,0,SUM(K4:K12)-F8)</f>
        <v>8598209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170.6929999999702</v>
      </c>
      <c r="G14" s="27"/>
      <c r="H14" s="27"/>
      <c r="I14" s="27"/>
      <c r="J14" s="27"/>
      <c r="K14" s="67">
        <f>SUM(K13-I13)</f>
        <v>-246.53700000047684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22240796.843999997</v>
      </c>
      <c r="P14" s="39" t="str">
        <f t="shared" si="5"/>
        <v>합계</v>
      </c>
      <c r="Q14" s="69">
        <f>SUM(Q5:Q13)</f>
        <v>22240721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-75.844000000506639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63</v>
      </c>
      <c r="O23" s="124"/>
      <c r="P23" s="74">
        <v>25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8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72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163</v>
      </c>
      <c r="Q26" s="69">
        <f>SUM(Q19:Q25)</f>
        <v>46000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16075</v>
      </c>
      <c r="P29" s="107">
        <v>16081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D10" sqref="D1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1092</v>
      </c>
      <c r="F1" s="1"/>
      <c r="G1" s="1"/>
      <c r="H1" s="1"/>
      <c r="I1" s="101"/>
      <c r="J1" s="1"/>
      <c r="K1" s="1"/>
      <c r="L1" s="21">
        <f>+ROUND(+O5*0.584/1000,3)</f>
        <v>8.9420000000000002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10.944000000000001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54.720000000000006</v>
      </c>
      <c r="M3" s="18" t="s">
        <v>10</v>
      </c>
      <c r="N3" s="3"/>
      <c r="O3" s="3"/>
      <c r="P3" s="132" t="str">
        <f>+'(1)'!C1&amp;"년"&amp;'(1)'!E1&amp;"월"&amp;C1&amp;"일"</f>
        <v>2022년11월5일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8839.6880000000001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6472.8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22355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470000</v>
      </c>
      <c r="L5" s="2"/>
      <c r="M5" s="20"/>
      <c r="N5" s="45" t="str">
        <f>+C4</f>
        <v>판매량</v>
      </c>
      <c r="O5" s="46">
        <f>SUM(D4+I4+D17+I17+D35+I35)</f>
        <v>15312.488000000001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68.534999999999997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735000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68.534999999999997</v>
      </c>
      <c r="P7" s="51" t="str">
        <f t="shared" ref="P7:P14" si="5">+E6</f>
        <v>천원권</v>
      </c>
      <c r="Q7" s="53">
        <f>SUM(F6+K6+F19+K19+F37+K37)</f>
        <v>4000</v>
      </c>
      <c r="R7" s="5" t="s">
        <v>66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9168928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15736512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15736512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58.720999999999997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-2055.2349999999997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4000</v>
      </c>
      <c r="L11" s="2"/>
      <c r="M11" s="20"/>
      <c r="N11" s="51" t="str">
        <f t="shared" si="4"/>
        <v>고객우대</v>
      </c>
      <c r="O11" s="54">
        <f>SUM(D10+I10+D23+I23+D41+I41)</f>
        <v>58.720999999999997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122303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24523</v>
      </c>
      <c r="L12" s="2"/>
      <c r="M12" s="20"/>
      <c r="N12" s="51" t="str">
        <f t="shared" si="4"/>
        <v>-</v>
      </c>
      <c r="O12" s="55">
        <f>SUM(O11*-35)</f>
        <v>-2055.2349999999997</v>
      </c>
      <c r="P12" s="51" t="str">
        <f t="shared" si="5"/>
        <v>모바일</v>
      </c>
      <c r="Q12" s="53">
        <f>SUM(F11+K11+F24+K24+F42+K42)</f>
        <v>19000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9576043.841</v>
      </c>
      <c r="E13" s="29" t="str">
        <f>+'(1)'!E13</f>
        <v>합계</v>
      </c>
      <c r="F13" s="61">
        <f>SUM(F4:F12)</f>
        <v>9576231</v>
      </c>
      <c r="G13" s="62"/>
      <c r="H13" s="29" t="str">
        <f t="shared" si="2"/>
        <v>합계</v>
      </c>
      <c r="I13" s="60">
        <f>SUM((I4-I5-I6-I7-I8-I9)*$E$1+I11)</f>
        <v>7068297.6000000006</v>
      </c>
      <c r="J13" s="29" t="str">
        <f t="shared" si="3"/>
        <v>합계</v>
      </c>
      <c r="K13" s="61">
        <f>IF(K8=0,0,SUM(K4:K12)-F8)</f>
        <v>7067107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146826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187.1589999999851</v>
      </c>
      <c r="G14" s="27"/>
      <c r="H14" s="27"/>
      <c r="I14" s="27"/>
      <c r="J14" s="27"/>
      <c r="K14" s="67">
        <f>SUM(K13-I13)</f>
        <v>-1190.6000000005588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16644341.441000002</v>
      </c>
      <c r="P14" s="39" t="str">
        <f t="shared" si="5"/>
        <v>합계</v>
      </c>
      <c r="Q14" s="69">
        <f>SUM(Q5:Q13)</f>
        <v>16643338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-1003.4410000005737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20</v>
      </c>
      <c r="Q20" s="53">
        <f>SUM(P20*1000)</f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64</v>
      </c>
      <c r="O23" s="124"/>
      <c r="P23" s="74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95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160</v>
      </c>
      <c r="Q26" s="69">
        <f>SUM(Q19:Q25)</f>
        <v>37000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16081</v>
      </c>
      <c r="P29" s="107">
        <v>16084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3" sqref="L3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1092</v>
      </c>
      <c r="F1" s="1"/>
      <c r="G1" s="1"/>
      <c r="H1" s="1"/>
      <c r="I1" s="1"/>
      <c r="J1" s="1"/>
      <c r="K1" s="1"/>
      <c r="L1" s="21">
        <f>+ROUND(+O5*0.584/1000,3)</f>
        <v>7.47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10.365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62.19</v>
      </c>
      <c r="M3" s="18" t="s">
        <v>10</v>
      </c>
      <c r="N3" s="3"/>
      <c r="O3" s="3"/>
      <c r="P3" s="132" t="str">
        <f>+'(1)'!C1&amp;"년"&amp;'(1)'!E1&amp;"월"&amp;C1&amp;"일"</f>
        <v>2022년11월6일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7678.6629999999996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5111.8869999999997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45978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205000</v>
      </c>
      <c r="L5" s="2"/>
      <c r="M5" s="20"/>
      <c r="N5" s="45" t="str">
        <f>+C4</f>
        <v>판매량</v>
      </c>
      <c r="O5" s="46">
        <f>SUM(D4+I4+D17+I17+D35+I35)</f>
        <v>12790.55</v>
      </c>
      <c r="P5" s="47" t="str">
        <f>+E4</f>
        <v>입금액</v>
      </c>
      <c r="Q5" s="48">
        <f>SUM(F4+K4+F17+K17+F35+K35)</f>
        <v>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405000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6000</v>
      </c>
      <c r="R7" s="5" t="s">
        <v>67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8069937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13441822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13441822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121.785</v>
      </c>
      <c r="E10" s="42" t="str">
        <f>+'(1)'!E10</f>
        <v>OK케시백</v>
      </c>
      <c r="F10" s="44">
        <v>50000</v>
      </c>
      <c r="G10" s="27"/>
      <c r="H10" s="42" t="str">
        <f t="shared" si="2"/>
        <v>고객우대</v>
      </c>
      <c r="I10" s="50">
        <v>51.177999999999997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-4262.4749999999995</v>
      </c>
      <c r="E11" s="42" t="str">
        <f>+'(1)'!E11</f>
        <v>모바일</v>
      </c>
      <c r="F11" s="44">
        <v>9000</v>
      </c>
      <c r="G11" s="27"/>
      <c r="H11" s="87" t="str">
        <f t="shared" si="2"/>
        <v>-</v>
      </c>
      <c r="I11" s="55">
        <f>SUM(I10*-35)</f>
        <v>-1791.23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172.96299999999999</v>
      </c>
      <c r="P11" s="51" t="str">
        <f t="shared" si="5"/>
        <v>OK케시백</v>
      </c>
      <c r="Q11" s="53">
        <f>SUM(F10+K10+F23+K23+F41+K41)</f>
        <v>50000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-6053.7049999999999</v>
      </c>
      <c r="P12" s="51" t="str">
        <f t="shared" si="5"/>
        <v>모바일</v>
      </c>
      <c r="Q12" s="53">
        <f>SUM(F11+K11+F24+K24+F42+K42)</f>
        <v>9000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8380837.5209999997</v>
      </c>
      <c r="E13" s="29" t="str">
        <f>+'(1)'!E13</f>
        <v>합계</v>
      </c>
      <c r="F13" s="61">
        <f>SUM(F4:F12)</f>
        <v>8380937</v>
      </c>
      <c r="G13" s="62"/>
      <c r="H13" s="29" t="str">
        <f t="shared" si="2"/>
        <v>합계</v>
      </c>
      <c r="I13" s="60">
        <f>SUM((I4-I5-I6-I7-I8-I9)*$E$1+I11)</f>
        <v>5580389.3739999989</v>
      </c>
      <c r="J13" s="29" t="str">
        <f t="shared" si="3"/>
        <v>합계</v>
      </c>
      <c r="K13" s="61">
        <f>IF(K8=0,0,SUM(K4:K12)-F8)</f>
        <v>5580885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99.479000000283122</v>
      </c>
      <c r="G14" s="27"/>
      <c r="H14" s="27"/>
      <c r="I14" s="27"/>
      <c r="J14" s="27"/>
      <c r="K14" s="67">
        <f>SUM(K13-I13)</f>
        <v>495.62600000109524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13961226.895</v>
      </c>
      <c r="P14" s="39" t="str">
        <f t="shared" si="5"/>
        <v>합계</v>
      </c>
      <c r="Q14" s="69">
        <f>SUM(Q5:Q13)</f>
        <v>13961822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595.10500000137836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28</v>
      </c>
      <c r="Q20" s="53">
        <f>SUM(P20*1000)</f>
        <v>28000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1</v>
      </c>
      <c r="Q22" s="53">
        <f>SUM(P22*1000)</f>
        <v>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65</v>
      </c>
      <c r="O23" s="124"/>
      <c r="P23" s="74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64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118</v>
      </c>
      <c r="Q26" s="69">
        <f>SUM(Q19:Q25)</f>
        <v>39000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16084</v>
      </c>
      <c r="P29" s="107">
        <v>16085</v>
      </c>
      <c r="Q29" s="108">
        <f>P29-O29</f>
        <v>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1092</v>
      </c>
      <c r="F1" s="1"/>
      <c r="G1" s="1"/>
      <c r="H1" s="1"/>
      <c r="I1" s="1"/>
      <c r="J1" s="1"/>
      <c r="K1" s="1"/>
      <c r="L1" s="21">
        <f>+ROUND(+O5*0.584/1000,3)</f>
        <v>10.752000000000001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10.42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72.94</v>
      </c>
      <c r="M3" s="18" t="s">
        <v>10</v>
      </c>
      <c r="N3" s="3"/>
      <c r="O3" s="3"/>
      <c r="P3" s="132" t="str">
        <f>+'(1)'!C1&amp;"년"&amp;'(1)'!E1&amp;"월"&amp;C1&amp;"일"</f>
        <v>2022년11월7일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11746.075999999999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6664.7219999999998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27262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215000</v>
      </c>
      <c r="L5" s="2"/>
      <c r="M5" s="20"/>
      <c r="N5" s="45" t="str">
        <f>+C4</f>
        <v>판매량</v>
      </c>
      <c r="O5" s="46">
        <f>SUM(D4+I4+D17+I17+D35+I35)</f>
        <v>18410.797999999999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388.20299999999997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510000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388.20299999999997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48.957000000000001</v>
      </c>
      <c r="E8" s="42" t="str">
        <f>+'(1)'!E8</f>
        <v>신용카드</v>
      </c>
      <c r="F8" s="44">
        <v>11996353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19055085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48.957000000000001</v>
      </c>
      <c r="P9" s="51" t="str">
        <f t="shared" si="5"/>
        <v>신용카드</v>
      </c>
      <c r="Q9" s="53">
        <f>IF(K8=0,F8,IF(F21=0,K8,IF(K21=0,F21,K21)))</f>
        <v>19055085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272.53800000000001</v>
      </c>
      <c r="E10" s="42" t="str">
        <f>+'(1)'!E10</f>
        <v>OK케시백</v>
      </c>
      <c r="F10" s="44">
        <v>3749</v>
      </c>
      <c r="G10" s="27"/>
      <c r="H10" s="42" t="str">
        <f t="shared" si="2"/>
        <v>고객우대</v>
      </c>
      <c r="I10" s="50">
        <v>52.953000000000003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-9538.83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-1853.355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325.49099999999999</v>
      </c>
      <c r="P11" s="51" t="str">
        <f t="shared" si="5"/>
        <v>OK케시백</v>
      </c>
      <c r="Q11" s="53">
        <f>SUM(F10+K10+F23+K23+F41+K41)</f>
        <v>3749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35641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-11392.184999999999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12339797.442</v>
      </c>
      <c r="E13" s="29" t="str">
        <f>+'(1)'!E13</f>
        <v>합계</v>
      </c>
      <c r="F13" s="61">
        <f>SUM(F4:F12)</f>
        <v>12339743</v>
      </c>
      <c r="G13" s="62"/>
      <c r="H13" s="29" t="str">
        <f t="shared" si="2"/>
        <v>합계</v>
      </c>
      <c r="I13" s="60">
        <f>SUM((I4-I5-I6-I7-I8-I9)*$E$1+I11)</f>
        <v>7276023.0689999992</v>
      </c>
      <c r="J13" s="29" t="str">
        <f t="shared" si="3"/>
        <v>합계</v>
      </c>
      <c r="K13" s="61">
        <f>IF(K8=0,0,SUM(K4:K12)-F8)</f>
        <v>7280732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35641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-54.441999999806285</v>
      </c>
      <c r="G14" s="27"/>
      <c r="H14" s="27"/>
      <c r="I14" s="27"/>
      <c r="J14" s="27"/>
      <c r="K14" s="67">
        <f>SUM(K13-I13)</f>
        <v>4708.9310000007972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19615820.511</v>
      </c>
      <c r="P14" s="39" t="str">
        <f t="shared" si="5"/>
        <v>합계</v>
      </c>
      <c r="Q14" s="69">
        <f>SUM(Q5:Q13)</f>
        <v>19620475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4654.4890000009909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12</v>
      </c>
      <c r="Q20" s="53">
        <f>SUM(P20*1000)</f>
        <v>12000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12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9</v>
      </c>
      <c r="Q22" s="53">
        <f>SUM(P22*1000)</f>
        <v>9000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68</v>
      </c>
      <c r="O23" s="124"/>
      <c r="P23" s="74">
        <v>22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77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154</v>
      </c>
      <c r="Q26" s="69">
        <f>SUM(Q19:Q25)</f>
        <v>33000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16085</v>
      </c>
      <c r="P29" s="107">
        <v>16094</v>
      </c>
      <c r="Q29" s="108">
        <f>P29-O29</f>
        <v>9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1092</v>
      </c>
      <c r="F1" s="1"/>
      <c r="G1" s="1"/>
      <c r="H1" s="1"/>
      <c r="I1" s="1"/>
      <c r="J1" s="1"/>
      <c r="K1" s="1"/>
      <c r="L1" s="22">
        <f>+ROUND(+O5*0.584/1000,3)</f>
        <v>10.154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10.387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83.096000000000004</v>
      </c>
      <c r="M3" s="18" t="s">
        <v>10</v>
      </c>
      <c r="N3" s="3"/>
      <c r="O3" s="3"/>
      <c r="P3" s="132" t="str">
        <f>+'(1)'!C1&amp;"년"&amp;'(1)'!E1&amp;"월"&amp;C1&amp;"일"</f>
        <v>2022년11월8일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10906.949000000001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6479.451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46082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135000</v>
      </c>
      <c r="L5" s="2"/>
      <c r="M5" s="20"/>
      <c r="N5" s="45" t="str">
        <f>+C4</f>
        <v>판매량</v>
      </c>
      <c r="O5" s="46">
        <f>SUM(D4+I4+D17+I17+D35+I35)</f>
        <v>17386.400000000001</v>
      </c>
      <c r="P5" s="47" t="str">
        <f>+E4</f>
        <v>입금액</v>
      </c>
      <c r="Q5" s="48">
        <f>SUM(F4+K4+F17+K17+F35+K35)</f>
        <v>0</v>
      </c>
      <c r="R5" s="7">
        <v>22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252.52199999999999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420000</v>
      </c>
      <c r="R6" s="7">
        <v>3.2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252.52199999999999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11324533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18253503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18253503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220.29900000000001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70.506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-7710.4650000000001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-2467.71</v>
      </c>
      <c r="J11" s="42" t="str">
        <f t="shared" si="3"/>
        <v>모바일</v>
      </c>
      <c r="K11" s="44">
        <v>8000</v>
      </c>
      <c r="L11" s="2"/>
      <c r="M11" s="20"/>
      <c r="N11" s="51" t="str">
        <f t="shared" si="4"/>
        <v>고객우대</v>
      </c>
      <c r="O11" s="54">
        <f>SUM(D10+I10+D23+I23+D41+I41)</f>
        <v>290.80500000000001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-10178.175000000001</v>
      </c>
      <c r="P12" s="51" t="str">
        <f t="shared" si="5"/>
        <v>모바일</v>
      </c>
      <c r="Q12" s="53">
        <f>SUM(F11+K11+F24+K24+F42+K42)</f>
        <v>23000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11626923.819</v>
      </c>
      <c r="E13" s="29" t="str">
        <f>+'(1)'!E13</f>
        <v>합계</v>
      </c>
      <c r="F13" s="61">
        <f>SUM(F4:F12)</f>
        <v>11626533</v>
      </c>
      <c r="G13" s="62"/>
      <c r="H13" s="29" t="str">
        <f t="shared" si="2"/>
        <v>합계</v>
      </c>
      <c r="I13" s="60">
        <f>SUM((I4-I5-I6-I7-I8-I9)*$E$1+I11)</f>
        <v>7073092.7819999997</v>
      </c>
      <c r="J13" s="29" t="str">
        <f t="shared" si="3"/>
        <v>합계</v>
      </c>
      <c r="K13" s="61">
        <f>IF(K8=0,0,SUM(K4:K12)-F8)</f>
        <v>7072970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-390.81900000013411</v>
      </c>
      <c r="G14" s="27"/>
      <c r="H14" s="27"/>
      <c r="I14" s="27"/>
      <c r="J14" s="27"/>
      <c r="K14" s="67">
        <f>SUM(K13-I13)</f>
        <v>-122.78199999965727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18700016.601</v>
      </c>
      <c r="P14" s="39" t="str">
        <f t="shared" si="5"/>
        <v>합계</v>
      </c>
      <c r="Q14" s="69">
        <f>SUM(Q5:Q13)</f>
        <v>18699503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-513.60099999979138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20</v>
      </c>
      <c r="Q20" s="53">
        <f>SUM(P20*1000)</f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69</v>
      </c>
      <c r="O23" s="124"/>
      <c r="P23" s="74">
        <v>24</v>
      </c>
      <c r="Q23" s="53"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v>84</v>
      </c>
      <c r="Q25" s="76">
        <v>0</v>
      </c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161</v>
      </c>
      <c r="Q26" s="69">
        <f>SUM(Q19:Q25)</f>
        <v>34000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16094</v>
      </c>
      <c r="P29" s="107">
        <v>16094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14" sqref="K14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1092</v>
      </c>
      <c r="F1" s="1"/>
      <c r="G1" s="1"/>
      <c r="H1" s="1"/>
      <c r="I1" s="1"/>
      <c r="J1" s="1"/>
      <c r="K1" s="1"/>
      <c r="L1" s="22">
        <f>+ROUND(+O5*0.584/1000,3)</f>
        <v>10.797000000000001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10.433</v>
      </c>
      <c r="M2" s="18" t="s">
        <v>7</v>
      </c>
      <c r="N2" s="131" t="s">
        <v>1</v>
      </c>
      <c r="O2" s="131"/>
      <c r="P2" s="131"/>
      <c r="Q2" s="131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93.896999999999991</v>
      </c>
      <c r="M3" s="18" t="s">
        <v>10</v>
      </c>
      <c r="N3" s="3"/>
      <c r="O3" s="3"/>
      <c r="P3" s="132" t="str">
        <f>+'(1)'!C1&amp;"년"&amp;'(1)'!E1&amp;"월"&amp;C1&amp;"일"</f>
        <v>2022년11월9일</v>
      </c>
      <c r="Q3" s="132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11185.787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7301.7039999999997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26587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18487.491000000002</v>
      </c>
      <c r="P5" s="47" t="str">
        <f>+E4</f>
        <v>입금액</v>
      </c>
      <c r="Q5" s="48">
        <f>SUM(F4+K4+F17+K17+F35+K35)</f>
        <v>0</v>
      </c>
      <c r="R5" s="7">
        <v>24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348.21499999999997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390000</v>
      </c>
      <c r="R6" s="7">
        <v>3.3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09" t="str">
        <f>+'(1)'!E7</f>
        <v>블루/레드포인트</v>
      </c>
      <c r="F7" s="44"/>
      <c r="G7" s="27"/>
      <c r="H7" s="87" t="str">
        <f t="shared" si="2"/>
        <v>효신(업)</v>
      </c>
      <c r="I7" s="50"/>
      <c r="J7" s="109" t="str">
        <f t="shared" si="3"/>
        <v>블루/레드포인트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348.21499999999997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11650689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19394570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10" t="str">
        <f t="shared" si="5"/>
        <v>블루/레드포인트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19394570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267.65800000000002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49.024999999999999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-9368.0300000000007</v>
      </c>
      <c r="E11" s="42" t="str">
        <f>+'(1)'!E11</f>
        <v>모바일</v>
      </c>
      <c r="F11" s="44">
        <v>4000</v>
      </c>
      <c r="G11" s="27"/>
      <c r="H11" s="87" t="str">
        <f t="shared" si="2"/>
        <v>-</v>
      </c>
      <c r="I11" s="55">
        <f>SUM(I10*-35)</f>
        <v>-1715.875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316.68299999999999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-11083.904999999999</v>
      </c>
      <c r="P12" s="51" t="str">
        <f t="shared" si="5"/>
        <v>모바일</v>
      </c>
      <c r="Q12" s="53">
        <f>SUM(F11+K11+F24+K24+F42+K42)</f>
        <v>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11825260.594000001</v>
      </c>
      <c r="E13" s="29" t="str">
        <f>+'(1)'!E13</f>
        <v>합계</v>
      </c>
      <c r="F13" s="61">
        <f>SUM(F4:F12)</f>
        <v>11824689</v>
      </c>
      <c r="G13" s="62"/>
      <c r="H13" s="29" t="str">
        <f t="shared" si="2"/>
        <v>합계</v>
      </c>
      <c r="I13" s="60">
        <f>SUM((I4-I5-I6-I7-I8-I9)*$E$1+I11)</f>
        <v>7971744.8930000002</v>
      </c>
      <c r="J13" s="29" t="str">
        <f t="shared" si="3"/>
        <v>합계</v>
      </c>
      <c r="K13" s="61">
        <f>IF(K8=0,0,SUM(K4:K12)-F8)</f>
        <v>7971881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-571.59400000050664</v>
      </c>
      <c r="G14" s="27"/>
      <c r="H14" s="27"/>
      <c r="I14" s="27"/>
      <c r="J14" s="27"/>
      <c r="K14" s="67">
        <f>SUM(K13-I13)</f>
        <v>136.10699999984354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19797005.487</v>
      </c>
      <c r="P14" s="39" t="str">
        <f t="shared" si="5"/>
        <v>합계</v>
      </c>
      <c r="Q14" s="69">
        <f>SUM(Q5:Q13)</f>
        <v>19796570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-435.4870000006631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7" t="s">
        <v>34</v>
      </c>
      <c r="O18" s="130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21" t="s">
        <v>37</v>
      </c>
      <c r="O19" s="122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111" t="str">
        <f t="shared" si="9"/>
        <v>블루/레드포인트</v>
      </c>
      <c r="F20" s="44"/>
      <c r="G20" s="27"/>
      <c r="H20" s="42" t="str">
        <f t="shared" si="10"/>
        <v>효신(업)</v>
      </c>
      <c r="I20" s="50"/>
      <c r="J20" s="111" t="str">
        <f t="shared" si="11"/>
        <v>블루/레드포인트</v>
      </c>
      <c r="K20" s="44"/>
      <c r="L20" s="2"/>
      <c r="M20" s="1"/>
      <c r="N20" s="127" t="s">
        <v>38</v>
      </c>
      <c r="O20" s="128"/>
      <c r="P20" s="74">
        <v>26</v>
      </c>
      <c r="Q20" s="53">
        <f>SUM(P20*1000)</f>
        <v>26000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7" t="s">
        <v>48</v>
      </c>
      <c r="O21" s="128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9" t="s">
        <v>53</v>
      </c>
      <c r="O22" s="124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3" t="s">
        <v>70</v>
      </c>
      <c r="O23" s="124"/>
      <c r="P23" s="74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3" t="s">
        <v>52</v>
      </c>
      <c r="O24" s="124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5" t="s">
        <v>39</v>
      </c>
      <c r="O25" s="126"/>
      <c r="P25" s="75">
        <f>+P26-SUM(P19:P24)</f>
        <v>54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7" t="s">
        <v>40</v>
      </c>
      <c r="O26" s="118"/>
      <c r="P26" s="77">
        <v>125</v>
      </c>
      <c r="Q26" s="69">
        <f>SUM(Q19:Q25)</f>
        <v>38000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5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6"/>
      <c r="O29" s="106">
        <v>16094</v>
      </c>
      <c r="P29" s="107">
        <v>16097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2022-12-01T10:01:44Z</dcterms:modified>
</cp:coreProperties>
</file>