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  <sheet name="Sheet1" sheetId="160" r:id="rId32"/>
  </sheets>
  <externalReferences>
    <externalReference r:id="rId33"/>
  </externalReferences>
  <calcPr calcId="144525"/>
</workbook>
</file>

<file path=xl/calcChain.xml><?xml version="1.0" encoding="utf-8"?>
<calcChain xmlns="http://schemas.openxmlformats.org/spreadsheetml/2006/main">
  <c r="F10" i="145" l="1"/>
  <c r="F8" i="144" l="1"/>
  <c r="K8" i="139" l="1"/>
  <c r="F10" i="136" l="1"/>
  <c r="K8" i="132" l="1"/>
  <c r="D11" i="131" l="1"/>
  <c r="D13" i="131" s="1"/>
  <c r="D13" i="13" l="1"/>
  <c r="P27" i="1" l="1"/>
  <c r="K8" i="1" l="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8" i="144" s="1"/>
  <c r="Q20" i="145"/>
  <c r="Q19" i="145"/>
  <c r="Q19" i="146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D11" i="159"/>
  <c r="I24" i="158"/>
  <c r="D24" i="158"/>
  <c r="I11" i="158"/>
  <c r="D11" i="158"/>
  <c r="I24" i="157"/>
  <c r="D24" i="157"/>
  <c r="I11" i="157"/>
  <c r="D11" i="157"/>
  <c r="I24" i="156"/>
  <c r="D24" i="156"/>
  <c r="I11" i="156"/>
  <c r="D11" i="156"/>
  <c r="I24" i="155"/>
  <c r="D24" i="155"/>
  <c r="I11" i="155"/>
  <c r="D11" i="155"/>
  <c r="I24" i="154"/>
  <c r="D24" i="154"/>
  <c r="I11" i="154"/>
  <c r="D11" i="154"/>
  <c r="I24" i="153"/>
  <c r="D24" i="153"/>
  <c r="I11" i="153"/>
  <c r="D11" i="153"/>
  <c r="I24" i="152"/>
  <c r="D24" i="152"/>
  <c r="I11" i="152"/>
  <c r="D11" i="152"/>
  <c r="I24" i="151"/>
  <c r="D24" i="151"/>
  <c r="I11" i="151"/>
  <c r="D11" i="151"/>
  <c r="I24" i="150"/>
  <c r="D24" i="150"/>
  <c r="I11" i="150"/>
  <c r="D11" i="150"/>
  <c r="I24" i="149"/>
  <c r="D24" i="149"/>
  <c r="I11" i="149"/>
  <c r="D11" i="149"/>
  <c r="I24" i="148"/>
  <c r="D24" i="148"/>
  <c r="I11" i="148"/>
  <c r="D11" i="148"/>
  <c r="I24" i="147"/>
  <c r="D24" i="147"/>
  <c r="I11" i="147"/>
  <c r="D11" i="147"/>
  <c r="I24" i="146"/>
  <c r="D24" i="146"/>
  <c r="I11" i="146"/>
  <c r="D11" i="146"/>
  <c r="I24" i="145"/>
  <c r="D24" i="145"/>
  <c r="I11" i="145"/>
  <c r="D11" i="145"/>
  <c r="I24" i="144"/>
  <c r="D24" i="144"/>
  <c r="I11" i="144"/>
  <c r="D11" i="144"/>
  <c r="I24" i="143"/>
  <c r="D24" i="143"/>
  <c r="I11" i="143"/>
  <c r="D11" i="143"/>
  <c r="I24" i="142"/>
  <c r="D24" i="142"/>
  <c r="I11" i="142"/>
  <c r="D11" i="142"/>
  <c r="I24" i="141"/>
  <c r="D24" i="141"/>
  <c r="I11" i="141"/>
  <c r="D11" i="141"/>
  <c r="I24" i="140"/>
  <c r="D24" i="140"/>
  <c r="I11" i="140"/>
  <c r="D11" i="140"/>
  <c r="I24" i="139"/>
  <c r="D24" i="139"/>
  <c r="I11" i="139"/>
  <c r="D11" i="139"/>
  <c r="I24" i="138"/>
  <c r="D24" i="138"/>
  <c r="I11" i="138"/>
  <c r="D11" i="138"/>
  <c r="I24" i="137"/>
  <c r="D24" i="137"/>
  <c r="I11" i="137"/>
  <c r="D11" i="137"/>
  <c r="I24" i="136"/>
  <c r="D24" i="136"/>
  <c r="I11" i="136"/>
  <c r="D11" i="136"/>
  <c r="I24" i="135"/>
  <c r="D24" i="135"/>
  <c r="I11" i="135"/>
  <c r="D11" i="135"/>
  <c r="I24" i="134"/>
  <c r="D24" i="134"/>
  <c r="I11" i="134"/>
  <c r="D11" i="134"/>
  <c r="I24" i="133"/>
  <c r="D24" i="133"/>
  <c r="I11" i="133"/>
  <c r="D11" i="133"/>
  <c r="I24" i="132"/>
  <c r="D24" i="132"/>
  <c r="I11" i="132"/>
  <c r="D11" i="132"/>
  <c r="I24" i="131"/>
  <c r="D24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F14" i="131" s="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D26" i="132"/>
  <c r="F27" i="132" s="1"/>
  <c r="I13" i="131"/>
  <c r="K14" i="131" s="1"/>
  <c r="D26" i="131"/>
  <c r="F27" i="131" s="1"/>
  <c r="I26" i="131"/>
  <c r="K27" i="131" s="1"/>
  <c r="I13" i="13"/>
  <c r="K14" i="13" s="1"/>
  <c r="I26" i="13"/>
  <c r="K27" i="13" s="1"/>
  <c r="D26" i="13"/>
  <c r="F27" i="13" s="1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I26" i="132"/>
  <c r="K27" i="132" s="1"/>
  <c r="D13" i="133" l="1"/>
  <c r="F14" i="133" s="1"/>
  <c r="I13" i="133"/>
  <c r="K14" i="133" s="1"/>
  <c r="D26" i="133"/>
  <c r="F27" i="133" s="1"/>
  <c r="I26" i="133"/>
  <c r="K27" i="133" s="1"/>
  <c r="D13" i="134" l="1"/>
  <c r="F14" i="134" s="1"/>
  <c r="I13" i="134"/>
  <c r="K14" i="134" s="1"/>
  <c r="I26" i="134"/>
  <c r="K27" i="134" s="1"/>
  <c r="D26" i="134"/>
  <c r="F27" i="134" s="1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F3" i="133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F3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K3" i="159"/>
  <c r="H11" i="159"/>
  <c r="F16" i="159"/>
  <c r="I3" i="158"/>
  <c r="H3" i="158"/>
  <c r="H12" i="158"/>
  <c r="K3" i="158"/>
  <c r="H11" i="158"/>
  <c r="H4" i="157"/>
  <c r="H5" i="157"/>
  <c r="H6" i="157"/>
  <c r="H7" i="157"/>
  <c r="H8" i="157"/>
  <c r="H9" i="157"/>
  <c r="H10" i="157"/>
  <c r="H3" i="157"/>
  <c r="K3" i="157"/>
  <c r="H11" i="157"/>
  <c r="I3" i="156"/>
  <c r="H4" i="156"/>
  <c r="H5" i="156"/>
  <c r="H6" i="156"/>
  <c r="H7" i="156"/>
  <c r="H8" i="156"/>
  <c r="H9" i="156"/>
  <c r="H10" i="156"/>
  <c r="H3" i="156"/>
  <c r="K3" i="156"/>
  <c r="H11" i="156"/>
  <c r="H3" i="155"/>
  <c r="H12" i="155"/>
  <c r="I3" i="155"/>
  <c r="H4" i="155"/>
  <c r="H5" i="155"/>
  <c r="H6" i="155"/>
  <c r="H7" i="155"/>
  <c r="H8" i="155"/>
  <c r="H9" i="155"/>
  <c r="H10" i="155"/>
  <c r="K3" i="155"/>
  <c r="H11" i="155"/>
  <c r="I3" i="154"/>
  <c r="H4" i="154"/>
  <c r="H5" i="154"/>
  <c r="H6" i="154"/>
  <c r="H7" i="154"/>
  <c r="H8" i="154"/>
  <c r="H9" i="154"/>
  <c r="H10" i="154"/>
  <c r="H3" i="154"/>
  <c r="K3" i="154"/>
  <c r="H11" i="154"/>
  <c r="H4" i="153"/>
  <c r="H5" i="153"/>
  <c r="H6" i="153"/>
  <c r="H7" i="153"/>
  <c r="H8" i="153"/>
  <c r="H9" i="153"/>
  <c r="H10" i="153"/>
  <c r="H3" i="153"/>
  <c r="I3" i="153"/>
  <c r="K3" i="153"/>
  <c r="H11" i="153"/>
  <c r="H3" i="152"/>
  <c r="I3" i="152"/>
  <c r="H4" i="152"/>
  <c r="H5" i="152"/>
  <c r="H6" i="152"/>
  <c r="H7" i="152"/>
  <c r="H8" i="152"/>
  <c r="H9" i="152"/>
  <c r="H10" i="152"/>
  <c r="K3" i="152"/>
  <c r="H11" i="152"/>
  <c r="H4" i="151"/>
  <c r="H5" i="151"/>
  <c r="H6" i="151"/>
  <c r="H7" i="151"/>
  <c r="H8" i="151"/>
  <c r="H9" i="151"/>
  <c r="H10" i="151"/>
  <c r="H3" i="151"/>
  <c r="I3" i="151"/>
  <c r="K3" i="151"/>
  <c r="H11" i="151"/>
  <c r="H3" i="150"/>
  <c r="H4" i="150"/>
  <c r="H5" i="150"/>
  <c r="H6" i="150"/>
  <c r="H7" i="150"/>
  <c r="H8" i="150"/>
  <c r="H9" i="150"/>
  <c r="H10" i="150"/>
  <c r="I3" i="150"/>
  <c r="K3" i="150"/>
  <c r="H11" i="150"/>
  <c r="H3" i="149"/>
  <c r="H4" i="149"/>
  <c r="H5" i="149"/>
  <c r="H6" i="149"/>
  <c r="H7" i="149"/>
  <c r="H8" i="149"/>
  <c r="H9" i="149"/>
  <c r="H10" i="149"/>
  <c r="I3" i="149"/>
  <c r="K3" i="149"/>
  <c r="H11" i="149"/>
  <c r="H3" i="148"/>
  <c r="H4" i="148"/>
  <c r="H5" i="148"/>
  <c r="H6" i="148"/>
  <c r="H7" i="148"/>
  <c r="H8" i="148"/>
  <c r="H9" i="148"/>
  <c r="H10" i="148"/>
  <c r="K3" i="148"/>
  <c r="H11" i="148"/>
  <c r="H3" i="147"/>
  <c r="H4" i="147"/>
  <c r="H5" i="147"/>
  <c r="H6" i="147"/>
  <c r="H7" i="147"/>
  <c r="H8" i="147"/>
  <c r="H9" i="147"/>
  <c r="H10" i="147"/>
  <c r="I3" i="147"/>
  <c r="K3" i="147"/>
  <c r="H11" i="147"/>
  <c r="H4" i="146"/>
  <c r="H5" i="146"/>
  <c r="H6" i="146"/>
  <c r="H7" i="146"/>
  <c r="H8" i="146"/>
  <c r="H9" i="146"/>
  <c r="H10" i="146"/>
  <c r="H3" i="146"/>
  <c r="K3" i="146"/>
  <c r="H11" i="146"/>
  <c r="H3" i="145"/>
  <c r="H4" i="145"/>
  <c r="H5" i="145"/>
  <c r="H6" i="145"/>
  <c r="H7" i="145"/>
  <c r="H8" i="145"/>
  <c r="H9" i="145"/>
  <c r="H10" i="145"/>
  <c r="K3" i="145"/>
  <c r="H11" i="145"/>
  <c r="H3" i="144"/>
  <c r="H12" i="144"/>
  <c r="I3" i="144"/>
  <c r="H4" i="144"/>
  <c r="H5" i="144"/>
  <c r="H6" i="144"/>
  <c r="H7" i="144"/>
  <c r="H8" i="144"/>
  <c r="H9" i="144"/>
  <c r="H10" i="144"/>
  <c r="K3" i="144"/>
  <c r="H11" i="144"/>
  <c r="H3" i="143"/>
  <c r="H4" i="143"/>
  <c r="H5" i="143"/>
  <c r="H6" i="143"/>
  <c r="H7" i="143"/>
  <c r="H8" i="143"/>
  <c r="H9" i="143"/>
  <c r="H10" i="143"/>
  <c r="K3" i="143"/>
  <c r="H11" i="143"/>
  <c r="H3" i="142"/>
  <c r="H12" i="142"/>
  <c r="I3" i="142"/>
  <c r="H4" i="142"/>
  <c r="H5" i="142"/>
  <c r="H6" i="142"/>
  <c r="H7" i="142"/>
  <c r="H8" i="142"/>
  <c r="H9" i="142"/>
  <c r="H10" i="142"/>
  <c r="K3" i="142"/>
  <c r="H11" i="142"/>
  <c r="H3" i="141"/>
  <c r="H4" i="141"/>
  <c r="H5" i="141"/>
  <c r="H6" i="141"/>
  <c r="H7" i="141"/>
  <c r="H8" i="141"/>
  <c r="H9" i="141"/>
  <c r="H10" i="141"/>
  <c r="I3" i="141"/>
  <c r="K3" i="141"/>
  <c r="H11" i="141"/>
  <c r="H3" i="140"/>
  <c r="H4" i="140"/>
  <c r="H5" i="140"/>
  <c r="H6" i="140"/>
  <c r="H7" i="140"/>
  <c r="H8" i="140"/>
  <c r="H9" i="140"/>
  <c r="H10" i="140"/>
  <c r="K3" i="140"/>
  <c r="H11" i="140"/>
  <c r="H3" i="139"/>
  <c r="H4" i="139"/>
  <c r="H5" i="139"/>
  <c r="H6" i="139"/>
  <c r="H7" i="139"/>
  <c r="H8" i="139"/>
  <c r="H9" i="139"/>
  <c r="H10" i="139"/>
  <c r="K3" i="139"/>
  <c r="H11" i="139"/>
  <c r="H3" i="138"/>
  <c r="H4" i="138"/>
  <c r="H5" i="138"/>
  <c r="H6" i="138"/>
  <c r="H7" i="138"/>
  <c r="H8" i="138"/>
  <c r="H9" i="138"/>
  <c r="H10" i="138"/>
  <c r="K3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O14" i="137"/>
  <c r="Q15" i="137" l="1"/>
  <c r="D13" i="138"/>
  <c r="F14" i="138" s="1"/>
  <c r="I13" i="138"/>
  <c r="K14" i="138" s="1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O14" i="140"/>
  <c r="L1" i="135"/>
  <c r="Q15" i="140" l="1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I13" i="142"/>
  <c r="K14" i="142" s="1"/>
  <c r="D26" i="142"/>
  <c r="F27" i="142" s="1"/>
  <c r="L1" i="133"/>
  <c r="I13" i="143" l="1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Q20" i="1"/>
  <c r="Q15" i="144" l="1"/>
  <c r="O14" i="145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Q15" i="145"/>
  <c r="K14" i="1"/>
  <c r="Q15" i="146" l="1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Q9" i="1"/>
  <c r="D26" i="150" l="1"/>
  <c r="F27" i="150" s="1"/>
  <c r="O14" i="150"/>
  <c r="I26" i="150"/>
  <c r="K27" i="150" s="1"/>
  <c r="D13" i="150"/>
  <c r="F14" i="150" s="1"/>
  <c r="I13" i="150"/>
  <c r="K14" i="150" s="1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O14" i="151"/>
  <c r="L1" i="1"/>
  <c r="L2" i="1" s="1"/>
  <c r="L3" i="1" s="1"/>
  <c r="L1" i="13"/>
  <c r="Q14" i="1"/>
  <c r="F14" i="1"/>
  <c r="F27" i="1"/>
  <c r="K27" i="1"/>
  <c r="I26" i="152" l="1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O14" i="154"/>
  <c r="I26" i="154"/>
  <c r="K27" i="154" s="1"/>
  <c r="Q15" i="153"/>
  <c r="L3" i="131"/>
  <c r="L2" i="132"/>
  <c r="O14" i="155" l="1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D44" i="1" s="1"/>
  <c r="Q15" i="155" l="1"/>
  <c r="I13" i="156"/>
  <c r="K14" i="156" s="1"/>
  <c r="I26" i="156"/>
  <c r="K27" i="156" s="1"/>
  <c r="D13" i="156"/>
  <c r="F14" i="156" s="1"/>
  <c r="O14" i="156"/>
  <c r="D26" i="156"/>
  <c r="F27" i="156" s="1"/>
  <c r="L3" i="133"/>
  <c r="L2" i="134"/>
  <c r="F45" i="1"/>
  <c r="K45" i="1"/>
  <c r="O14" i="157" l="1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<sst xmlns="http://schemas.openxmlformats.org/spreadsheetml/2006/main" count="863" uniqueCount="66">
  <si>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</si>
  <si>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</si>
  <si>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</si>
  <si>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</si>
  <si>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</si>
  <si>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</si>
  <si>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</si>
  <si>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</si>
  <si>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</si>
  <si>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</si>
  <si>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</si>
  <si>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</si>
  <si>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</si>
  <si>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</si>
  <si>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</si>
  <si>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</si>
  <si>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</si>
  <si>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</si>
  <si>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</si>
  <si>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</si>
  <si>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</si>
  <si>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</si>
  <si>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</si>
  <si>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</si>
  <si>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</si>
  <si>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</si>
  <si>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</si>
  <si>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</si>
  <si>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</si>
  <si>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</si>
  <si>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</si>
  <si>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</si>
  <si>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</si>
  <si>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</si>
  <si>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</si>
  <si>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</si>
  <si>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</si>
  <si>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</si>
  <si>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</si>
  <si>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</si>
  <si>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</si>
  <si>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</si>
  <si>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</si>
  <si>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</si>
  <si>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</si>
  <si>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</si>
  <si>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</si>
  <si>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</si>
  <si>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</si>
  <si>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</si>
  <si>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</si>
  <si>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</si>
  <si>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</si>
  <si>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</si>
  <si>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</si>
  <si>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</si>
  <si>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.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</si>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</sst>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abSelected="1" workbookViewId="0">
      <selection activeCell="D33" sqref="D33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3</v>
      </c>
      <c r="F1" s="24" t="str">
        <f>IF(E1&lt;1,"◀  월 입력","월")</f>
        <v>월</v>
      </c>
      <c r="G1" s="25">
        <v>1</v>
      </c>
      <c r="H1" s="26" t="s">
        <v>11</v>
      </c>
      <c r="I1" s="25">
        <v>1052</v>
      </c>
      <c r="J1" s="24" t="str">
        <f>IF(I1&lt;100,"◀  단가입력","원")</f>
        <v>원</v>
      </c>
      <c r="L1" s="28">
        <f>+ROUND(+O5*0.584/1000,3)</f>
        <v>10.192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10.192</v>
      </c>
      <c r="M2" s="27" t="s">
        <v>7</v>
      </c>
      <c r="N2" s="130" t="s">
        <v>12</v>
      </c>
      <c r="O2" s="130"/>
      <c r="P2" s="130"/>
      <c r="Q2" s="130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10.192</v>
      </c>
      <c r="M3" s="27" t="s">
        <v>10</v>
      </c>
      <c r="N3" s="32"/>
      <c r="O3" s="32"/>
      <c r="P3" s="129" t="str">
        <f>+'(1)'!$C$1&amp;"년"&amp;'(1)'!$E$1&amp;"월"&amp;$G$1&amp;"일"</f>
        <v>2023년3월1일</v>
      </c>
      <c r="Q3" s="129"/>
      <c r="R3" s="33"/>
    </row>
    <row r="4" spans="3:25" ht="16.5" customHeight="1" thickBot="1">
      <c r="C4" s="34" t="s">
        <v>15</v>
      </c>
      <c r="D4" s="35">
        <v>7126.3119999999999</v>
      </c>
      <c r="E4" s="34" t="str">
        <f>+'[1](1)'!E4</f>
        <v>고액권</v>
      </c>
      <c r="F4" s="36">
        <v>200000</v>
      </c>
      <c r="H4" s="93" t="str">
        <f>+C4</f>
        <v>판매량</v>
      </c>
      <c r="I4" s="35">
        <v>6547.3720000000003</v>
      </c>
      <c r="J4" s="42" t="str">
        <f>+'[1](1)'!J4</f>
        <v>고액권</v>
      </c>
      <c r="K4" s="36">
        <v>75000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52183</v>
      </c>
      <c r="S4" s="41" t="s">
        <v>17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1000</v>
      </c>
      <c r="H5" s="94" t="str">
        <f>+C5</f>
        <v>법인전표</v>
      </c>
      <c r="I5" s="43"/>
      <c r="J5" s="42" t="str">
        <f>+'[1](1)'!J5</f>
        <v>천원권</v>
      </c>
      <c r="K5" s="44">
        <v>2000</v>
      </c>
      <c r="M5" s="38"/>
      <c r="N5" s="45" t="str">
        <f>+C4</f>
        <v>판매량</v>
      </c>
      <c r="O5" s="46">
        <f>SUM(D4+I4+D17+I17+D35+I35)</f>
        <v>17452.172000000002</v>
      </c>
      <c r="P5" s="47" t="str">
        <f>+E4</f>
        <v>고액권</v>
      </c>
      <c r="Q5" s="48">
        <f>SUM(F4+K4+F17+K17+F35+K35)</f>
        <v>395000</v>
      </c>
      <c r="R5" s="49">
        <v>13</v>
      </c>
      <c r="S5" s="41" t="s">
        <v>20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/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49">
        <v>2</v>
      </c>
      <c r="S6" s="41" t="s">
        <v>23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42.676000000000002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7296133</v>
      </c>
      <c r="H8" s="94" t="str">
        <f t="shared" si="2"/>
        <v>자가소비</v>
      </c>
      <c r="I8" s="50"/>
      <c r="J8" s="42" t="str">
        <f>+'[1](1)'!J8</f>
        <v>신용카드</v>
      </c>
      <c r="K8" s="44">
        <f>6754055+F8</f>
        <v>14050188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554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17857220</v>
      </c>
      <c r="R9" s="40"/>
    </row>
    <row r="10" spans="3:25" ht="16.5" customHeight="1">
      <c r="C10" s="42" t="s">
        <v>49</v>
      </c>
      <c r="D10" s="50"/>
      <c r="E10" s="42" t="str">
        <f>+'[1](1)'!E10</f>
        <v>OK케시백</v>
      </c>
      <c r="F10" s="44"/>
      <c r="H10" s="94" t="str">
        <f t="shared" si="2"/>
        <v>고객우대</v>
      </c>
      <c r="I10" s="50">
        <v>58.103999999999999</v>
      </c>
      <c r="J10" s="42" t="str">
        <f>+'[1](1)'!J10</f>
        <v>OK케시백</v>
      </c>
      <c r="K10" s="44">
        <v>2000</v>
      </c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-2033.6399999999999</v>
      </c>
      <c r="J11" s="56" t="str">
        <f>+'[1](1)'!J11</f>
        <v>모바일</v>
      </c>
      <c r="K11" s="44">
        <v>5000</v>
      </c>
      <c r="M11" s="38"/>
      <c r="N11" s="51" t="str">
        <f t="shared" si="3"/>
        <v>고객우대</v>
      </c>
      <c r="O11" s="54">
        <f>SUM(D10+I10+D23+I23+D41+I41)</f>
        <v>58.103999999999999</v>
      </c>
      <c r="P11" s="51" t="str">
        <f t="shared" si="4"/>
        <v>OK케시백</v>
      </c>
      <c r="Q11" s="53">
        <f>SUM(F10+K10+F23+K23+F41+K41)</f>
        <v>2000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>
        <v>47313</v>
      </c>
      <c r="M12" s="38"/>
      <c r="N12" s="51" t="str">
        <f t="shared" si="3"/>
        <v>-</v>
      </c>
      <c r="O12" s="52">
        <f>SUM(O11*-35)</f>
        <v>-2033.6399999999999</v>
      </c>
      <c r="P12" s="51" t="str">
        <f t="shared" si="4"/>
        <v>모바일</v>
      </c>
      <c r="Q12" s="53">
        <f>SUM(F11+K11+F24+K24+F42+K42)</f>
        <v>5000</v>
      </c>
      <c r="R12" s="40"/>
    </row>
    <row r="13" spans="3:25" ht="16.5" customHeight="1" thickBot="1">
      <c r="C13" s="59" t="s">
        <v>33</v>
      </c>
      <c r="D13" s="60">
        <f>SUM((D4-D5-D6-D7-D8-D9)*$I$1+D11)</f>
        <v>7496880.2239999995</v>
      </c>
      <c r="E13" s="29" t="str">
        <f>+'[1](1)'!E13</f>
        <v>합계</v>
      </c>
      <c r="F13" s="61">
        <f>SUM(F4:F12)</f>
        <v>7497133</v>
      </c>
      <c r="G13" s="62"/>
      <c r="H13" s="92" t="str">
        <f t="shared" si="2"/>
        <v>합계</v>
      </c>
      <c r="I13" s="60">
        <f>SUM((I4-I5-I6-I7-I8-I9)*$I$1+I11)</f>
        <v>6885801.7040000008</v>
      </c>
      <c r="J13" s="29" t="str">
        <f t="shared" ref="J13" si="5">+E13</f>
        <v>합계</v>
      </c>
      <c r="K13" s="61">
        <f>IF(K8=0,0,SUM(K4:K12)-F8)</f>
        <v>6885368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47313</v>
      </c>
      <c r="R13" s="40"/>
      <c r="Y13" s="66"/>
    </row>
    <row r="14" spans="3:25" ht="16.5" customHeight="1" thickBot="1">
      <c r="C14" s="37"/>
      <c r="F14" s="67">
        <f>SUM(F13-D13)</f>
        <v>252.77600000053644</v>
      </c>
      <c r="K14" s="67">
        <f>SUM(K13-I13)</f>
        <v>-433.70400000084192</v>
      </c>
      <c r="N14" s="39" t="str">
        <f t="shared" si="3"/>
        <v>합계</v>
      </c>
      <c r="O14" s="68">
        <f>SUM((O5-O6-O7-O8-O9-O10)*+$I$1+O12)</f>
        <v>18312756.152000003</v>
      </c>
      <c r="P14" s="39" t="str">
        <f t="shared" si="4"/>
        <v>합계</v>
      </c>
      <c r="Q14" s="69">
        <f>SUM(Q5:Q13)</f>
        <v>18312087</v>
      </c>
    </row>
    <row r="15" spans="3:25" ht="16.5" customHeight="1" thickBot="1">
      <c r="C15" s="27">
        <v>3</v>
      </c>
      <c r="H15" s="27">
        <v>4</v>
      </c>
      <c r="Q15" s="70">
        <f>SUM(F14+K14+F27+K27)</f>
        <v>-669.15200000023469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3778.4879999999998</v>
      </c>
      <c r="E17" s="34" t="str">
        <f>+E4</f>
        <v>고액권</v>
      </c>
      <c r="F17" s="36">
        <v>120000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2000</v>
      </c>
      <c r="H18" s="94" t="str">
        <f>+C5</f>
        <v>법인전표</v>
      </c>
      <c r="I18" s="43"/>
      <c r="J18" s="42" t="str">
        <f>+E5</f>
        <v>천원권</v>
      </c>
      <c r="K18" s="44"/>
      <c r="N18" s="127" t="s">
        <v>34</v>
      </c>
      <c r="O18" s="140"/>
      <c r="P18" s="115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42.676000000000002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1" t="s">
        <v>37</v>
      </c>
      <c r="O19" s="132"/>
      <c r="P19" s="116">
        <v>5</v>
      </c>
      <c r="Q19" s="48">
        <f>SUM(P19*1000)</f>
        <v>5000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44">
        <v>554</v>
      </c>
      <c r="G20" s="107"/>
      <c r="H20" s="108" t="str">
        <f t="shared" si="9"/>
        <v>효신(업)</v>
      </c>
      <c r="I20" s="109"/>
      <c r="J20" s="42" t="str">
        <f t="shared" si="10"/>
        <v>롯대칠성</v>
      </c>
      <c r="K20" s="44"/>
      <c r="N20" s="137" t="s">
        <v>38</v>
      </c>
      <c r="O20" s="138"/>
      <c r="P20" s="117">
        <v>78</v>
      </c>
      <c r="Q20" s="53">
        <f>SUM(P20*1000)</f>
        <v>78000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17857220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37" t="s">
        <v>57</v>
      </c>
      <c r="O21" s="138"/>
      <c r="P21" s="117">
        <v>2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39" t="s">
        <v>59</v>
      </c>
      <c r="O22" s="134"/>
      <c r="P22" s="117">
        <v>15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/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3" t="s">
        <v>61</v>
      </c>
      <c r="O23" s="134"/>
      <c r="P23" s="117">
        <v>11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3" t="s">
        <v>64</v>
      </c>
      <c r="O24" s="134"/>
      <c r="P24" s="117">
        <v>3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3"/>
      <c r="O25" s="134"/>
      <c r="P25" s="117"/>
      <c r="Q25" s="124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3930074.2239999999</v>
      </c>
      <c r="E26" s="29" t="str">
        <f t="shared" si="8"/>
        <v>합계</v>
      </c>
      <c r="F26" s="61">
        <f>IF(F21=0,0,SUM(F17:F25)-K8)</f>
        <v>3929586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3"/>
      <c r="O26" s="134"/>
      <c r="P26" s="72"/>
      <c r="Q26" s="112"/>
      <c r="R26" s="32"/>
      <c r="S26" s="32"/>
    </row>
    <row r="27" spans="3:19" ht="15.75" customHeight="1" thickBot="1">
      <c r="F27" s="67">
        <f>SUM(F26-D26)</f>
        <v>-488.22399999992922</v>
      </c>
      <c r="K27" s="67">
        <f>SUM(K26-I26)</f>
        <v>0</v>
      </c>
      <c r="N27" s="135" t="s">
        <v>39</v>
      </c>
      <c r="O27" s="136"/>
      <c r="P27" s="118">
        <f>+P28-SUM(P19:P26)</f>
        <v>-14</v>
      </c>
      <c r="Q27" s="73"/>
    </row>
    <row r="28" spans="3:19" ht="23.25" customHeight="1" thickBot="1">
      <c r="F28" s="67"/>
      <c r="K28" s="67"/>
      <c r="N28" s="127" t="s">
        <v>40</v>
      </c>
      <c r="O28" s="128"/>
      <c r="P28" s="119">
        <v>100</v>
      </c>
      <c r="Q28" s="69">
        <f>SUM(Q19:Q27)</f>
        <v>83000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0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1"/>
      <c r="O31" s="102">
        <v>16476</v>
      </c>
      <c r="P31" s="103">
        <v>16525</v>
      </c>
      <c r="Q31" s="104">
        <f>P31-O31</f>
        <v>49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1" sqref="F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2">
        <f>+ROUND(+O5*0.584/1000,3)</f>
        <v>12.334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10.804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108.04</v>
      </c>
      <c r="M3" s="18" t="s">
        <v>10</v>
      </c>
      <c r="N3" s="3"/>
      <c r="O3" s="3"/>
      <c r="P3" s="142" t="str">
        <f>+'(1)'!C1&amp;"년"&amp;'(1)'!E1&amp;"월"&amp;C1&amp;"일"</f>
        <v>2023년3월10일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11793.376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9326.0049999999992</v>
      </c>
      <c r="J4" s="42" t="str">
        <f>+'[1](1)'!J4</f>
        <v>고액권</v>
      </c>
      <c r="K4" s="36">
        <v>260000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26767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21119.381000000001</v>
      </c>
      <c r="P5" s="47" t="str">
        <f>+E4</f>
        <v>고액권</v>
      </c>
      <c r="Q5" s="48">
        <f>SUM(F4+K4+F17+K17+F35+K35)</f>
        <v>470000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319.09899999999999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319.09899999999999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11809320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21321974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21321974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158.53399999999999</v>
      </c>
      <c r="E10" s="42" t="str">
        <f>+'[1](1)'!E10</f>
        <v>OK케시백</v>
      </c>
      <c r="F10" s="44">
        <v>32730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-5548.69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10000</v>
      </c>
      <c r="L11" s="2"/>
      <c r="M11" s="20"/>
      <c r="N11" s="51" t="str">
        <f t="shared" si="3"/>
        <v>고객우대</v>
      </c>
      <c r="O11" s="54">
        <f>SUM(D10+I10+D23+I23+D41+I41)</f>
        <v>158.53399999999999</v>
      </c>
      <c r="P11" s="51" t="str">
        <f t="shared" si="4"/>
        <v>OK케시백</v>
      </c>
      <c r="Q11" s="53">
        <f>SUM(F10+K10+F23+K23+F41+K41)</f>
        <v>32730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23785</v>
      </c>
      <c r="L12" s="2"/>
      <c r="M12" s="20"/>
      <c r="N12" s="51" t="str">
        <f t="shared" si="3"/>
        <v>-</v>
      </c>
      <c r="O12" s="55">
        <f>SUM(O11*-35)</f>
        <v>-5548.69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12065390.714</v>
      </c>
      <c r="E13" s="29" t="str">
        <f>+'[1](1)'!E13</f>
        <v>합계</v>
      </c>
      <c r="F13" s="61">
        <f>SUM(F4:F12)</f>
        <v>12066050</v>
      </c>
      <c r="G13" s="62"/>
      <c r="H13" s="29" t="str">
        <f t="shared" si="2"/>
        <v>합계</v>
      </c>
      <c r="I13" s="60">
        <f>SUM((I4-I5-I6-I7-I8-I9)*$E$1+I11)</f>
        <v>9810957.2599999998</v>
      </c>
      <c r="J13" s="29" t="str">
        <f t="shared" ref="J13" si="5">+E13</f>
        <v>합계</v>
      </c>
      <c r="K13" s="61">
        <f>IF(K8=0,0,SUM(K4:K12)-F8)</f>
        <v>9809439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23785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659.28600000031292</v>
      </c>
      <c r="G14" s="27"/>
      <c r="H14" s="27"/>
      <c r="I14" s="27"/>
      <c r="J14" s="27"/>
      <c r="K14" s="67">
        <f>SUM(K13-I13)</f>
        <v>-1518.2599999997765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21876347.974000003</v>
      </c>
      <c r="P14" s="39" t="str">
        <f t="shared" si="4"/>
        <v>합계</v>
      </c>
      <c r="Q14" s="69">
        <f>SUM(Q5:Q13)</f>
        <v>21875489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-858.97399999946356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159</v>
      </c>
      <c r="Q20" s="53">
        <f>SUM(P20*1000)</f>
        <v>159000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12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-17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220</v>
      </c>
      <c r="Q28" s="69">
        <f>SUM(Q19:Q27)</f>
        <v>171000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17026</v>
      </c>
      <c r="P31" s="103">
        <v>17138</v>
      </c>
      <c r="Q31" s="104">
        <f>P31-O31</f>
        <v>112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2">
        <f>+ROUND(+O5*0.584/1000,3)</f>
        <v>9.9309999999999992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10.725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117.97499999999999</v>
      </c>
      <c r="M3" s="18" t="s">
        <v>10</v>
      </c>
      <c r="N3" s="3"/>
      <c r="O3" s="3"/>
      <c r="P3" s="142" t="str">
        <f>+'(1)'!C1&amp;"년"&amp;'(1)'!E1&amp;"월"&amp;C1&amp;"일"</f>
        <v>2023년3월11일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9100.3119999999999</v>
      </c>
      <c r="E4" s="34" t="str">
        <f>+'[1](1)'!E4</f>
        <v>고액권</v>
      </c>
      <c r="F4" s="36">
        <v>230000</v>
      </c>
      <c r="G4" s="27"/>
      <c r="H4" s="34" t="str">
        <f>+C4</f>
        <v>판매량</v>
      </c>
      <c r="I4" s="35">
        <v>7904.857</v>
      </c>
      <c r="J4" s="42" t="str">
        <f>+'[1](1)'!J4</f>
        <v>고액권</v>
      </c>
      <c r="K4" s="36">
        <v>340000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45667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17005.169000000002</v>
      </c>
      <c r="P5" s="47" t="str">
        <f>+E4</f>
        <v>고액권</v>
      </c>
      <c r="Q5" s="48">
        <f>SUM(F4+K4+F17+K17+F35+K35)</f>
        <v>570000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89.290999999999997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9000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89.290999999999997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9164598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7941566+F8</f>
        <v>17106164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17106164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102.59099999999999</v>
      </c>
      <c r="E10" s="42" t="str">
        <f>+'[1](1)'!E10</f>
        <v>OK케시백</v>
      </c>
      <c r="F10" s="44">
        <v>13400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24024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-3590.6849999999999</v>
      </c>
      <c r="E11" s="42" t="str">
        <f>+'[1](1)'!E11</f>
        <v>모바일</v>
      </c>
      <c r="F11" s="44">
        <v>64000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102.59099999999999</v>
      </c>
      <c r="P11" s="51" t="str">
        <f t="shared" si="4"/>
        <v>OK케시백</v>
      </c>
      <c r="Q11" s="53">
        <f>SUM(F10+K10+F23+K23+F41+K41)</f>
        <v>37424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-3590.6849999999999</v>
      </c>
      <c r="P12" s="51" t="str">
        <f t="shared" si="4"/>
        <v>모바일</v>
      </c>
      <c r="Q12" s="53">
        <f>SUM(F11+K11+F24+K24+F42+K42)</f>
        <v>69000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9476003.4069999997</v>
      </c>
      <c r="E13" s="29" t="str">
        <f>+'[1](1)'!E13</f>
        <v>합계</v>
      </c>
      <c r="F13" s="61">
        <f>SUM(F4:F12)</f>
        <v>9475998</v>
      </c>
      <c r="G13" s="62"/>
      <c r="H13" s="29" t="str">
        <f t="shared" si="2"/>
        <v>합계</v>
      </c>
      <c r="I13" s="60">
        <f>SUM((I4-I5-I6-I7-I8-I9)*$E$1+I11)</f>
        <v>8315909.5640000002</v>
      </c>
      <c r="J13" s="29" t="str">
        <f t="shared" ref="J13" si="5">+E13</f>
        <v>합계</v>
      </c>
      <c r="K13" s="61">
        <f>IF(K8=0,0,SUM(K4:K12)-F8)</f>
        <v>8315590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-5.4069999996572733</v>
      </c>
      <c r="G14" s="27"/>
      <c r="H14" s="27"/>
      <c r="I14" s="27"/>
      <c r="J14" s="27"/>
      <c r="K14" s="67">
        <f>SUM(K13-I13)</f>
        <v>-319.56400000024587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17791912.971000001</v>
      </c>
      <c r="P14" s="39" t="str">
        <f t="shared" si="4"/>
        <v>합계</v>
      </c>
      <c r="Q14" s="69">
        <f>SUM(Q5:Q13)</f>
        <v>17791588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-324.97099999990314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95</v>
      </c>
      <c r="Q20" s="53">
        <f>SUM(P20*1000)</f>
        <v>95000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-20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131</v>
      </c>
      <c r="Q28" s="69">
        <f>SUM(Q19:Q27)</f>
        <v>107000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17138</v>
      </c>
      <c r="P31" s="103">
        <v>17199</v>
      </c>
      <c r="Q31" s="104">
        <f>P31-O31</f>
        <v>61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2">
        <f>+ROUND(+O5*0.584/1000,3)</f>
        <v>6.8620000000000001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10.403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124.83600000000001</v>
      </c>
      <c r="M3" s="18" t="s">
        <v>10</v>
      </c>
      <c r="N3" s="3"/>
      <c r="O3" s="3"/>
      <c r="P3" s="142" t="str">
        <f>+'(1)'!C1&amp;"년"&amp;'(1)'!E1&amp;"월"&amp;C1&amp;"일"</f>
        <v>2023년3월12일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7262.4620000000004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4486.884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33751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11749.346000000001</v>
      </c>
      <c r="P5" s="47" t="str">
        <f>+E4</f>
        <v>고액권</v>
      </c>
      <c r="Q5" s="48">
        <f>SUM(F4+K4+F17+K17+F35+K35)</f>
        <v>375000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43.082999999999998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43.082999999999998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7303456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11805133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11805133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59.121000000000002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5951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-2069.2350000000001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30000</v>
      </c>
      <c r="L11" s="2"/>
      <c r="M11" s="20"/>
      <c r="N11" s="51" t="str">
        <f t="shared" si="3"/>
        <v>고객우대</v>
      </c>
      <c r="O11" s="54">
        <f>SUM(D10+I10+D23+I23+D41+I41)</f>
        <v>59.121000000000002</v>
      </c>
      <c r="P11" s="51" t="str">
        <f t="shared" si="4"/>
        <v>OK케시백</v>
      </c>
      <c r="Q11" s="53">
        <f>SUM(F10+K10+F23+K23+F41+K41)</f>
        <v>5951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71854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-2069.2350000000001</v>
      </c>
      <c r="P12" s="51" t="str">
        <f t="shared" si="4"/>
        <v>모바일</v>
      </c>
      <c r="Q12" s="53">
        <f>SUM(F11+K11+F24+K24+F42+K42)</f>
        <v>50000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7592717.4730000002</v>
      </c>
      <c r="E13" s="29" t="str">
        <f>+'[1](1)'!E13</f>
        <v>합계</v>
      </c>
      <c r="F13" s="61">
        <f>SUM(F4:F12)</f>
        <v>7591310</v>
      </c>
      <c r="G13" s="62"/>
      <c r="H13" s="29" t="str">
        <f t="shared" si="2"/>
        <v>합계</v>
      </c>
      <c r="I13" s="60">
        <f>SUM((I4-I5-I6-I7-I8-I9)*$E$1+I11)</f>
        <v>4720201.9680000003</v>
      </c>
      <c r="J13" s="29" t="str">
        <f t="shared" ref="J13" si="5">+E13</f>
        <v>합계</v>
      </c>
      <c r="K13" s="61">
        <f>IF(K8=0,0,SUM(K4:K12)-F8)</f>
        <v>4720628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71854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-1407.473000000231</v>
      </c>
      <c r="G14" s="27"/>
      <c r="H14" s="27"/>
      <c r="I14" s="27"/>
      <c r="J14" s="27"/>
      <c r="K14" s="67">
        <f>SUM(K13-I13)</f>
        <v>426.03199999965727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12312919.441000002</v>
      </c>
      <c r="P14" s="39" t="str">
        <f t="shared" si="4"/>
        <v>합계</v>
      </c>
      <c r="Q14" s="69">
        <f>SUM(Q5:Q13)</f>
        <v>12311938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-981.44100000057369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79</v>
      </c>
      <c r="Q20" s="53">
        <f>SUM(P20*1000)</f>
        <v>79000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125</v>
      </c>
      <c r="Q28" s="69">
        <f>SUM(Q19:Q27)</f>
        <v>95000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17199</v>
      </c>
      <c r="P31" s="103">
        <v>17238</v>
      </c>
      <c r="Q31" s="104">
        <f>P31-O31</f>
        <v>39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A6" sqref="A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2">
        <f>+ROUND(+O5*0.584/1000,3)</f>
        <v>11.194000000000001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10.464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136.03200000000001</v>
      </c>
      <c r="M3" s="18" t="s">
        <v>10</v>
      </c>
      <c r="N3" s="3"/>
      <c r="O3" s="3"/>
      <c r="P3" s="142" t="str">
        <f>+'(1)'!C1&amp;"년"&amp;'(1)'!E1&amp;"월"&amp;C1&amp;"일"</f>
        <v>2023년3월13일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11011.821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8156.5870000000004</v>
      </c>
      <c r="J4" s="42" t="str">
        <f>+'[1](1)'!J4</f>
        <v>고액권</v>
      </c>
      <c r="K4" s="36">
        <v>365000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50007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19168.407999999999</v>
      </c>
      <c r="P5" s="47" t="str">
        <f>+E4</f>
        <v>고액권</v>
      </c>
      <c r="Q5" s="48">
        <f>SUM(F4+K4+F17+K17+F35+K35)</f>
        <v>510000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282.64600000000002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23.081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532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305.72700000000003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11079294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19266779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532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19266779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411.137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-14389.795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411.137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43922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-14389.795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11272702.305</v>
      </c>
      <c r="E13" s="29" t="str">
        <f>+'[1](1)'!E13</f>
        <v>합계</v>
      </c>
      <c r="F13" s="61">
        <f>SUM(F4:F12)</f>
        <v>11275748</v>
      </c>
      <c r="G13" s="62"/>
      <c r="H13" s="29" t="str">
        <f t="shared" si="2"/>
        <v>합계</v>
      </c>
      <c r="I13" s="60">
        <f>SUM((I4-I5-I6-I7-I8-I9)*$E$1+I11)</f>
        <v>8556448.3120000008</v>
      </c>
      <c r="J13" s="29" t="str">
        <f t="shared" ref="J13" si="5">+E13</f>
        <v>합계</v>
      </c>
      <c r="K13" s="61">
        <f>IF(K8=0,0,SUM(K4:K12)-F8)</f>
        <v>8555485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43922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3045.695000000298</v>
      </c>
      <c r="G14" s="27"/>
      <c r="H14" s="27"/>
      <c r="I14" s="27"/>
      <c r="J14" s="27"/>
      <c r="K14" s="67">
        <f>SUM(K13-I13)</f>
        <v>-963.31200000084937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19829150.616999999</v>
      </c>
      <c r="P14" s="39" t="str">
        <f t="shared" si="4"/>
        <v>합계</v>
      </c>
      <c r="Q14" s="69">
        <f>SUM(Q5:Q13)</f>
        <v>19831233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2082.3829999994487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120</v>
      </c>
      <c r="Q20" s="53">
        <f>SUM(P20*1000)</f>
        <v>120000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15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199</v>
      </c>
      <c r="Q28" s="69">
        <f>SUM(Q19:Q27)</f>
        <v>140000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17238</v>
      </c>
      <c r="P31" s="103">
        <v>17320</v>
      </c>
      <c r="Q31" s="104">
        <f>P31-O31</f>
        <v>82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2">
        <f>+ROUND(+O5*0.584/1000,3)</f>
        <v>10.737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10.484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146.77600000000001</v>
      </c>
      <c r="M3" s="18" t="s">
        <v>10</v>
      </c>
      <c r="N3" s="3"/>
      <c r="O3" s="3"/>
      <c r="P3" s="142" t="str">
        <f>+'(1)'!C1&amp;"년"&amp;'(1)'!E1&amp;"월"&amp;C1&amp;"일"</f>
        <v>2023년3월14일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10443.048000000001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7942.1270000000004</v>
      </c>
      <c r="J4" s="42" t="str">
        <f>+'[1](1)'!J4</f>
        <v>고액권</v>
      </c>
      <c r="K4" s="36">
        <v>225000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31790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18385.175000000003</v>
      </c>
      <c r="P5" s="47" t="str">
        <f>+E4</f>
        <v>고액권</v>
      </c>
      <c r="Q5" s="48">
        <f>SUM(F4+K4+F17+K17+F35+K35)</f>
        <v>375000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307.34800000000001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30.027000000000001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337.375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10362184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18458928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18458928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277.52999999999997</v>
      </c>
      <c r="E10" s="42" t="str">
        <f>+'[1](1)'!E10</f>
        <v>OK케시백</v>
      </c>
      <c r="F10" s="44">
        <v>18000</v>
      </c>
      <c r="G10" s="27"/>
      <c r="H10" s="42" t="str">
        <f t="shared" si="2"/>
        <v>고객우대</v>
      </c>
      <c r="I10" s="50">
        <v>48.768000000000001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-9713.5499999999993</v>
      </c>
      <c r="E11" s="42" t="str">
        <f>+'[1](1)'!E11</f>
        <v>모바일</v>
      </c>
      <c r="F11" s="44">
        <v>65000</v>
      </c>
      <c r="G11" s="27"/>
      <c r="H11" s="83" t="str">
        <f t="shared" si="2"/>
        <v>-</v>
      </c>
      <c r="I11" s="55">
        <f>SUM(I10*-35)</f>
        <v>-1706.88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326.298</v>
      </c>
      <c r="P11" s="51" t="str">
        <f t="shared" si="4"/>
        <v>OK케시백</v>
      </c>
      <c r="Q11" s="53">
        <f>SUM(F10+K10+F23+K23+F41+K41)</f>
        <v>18000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56121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-11420.43</v>
      </c>
      <c r="P12" s="51" t="str">
        <f t="shared" si="4"/>
        <v>모바일</v>
      </c>
      <c r="Q12" s="53">
        <f>SUM(F11+K11+F24+K24+F42+K42)</f>
        <v>65000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10653042.85</v>
      </c>
      <c r="E13" s="29" t="str">
        <f>+'[1](1)'!E13</f>
        <v>합계</v>
      </c>
      <c r="F13" s="61">
        <f>SUM(F4:F12)</f>
        <v>10651305</v>
      </c>
      <c r="G13" s="62"/>
      <c r="H13" s="29" t="str">
        <f t="shared" si="2"/>
        <v>합계</v>
      </c>
      <c r="I13" s="60">
        <f>SUM((I4-I5-I6-I7-I8-I9)*$E$1+I11)</f>
        <v>8321822.3200000003</v>
      </c>
      <c r="J13" s="29" t="str">
        <f t="shared" ref="J13" si="5">+E13</f>
        <v>합계</v>
      </c>
      <c r="K13" s="61">
        <f>IF(K8=0,0,SUM(K4:K12)-F8)</f>
        <v>8321744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56121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-1737.8499999996275</v>
      </c>
      <c r="G14" s="27"/>
      <c r="H14" s="27"/>
      <c r="I14" s="27"/>
      <c r="J14" s="27"/>
      <c r="K14" s="67">
        <f>SUM(K13-I13)</f>
        <v>-78.320000000298023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18974865.170000002</v>
      </c>
      <c r="P14" s="39" t="str">
        <f t="shared" si="4"/>
        <v>합계</v>
      </c>
      <c r="Q14" s="69">
        <f>SUM(Q5:Q13)</f>
        <v>18973049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-1816.1699999999255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129</v>
      </c>
      <c r="Q20" s="53">
        <f>SUM(P20*1000)</f>
        <v>129000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15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-28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175</v>
      </c>
      <c r="Q28" s="69">
        <f>SUM(Q19:Q27)</f>
        <v>144000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17320</v>
      </c>
      <c r="P31" s="103">
        <v>17403</v>
      </c>
      <c r="Q31" s="104">
        <f>P31-O31</f>
        <v>83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11.294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10.538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158.07</v>
      </c>
      <c r="M3" s="18" t="s">
        <v>10</v>
      </c>
      <c r="N3" s="3"/>
      <c r="O3" s="3"/>
      <c r="P3" s="142" t="str">
        <f>+'(1)'!C1&amp;"년"&amp;'(1)'!E1&amp;"월"&amp;C1&amp;"일"</f>
        <v>2023년3월15일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10242.624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9096.9580000000005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47449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19339.582000000002</v>
      </c>
      <c r="P5" s="47" t="str">
        <f>+E4</f>
        <v>고액권</v>
      </c>
      <c r="Q5" s="48">
        <f>SUM(F4+K4+F17+K17+F35+K35)</f>
        <v>100000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195.751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195.751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65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10572755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20016707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20016707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339.35899999999998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50.509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-11877.564999999999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-1767.8150000000001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389.86799999999999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-13645.38</v>
      </c>
      <c r="P12" s="51" t="str">
        <f t="shared" si="4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10557432.831</v>
      </c>
      <c r="E13" s="29" t="str">
        <f>+'[1](1)'!E13</f>
        <v>합계</v>
      </c>
      <c r="F13" s="61">
        <f>SUM(F4:F12)</f>
        <v>10577755</v>
      </c>
      <c r="G13" s="62"/>
      <c r="H13" s="29" t="str">
        <f t="shared" si="2"/>
        <v>합계</v>
      </c>
      <c r="I13" s="60">
        <f>SUM((I4-I5-I6-I7-I8-I9)*$E$1+I11)</f>
        <v>9568232.0010000002</v>
      </c>
      <c r="J13" s="29" t="str">
        <f t="shared" ref="J13" si="5">+E13</f>
        <v>합계</v>
      </c>
      <c r="K13" s="61">
        <f>IF(K8=0,0,SUM(K4:K12)-F8)</f>
        <v>9547952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20322.168999999762</v>
      </c>
      <c r="G14" s="27"/>
      <c r="H14" s="27"/>
      <c r="I14" s="27"/>
      <c r="J14" s="27"/>
      <c r="K14" s="67">
        <f>SUM(K13-I13)</f>
        <v>-20280.001000000164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20125664.832000002</v>
      </c>
      <c r="P14" s="39" t="str">
        <f t="shared" si="4"/>
        <v>합계</v>
      </c>
      <c r="Q14" s="69">
        <f>SUM(Q5:Q13)</f>
        <v>20125707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42.167999999597669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79</v>
      </c>
      <c r="Q20" s="53">
        <f>SUM(P20*1000)</f>
        <v>79000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128</v>
      </c>
      <c r="Q28" s="69">
        <f>SUM(Q19:Q27)</f>
        <v>86000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17403</v>
      </c>
      <c r="P31" s="103">
        <v>17461</v>
      </c>
      <c r="Q31" s="104">
        <f>P31-O31</f>
        <v>58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11.682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10.61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169.76</v>
      </c>
      <c r="M3" s="18" t="s">
        <v>10</v>
      </c>
      <c r="N3" s="3"/>
      <c r="O3" s="3"/>
      <c r="P3" s="142" t="str">
        <f>+'(1)'!C1&amp;"년"&amp;'(1)'!E1&amp;"월"&amp;C1&amp;"일"</f>
        <v>2023년3월16일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11584.05</v>
      </c>
      <c r="E4" s="34" t="str">
        <f>+'[1](1)'!E4</f>
        <v>고액권</v>
      </c>
      <c r="F4" s="36">
        <v>315000</v>
      </c>
      <c r="G4" s="27"/>
      <c r="H4" s="34" t="str">
        <f>+C4</f>
        <v>판매량</v>
      </c>
      <c r="I4" s="35">
        <v>8419.6970000000001</v>
      </c>
      <c r="J4" s="42" t="str">
        <f>+'[1](1)'!J4</f>
        <v>고액권</v>
      </c>
      <c r="K4" s="36">
        <v>185000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27082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20003.746999999999</v>
      </c>
      <c r="P5" s="47" t="str">
        <f>+E4</f>
        <v>고액권</v>
      </c>
      <c r="Q5" s="48">
        <f>SUM(F4+K4+F17+K17+F35+K35)</f>
        <v>500000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301.16300000000001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22.716999999999999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323.88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f>11912578-392381</f>
        <v>11520197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20140063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20140063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217.858</v>
      </c>
      <c r="E10" s="42" t="str">
        <f>+'[1](1)'!E10</f>
        <v>OK케시백</v>
      </c>
      <c r="F10" s="44">
        <v>24803</v>
      </c>
      <c r="G10" s="27"/>
      <c r="H10" s="42" t="str">
        <f t="shared" si="2"/>
        <v>고객우대</v>
      </c>
      <c r="I10" s="50">
        <v>59.5</v>
      </c>
      <c r="J10" s="42" t="str">
        <f>+'[1](1)'!J10</f>
        <v>OK케시백</v>
      </c>
      <c r="K10" s="44">
        <v>12135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-7625.03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-2082.5</v>
      </c>
      <c r="J11" s="56" t="str">
        <f>+'[1](1)'!J11</f>
        <v>모바일</v>
      </c>
      <c r="K11" s="44">
        <v>10000</v>
      </c>
      <c r="L11" s="2"/>
      <c r="M11" s="20"/>
      <c r="N11" s="51" t="str">
        <f t="shared" si="3"/>
        <v>고객우대</v>
      </c>
      <c r="O11" s="54">
        <f>SUM(D10+I10+D23+I23+D41+I41)</f>
        <v>277.358</v>
      </c>
      <c r="P11" s="51" t="str">
        <f t="shared" si="4"/>
        <v>OK케시백</v>
      </c>
      <c r="Q11" s="53">
        <f>SUM(F10+K10+F23+K23+F41+K41)</f>
        <v>36938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-9707.5300000000007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11861972.093999999</v>
      </c>
      <c r="E13" s="29" t="str">
        <f>+'[1](1)'!E13</f>
        <v>합계</v>
      </c>
      <c r="F13" s="61">
        <f>SUM(F4:F12)</f>
        <v>11861000</v>
      </c>
      <c r="G13" s="62"/>
      <c r="H13" s="29" t="str">
        <f t="shared" si="2"/>
        <v>합계</v>
      </c>
      <c r="I13" s="60">
        <f>SUM((I4-I5-I6-I7-I8-I9)*$E$1+I11)</f>
        <v>8831540.459999999</v>
      </c>
      <c r="J13" s="29" t="str">
        <f t="shared" ref="J13" si="5">+E13</f>
        <v>합계</v>
      </c>
      <c r="K13" s="61">
        <f>IF(K8=0,0,SUM(K4:K12)-F8)</f>
        <v>8831001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-972.09399999864399</v>
      </c>
      <c r="G14" s="27"/>
      <c r="H14" s="27"/>
      <c r="I14" s="27"/>
      <c r="J14" s="27"/>
      <c r="K14" s="67">
        <f>SUM(K13-I13)</f>
        <v>-539.45999999903142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20693512.553999998</v>
      </c>
      <c r="P14" s="39" t="str">
        <f t="shared" si="4"/>
        <v>합계</v>
      </c>
      <c r="Q14" s="69">
        <f>SUM(Q5:Q13)</f>
        <v>20692001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-1511.5539999976754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112</v>
      </c>
      <c r="Q20" s="53">
        <f>SUM(P20*1000)</f>
        <v>112000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14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188</v>
      </c>
      <c r="Q28" s="69">
        <f>SUM(Q19:Q27)</f>
        <v>131000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17461</v>
      </c>
      <c r="P31" s="103">
        <v>17541</v>
      </c>
      <c r="Q31" s="104">
        <f>P31-O31</f>
        <v>80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8" sqref="K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11.978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10.69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181.73</v>
      </c>
      <c r="M3" s="18" t="s">
        <v>10</v>
      </c>
      <c r="N3" s="3"/>
      <c r="O3" s="3"/>
      <c r="P3" s="142" t="str">
        <f>+'(1)'!C1&amp;"년"&amp;'(1)'!E1&amp;"월"&amp;C1&amp;"일"</f>
        <v>2023년3월17일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11520.412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8989.2170000000006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43020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20509.629000000001</v>
      </c>
      <c r="P5" s="47" t="str">
        <f>+E4</f>
        <v>고액권</v>
      </c>
      <c r="Q5" s="48">
        <f>SUM(F4+K4+F17+K17+F35+K35)</f>
        <v>350000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366.88499999999999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366.88499999999999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11349139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20637981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20637981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370.83300000000003</v>
      </c>
      <c r="E10" s="42" t="str">
        <f>+'[1](1)'!E10</f>
        <v>OK케시백</v>
      </c>
      <c r="F10" s="44">
        <f>35000+18560+16425+2000+18000</f>
        <v>89985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-12979.155000000001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370.83300000000003</v>
      </c>
      <c r="P11" s="51" t="str">
        <f t="shared" si="4"/>
        <v>OK케시백</v>
      </c>
      <c r="Q11" s="53">
        <f>SUM(F10+K10+F23+K23+F41+K41)</f>
        <v>89985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64046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24616</v>
      </c>
      <c r="L12" s="2"/>
      <c r="M12" s="20"/>
      <c r="N12" s="51" t="str">
        <f t="shared" si="3"/>
        <v>-</v>
      </c>
      <c r="O12" s="55">
        <f>SUM(O11*-35)</f>
        <v>-12979.155000000001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11720531.249</v>
      </c>
      <c r="E13" s="29" t="str">
        <f>+'[1](1)'!E13</f>
        <v>합계</v>
      </c>
      <c r="F13" s="61">
        <f>SUM(F4:F12)</f>
        <v>11721170</v>
      </c>
      <c r="G13" s="62"/>
      <c r="H13" s="29" t="str">
        <f t="shared" si="2"/>
        <v>합계</v>
      </c>
      <c r="I13" s="60">
        <f>SUM((I4-I5-I6-I7-I8-I9)*$E$1+I11)</f>
        <v>9456656.284</v>
      </c>
      <c r="J13" s="29" t="str">
        <f t="shared" ref="J13" si="5">+E13</f>
        <v>합계</v>
      </c>
      <c r="K13" s="61">
        <f>IF(K8=0,0,SUM(K4:K12)-F8)</f>
        <v>9456458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88662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638.75100000016391</v>
      </c>
      <c r="G14" s="27"/>
      <c r="H14" s="27"/>
      <c r="I14" s="27"/>
      <c r="J14" s="27"/>
      <c r="K14" s="67">
        <f>SUM(K13-I13)</f>
        <v>-198.2839999999851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21177187.533</v>
      </c>
      <c r="P14" s="39" t="str">
        <f t="shared" si="4"/>
        <v>합계</v>
      </c>
      <c r="Q14" s="69">
        <f>SUM(Q5:Q13)</f>
        <v>21177628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440.46700000017881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141</v>
      </c>
      <c r="Q20" s="53">
        <f>SUM(P20*1000)</f>
        <v>141000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13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-32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169</v>
      </c>
      <c r="Q28" s="69">
        <f>SUM(Q19:Q27)</f>
        <v>152000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17541</v>
      </c>
      <c r="P31" s="103">
        <v>17636</v>
      </c>
      <c r="Q31" s="104">
        <f>P31-O31</f>
        <v>95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10.738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10.693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192.47399999999999</v>
      </c>
      <c r="M3" s="18" t="s">
        <v>10</v>
      </c>
      <c r="N3" s="3"/>
      <c r="O3" s="3"/>
      <c r="P3" s="142" t="str">
        <f>+'(1)'!C1&amp;"년"&amp;'(1)'!E1&amp;"월"&amp;C1&amp;"일"</f>
        <v>2023년3월18일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10017.009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8369.9629999999997</v>
      </c>
      <c r="J4" s="42" t="str">
        <f>+'[1](1)'!J4</f>
        <v>고액권</v>
      </c>
      <c r="K4" s="36">
        <v>220000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24181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18386.972000000002</v>
      </c>
      <c r="P5" s="47" t="str">
        <f>+E4</f>
        <v>고액권</v>
      </c>
      <c r="Q5" s="48">
        <f>SUM(F4+K4+F17+K17+F35+K35)</f>
        <v>330000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67.197999999999993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67.197999999999993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10350381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18936036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18936036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54.838000000000001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-1919.33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54.838000000000001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-1919.33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10465281.842</v>
      </c>
      <c r="E13" s="29" t="str">
        <f>+'[1](1)'!E13</f>
        <v>합계</v>
      </c>
      <c r="F13" s="61">
        <f>SUM(F4:F12)</f>
        <v>10465381</v>
      </c>
      <c r="G13" s="62"/>
      <c r="H13" s="29" t="str">
        <f t="shared" si="2"/>
        <v>합계</v>
      </c>
      <c r="I13" s="60">
        <f>SUM((I4-I5-I6-I7-I8-I9)*$E$1+I11)</f>
        <v>8805201.0759999994</v>
      </c>
      <c r="J13" s="29" t="str">
        <f t="shared" ref="J13" si="5">+E13</f>
        <v>합계</v>
      </c>
      <c r="K13" s="61">
        <f>IF(K8=0,0,SUM(K4:K12)-F8)</f>
        <v>8805655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99.157999999821186</v>
      </c>
      <c r="G14" s="27"/>
      <c r="H14" s="27"/>
      <c r="I14" s="27"/>
      <c r="J14" s="27"/>
      <c r="K14" s="67">
        <f>SUM(K13-I13)</f>
        <v>453.92400000058115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19270482.918000001</v>
      </c>
      <c r="P14" s="39" t="str">
        <f t="shared" si="4"/>
        <v>합계</v>
      </c>
      <c r="Q14" s="69">
        <f>SUM(Q5:Q13)</f>
        <v>19271036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553.08200000040233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135</v>
      </c>
      <c r="Q20" s="53">
        <v>135000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-26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170</v>
      </c>
      <c r="Q28" s="69">
        <f>SUM(Q19:Q27)</f>
        <v>147000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17636</v>
      </c>
      <c r="P31" s="103">
        <v>17731</v>
      </c>
      <c r="Q31" s="104">
        <f>P31-O31</f>
        <v>95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12" sqref="K1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6.6340000000000003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10.478999999999999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199.101</v>
      </c>
      <c r="M3" s="18" t="s">
        <v>10</v>
      </c>
      <c r="N3" s="3"/>
      <c r="O3" s="3"/>
      <c r="P3" s="142" t="str">
        <f>+'(1)'!C1&amp;"년"&amp;'(1)'!E1&amp;"월"&amp;C1&amp;"일"</f>
        <v>2023년3월19일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6562.8029999999999</v>
      </c>
      <c r="E4" s="34" t="str">
        <f>+'[1](1)'!E4</f>
        <v>고액권</v>
      </c>
      <c r="F4" s="36">
        <v>225000</v>
      </c>
      <c r="G4" s="27"/>
      <c r="H4" s="34" t="str">
        <f>+C4</f>
        <v>판매량</v>
      </c>
      <c r="I4" s="35">
        <v>4796.22</v>
      </c>
      <c r="J4" s="42" t="str">
        <f>+'[1](1)'!J4</f>
        <v>고액권</v>
      </c>
      <c r="K4" s="36">
        <v>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48758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11359.023000000001</v>
      </c>
      <c r="P5" s="47" t="str">
        <f>+E4</f>
        <v>고액권</v>
      </c>
      <c r="Q5" s="48">
        <f>SUM(F4+K4+F17+K17+F35+K35)</f>
        <v>305000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6681678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11572947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11572947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50.463000000000001</v>
      </c>
      <c r="J10" s="42" t="str">
        <f>+'[1](1)'!J10</f>
        <v>OK케시백</v>
      </c>
      <c r="K10" s="44">
        <v>21535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-1766.2049999999999</v>
      </c>
      <c r="J11" s="56" t="str">
        <f>+'[1](1)'!J11</f>
        <v>모바일</v>
      </c>
      <c r="K11" s="44">
        <v>50000</v>
      </c>
      <c r="L11" s="2"/>
      <c r="M11" s="20"/>
      <c r="N11" s="51" t="str">
        <f t="shared" si="3"/>
        <v>고객우대</v>
      </c>
      <c r="O11" s="54">
        <f>SUM(D10+I10+D23+I23+D41+I41)</f>
        <v>50.463000000000001</v>
      </c>
      <c r="P11" s="51" t="str">
        <f t="shared" si="4"/>
        <v>OK케시백</v>
      </c>
      <c r="Q11" s="53">
        <f>SUM(F10+K10+F23+K23+F41+K41)</f>
        <v>21535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-1766.2049999999999</v>
      </c>
      <c r="P12" s="51" t="str">
        <f t="shared" si="4"/>
        <v>모바일</v>
      </c>
      <c r="Q12" s="53">
        <f>SUM(F11+K11+F24+K24+F42+K42)</f>
        <v>50000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6904068.7560000001</v>
      </c>
      <c r="E13" s="29" t="str">
        <f>+'[1](1)'!E13</f>
        <v>합계</v>
      </c>
      <c r="F13" s="61">
        <f>SUM(F4:F12)</f>
        <v>6907678</v>
      </c>
      <c r="G13" s="62"/>
      <c r="H13" s="29" t="str">
        <f t="shared" si="2"/>
        <v>합계</v>
      </c>
      <c r="I13" s="60">
        <f>SUM((I4-I5-I6-I7-I8-I9)*$E$1+I11)</f>
        <v>5043857.2350000003</v>
      </c>
      <c r="J13" s="29" t="str">
        <f t="shared" ref="J13" si="5">+E13</f>
        <v>합계</v>
      </c>
      <c r="K13" s="61">
        <f>IF(K8=0,0,SUM(K4:K12)-F8)</f>
        <v>5043804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3609.2439999999478</v>
      </c>
      <c r="G14" s="27"/>
      <c r="H14" s="27"/>
      <c r="I14" s="27"/>
      <c r="J14" s="27"/>
      <c r="K14" s="67">
        <f>SUM(K13-I13)</f>
        <v>-53.235000000335276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11947925.991</v>
      </c>
      <c r="P14" s="39" t="str">
        <f t="shared" si="4"/>
        <v>합계</v>
      </c>
      <c r="Q14" s="69">
        <f>SUM(Q5:Q13)</f>
        <v>11951482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3556.0089999996126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11</v>
      </c>
      <c r="Q19" s="48"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109</v>
      </c>
      <c r="Q20" s="53">
        <v>109000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13</v>
      </c>
      <c r="Q22" s="53"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13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-22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133</v>
      </c>
      <c r="Q28" s="69">
        <f>SUM(Q19:Q27)</f>
        <v>120000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17731</v>
      </c>
      <c r="P31" s="103">
        <v>17803</v>
      </c>
      <c r="Q31" s="104">
        <f>P31-O31</f>
        <v>72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1052</v>
      </c>
      <c r="F1" s="27"/>
      <c r="G1" s="27"/>
      <c r="H1" s="27"/>
      <c r="I1" s="27"/>
      <c r="J1" s="27"/>
      <c r="K1" s="27"/>
      <c r="L1" s="31">
        <f>+ROUND(+O5*0.584/1000,3)</f>
        <v>11.493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10.843</v>
      </c>
      <c r="M2" s="27" t="s">
        <v>7</v>
      </c>
      <c r="N2" s="130" t="s">
        <v>42</v>
      </c>
      <c r="O2" s="130"/>
      <c r="P2" s="130"/>
      <c r="Q2" s="130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21.686</v>
      </c>
      <c r="M3" s="27" t="s">
        <v>10</v>
      </c>
      <c r="N3" s="32"/>
      <c r="O3" s="32"/>
      <c r="P3" s="129" t="str">
        <f>+'(1)'!C1&amp;"년"&amp;'(1)'!E1&amp;"월"&amp;C1&amp;"일"</f>
        <v>2023년3월2일</v>
      </c>
      <c r="Q3" s="129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11727.53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7951.7839999999997</v>
      </c>
      <c r="J4" s="42" t="str">
        <f>+'[1](1)'!J4</f>
        <v>고액권</v>
      </c>
      <c r="K4" s="36">
        <v>320000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32768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37"/>
      <c r="M5" s="82"/>
      <c r="N5" s="45" t="str">
        <f>+C4</f>
        <v>판매량</v>
      </c>
      <c r="O5" s="46">
        <f>SUM(D4+I4+D17+I17+D35+I35)</f>
        <v>19679.313999999998</v>
      </c>
      <c r="P5" s="47" t="str">
        <f>+E4</f>
        <v>고액권</v>
      </c>
      <c r="Q5" s="48">
        <f>SUM(F4+K4+F17+K17+F35+K35)</f>
        <v>470000</v>
      </c>
      <c r="R5" s="49">
        <v>14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388.29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49">
        <v>2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388.29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11711795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19744714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19744714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270.80399999999997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6398</v>
      </c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-9478.14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4000</v>
      </c>
      <c r="L11" s="37"/>
      <c r="M11" s="82"/>
      <c r="N11" s="51" t="str">
        <f t="shared" si="3"/>
        <v>고객우대</v>
      </c>
      <c r="O11" s="54">
        <f>SUM(D10+I10+D23+I23+D41+I41)</f>
        <v>270.80399999999997</v>
      </c>
      <c r="P11" s="51" t="str">
        <f t="shared" si="4"/>
        <v>OK케시백</v>
      </c>
      <c r="Q11" s="53">
        <f>SUM(F10+K10+F23+K23+F41+K41)</f>
        <v>6398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45135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-9478.14</v>
      </c>
      <c r="P12" s="51" t="str">
        <f t="shared" si="4"/>
        <v>모바일</v>
      </c>
      <c r="Q12" s="53">
        <f>SUM(F11+K11+F24+K24+F42+K42)</f>
        <v>14000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11919402.34</v>
      </c>
      <c r="E13" s="29" t="str">
        <f>+'[1](1)'!E13</f>
        <v>합계</v>
      </c>
      <c r="F13" s="61">
        <f>SUM(F4:F12)</f>
        <v>11917930</v>
      </c>
      <c r="G13" s="62"/>
      <c r="H13" s="29" t="str">
        <f t="shared" si="2"/>
        <v>합계</v>
      </c>
      <c r="I13" s="60">
        <f>SUM((I4-I5-I6-I7-I8-I9)*$E$1+I11)</f>
        <v>8365276.7679999992</v>
      </c>
      <c r="J13" s="29" t="str">
        <f t="shared" ref="J13" si="5">+E13</f>
        <v>합계</v>
      </c>
      <c r="K13" s="61">
        <f>IF(K8=0,0,SUM(K4:K12)-F8)</f>
        <v>8365317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45135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-1472.339999999851</v>
      </c>
      <c r="G14" s="27"/>
      <c r="H14" s="27"/>
      <c r="I14" s="27"/>
      <c r="J14" s="27"/>
      <c r="K14" s="67">
        <f>SUM(K13-I13)</f>
        <v>40.23200000077486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20284679.107999995</v>
      </c>
      <c r="P14" s="39" t="str">
        <f t="shared" si="4"/>
        <v>합계</v>
      </c>
      <c r="Q14" s="69">
        <f>SUM(Q5:Q13)</f>
        <v>20283247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-1432.1079999990761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16</v>
      </c>
      <c r="Q19" s="48">
        <f>SUM(P19*1000)</f>
        <v>16000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102</v>
      </c>
      <c r="Q20" s="53">
        <f>SUM(P20*1000)</f>
        <v>102000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11</v>
      </c>
      <c r="Q21" s="53">
        <v>0</v>
      </c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21</v>
      </c>
      <c r="Q22" s="53">
        <v>0</v>
      </c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11</v>
      </c>
      <c r="Q23" s="53">
        <v>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12</v>
      </c>
      <c r="Q24" s="53">
        <v>0</v>
      </c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1"/>
      <c r="Q25" s="12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3"/>
      <c r="O26" s="134"/>
      <c r="P26" s="123"/>
      <c r="Q26" s="114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-9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27" t="s">
        <v>40</v>
      </c>
      <c r="O28" s="128"/>
      <c r="P28" s="119">
        <v>164</v>
      </c>
      <c r="Q28" s="69">
        <f>SUM(Q19:Q27)</f>
        <v>118000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0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1"/>
      <c r="O31" s="103">
        <v>16525</v>
      </c>
      <c r="P31" s="103">
        <v>16594</v>
      </c>
      <c r="Q31" s="104">
        <f>P31-O31</f>
        <v>69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B1" sqref="B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10.744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10.492000000000001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209.84000000000003</v>
      </c>
      <c r="M3" s="18" t="s">
        <v>10</v>
      </c>
      <c r="N3" s="3"/>
      <c r="O3" s="3"/>
      <c r="P3" s="142" t="str">
        <f>+'(1)'!C1&amp;"년"&amp;'(1)'!E1&amp;"월"&amp;C1&amp;"일"</f>
        <v>2023년3월20일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11017.231</v>
      </c>
      <c r="E4" s="34" t="str">
        <f>+'[1](1)'!E4</f>
        <v>고액권</v>
      </c>
      <c r="F4" s="36">
        <v>310000</v>
      </c>
      <c r="G4" s="27"/>
      <c r="H4" s="34" t="str">
        <f>+C4</f>
        <v>판매량</v>
      </c>
      <c r="I4" s="35">
        <v>7380.7049999999999</v>
      </c>
      <c r="J4" s="42" t="str">
        <f>+'[1](1)'!J4</f>
        <v>고액권</v>
      </c>
      <c r="K4" s="36">
        <v>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30153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18397.936000000002</v>
      </c>
      <c r="P5" s="47" t="str">
        <f>+E4</f>
        <v>고액권</v>
      </c>
      <c r="Q5" s="48">
        <f>SUM(F4+K4+F17+K17+F35+K35)</f>
        <v>360000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212.011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87.488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299.49900000000002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11028902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18614291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>
        <v>30000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18614291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235.714</v>
      </c>
      <c r="E10" s="42" t="str">
        <f>+'[1](1)'!E10</f>
        <v>OK케시백</v>
      </c>
      <c r="F10" s="44">
        <v>15000</v>
      </c>
      <c r="G10" s="27"/>
      <c r="H10" s="42" t="str">
        <f t="shared" si="2"/>
        <v>고객우대</v>
      </c>
      <c r="I10" s="50">
        <v>92.778999999999996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30000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-8249.99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-3247.2649999999999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328.49299999999999</v>
      </c>
      <c r="P11" s="51" t="str">
        <f t="shared" si="4"/>
        <v>OK케시백</v>
      </c>
      <c r="Q11" s="53">
        <f>SUM(F10+K10+F23+K23+F41+K41)</f>
        <v>15000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-11497.254999999999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11358841.449999999</v>
      </c>
      <c r="E13" s="29" t="str">
        <f>+'[1](1)'!E13</f>
        <v>합계</v>
      </c>
      <c r="F13" s="61">
        <f>SUM(F4:F12)</f>
        <v>11357902</v>
      </c>
      <c r="G13" s="62"/>
      <c r="H13" s="29" t="str">
        <f t="shared" si="2"/>
        <v>합계</v>
      </c>
      <c r="I13" s="60">
        <f>SUM((I4-I5-I6-I7-I8-I9)*$E$1+I11)</f>
        <v>7669217.0190000003</v>
      </c>
      <c r="J13" s="29" t="str">
        <f t="shared" ref="J13" si="5">+E13</f>
        <v>합계</v>
      </c>
      <c r="K13" s="61">
        <f>IF(K8=0,0,SUM(K4:K12)-F8)</f>
        <v>7669389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-939.44999999925494</v>
      </c>
      <c r="G14" s="27"/>
      <c r="H14" s="27"/>
      <c r="I14" s="27"/>
      <c r="J14" s="27"/>
      <c r="K14" s="67">
        <f>SUM(K13-I13)</f>
        <v>171.98099999967963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19028058.469000004</v>
      </c>
      <c r="P14" s="39" t="str">
        <f t="shared" si="4"/>
        <v>합계</v>
      </c>
      <c r="Q14" s="69">
        <f>SUM(Q5:Q13)</f>
        <v>19027291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-767.46899999957532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78</v>
      </c>
      <c r="Q20" s="53">
        <f>SUM(P20*1000)</f>
        <v>78000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17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170</v>
      </c>
      <c r="Q28" s="69">
        <f>SUM(Q19:Q27)</f>
        <v>100000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17803</v>
      </c>
      <c r="P31" s="103">
        <v>17859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10.829000000000001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10.507999999999999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220.66799999999998</v>
      </c>
      <c r="M3" s="18" t="s">
        <v>10</v>
      </c>
      <c r="N3" s="3"/>
      <c r="O3" s="3"/>
      <c r="P3" s="142" t="str">
        <f>+'(1)'!C1&amp;"년"&amp;'(1)'!E1&amp;"월"&amp;C1&amp;"일"</f>
        <v>2023년3월21일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10207.262000000001</v>
      </c>
      <c r="E4" s="34" t="str">
        <f>+'[1](1)'!E4</f>
        <v>고액권</v>
      </c>
      <c r="F4" s="36">
        <v>240000</v>
      </c>
      <c r="G4" s="27"/>
      <c r="H4" s="34" t="str">
        <f>+C4</f>
        <v>판매량</v>
      </c>
      <c r="I4" s="35">
        <v>8335.1869999999999</v>
      </c>
      <c r="J4" s="42" t="str">
        <f>+'[1](1)'!J4</f>
        <v>고액권</v>
      </c>
      <c r="K4" s="36">
        <v>190000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47553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18542.449000000001</v>
      </c>
      <c r="P5" s="47" t="str">
        <f>+E4</f>
        <v>고액권</v>
      </c>
      <c r="Q5" s="48">
        <f>SUM(F4+K4+F17+K17+F35+K35)</f>
        <v>430000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257.88499999999999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39.372999999999998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297.25799999999998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10163204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18672963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18672963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282.916</v>
      </c>
      <c r="E10" s="42" t="str">
        <f>+'[1](1)'!E10</f>
        <v>OK케시백</v>
      </c>
      <c r="F10" s="44">
        <v>13000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-9902.06</v>
      </c>
      <c r="E11" s="42" t="str">
        <f>+'[1](1)'!E11</f>
        <v>모바일</v>
      </c>
      <c r="F11" s="44">
        <v>35000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282.916</v>
      </c>
      <c r="P11" s="51" t="str">
        <f t="shared" si="4"/>
        <v>OK케시백</v>
      </c>
      <c r="Q11" s="53">
        <f>SUM(F10+K10+F23+K23+F41+K41)</f>
        <v>13000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24005</v>
      </c>
      <c r="L12" s="2"/>
      <c r="M12" s="20"/>
      <c r="N12" s="51" t="str">
        <f t="shared" si="3"/>
        <v>-</v>
      </c>
      <c r="O12" s="55">
        <f>SUM(O11*-35)</f>
        <v>-9902.06</v>
      </c>
      <c r="P12" s="51" t="str">
        <f t="shared" si="4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10456842.544</v>
      </c>
      <c r="E13" s="29" t="str">
        <f>+'[1](1)'!E13</f>
        <v>합계</v>
      </c>
      <c r="F13" s="61">
        <f>SUM(F4:F12)</f>
        <v>10455204</v>
      </c>
      <c r="G13" s="62"/>
      <c r="H13" s="29" t="str">
        <f t="shared" si="2"/>
        <v>합계</v>
      </c>
      <c r="I13" s="60">
        <f>SUM((I4-I5-I6-I7-I8-I9)*$E$1+I11)</f>
        <v>8727196.3279999997</v>
      </c>
      <c r="J13" s="29" t="str">
        <f t="shared" ref="J13" si="5">+E13</f>
        <v>합계</v>
      </c>
      <c r="K13" s="61">
        <f>IF(K8=0,0,SUM(K4:K12)-F8)</f>
        <v>8727764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24005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-1638.5439999997616</v>
      </c>
      <c r="G14" s="27"/>
      <c r="H14" s="27"/>
      <c r="I14" s="27"/>
      <c r="J14" s="27"/>
      <c r="K14" s="67">
        <f>SUM(K13-I13)</f>
        <v>567.67200000025332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19184038.872000001</v>
      </c>
      <c r="P14" s="39" t="str">
        <f t="shared" si="4"/>
        <v>합계</v>
      </c>
      <c r="Q14" s="69">
        <f>SUM(Q5:Q13)</f>
        <v>19182968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-1070.8719999995083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114</v>
      </c>
      <c r="Q20" s="53">
        <f>SUM(P20*1000)</f>
        <v>114000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12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-32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153</v>
      </c>
      <c r="Q28" s="69">
        <f>SUM(Q19:Q27)</f>
        <v>128000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17859</v>
      </c>
      <c r="P31" s="103">
        <v>17930</v>
      </c>
      <c r="Q31" s="104">
        <f>P31-O31</f>
        <v>71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10.502000000000001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10.507999999999999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231.17599999999999</v>
      </c>
      <c r="M3" s="18" t="s">
        <v>10</v>
      </c>
      <c r="N3" s="3"/>
      <c r="O3" s="3"/>
      <c r="P3" s="142" t="str">
        <f>+'(1)'!C1&amp;"년"&amp;'(1)'!E1&amp;"월"&amp;C1&amp;"일"</f>
        <v>2023년3월22일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9401.7919999999995</v>
      </c>
      <c r="E4" s="34" t="str">
        <f>+'[1](1)'!E4</f>
        <v>고액권</v>
      </c>
      <c r="F4" s="36">
        <v>230000</v>
      </c>
      <c r="G4" s="27"/>
      <c r="H4" s="34" t="str">
        <f>+C4</f>
        <v>판매량</v>
      </c>
      <c r="I4" s="35">
        <v>8581.5820000000003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29012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17983.374</v>
      </c>
      <c r="P5" s="47" t="str">
        <f>+E4</f>
        <v>고액권</v>
      </c>
      <c r="Q5" s="48">
        <f>SUM(F4+K4+F17+K17+F35+K35)</f>
        <v>380000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222.36799999999999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36.527000000000001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258.89499999999998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45.36</v>
      </c>
      <c r="E8" s="42" t="str">
        <f>+'[1](1)'!E8</f>
        <v>신용카드</v>
      </c>
      <c r="F8" s="44">
        <v>9366308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18191530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45.36</v>
      </c>
      <c r="P9" s="51" t="str">
        <f t="shared" si="4"/>
        <v>신용카드</v>
      </c>
      <c r="Q9" s="53">
        <f>IF(K8=0,F8,IF(F21=0,K8,IF(K21=0,F21,K21)))</f>
        <v>18191530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265.55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-9294.25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9000</v>
      </c>
      <c r="L11" s="2"/>
      <c r="M11" s="20"/>
      <c r="N11" s="51" t="str">
        <f t="shared" si="3"/>
        <v>고객우대</v>
      </c>
      <c r="O11" s="54">
        <f>SUM(D10+I10+D23+I23+D41+I41)</f>
        <v>265.55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-9294.25</v>
      </c>
      <c r="P12" s="51" t="str">
        <f t="shared" si="4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9599741.0779999979</v>
      </c>
      <c r="E13" s="29" t="str">
        <f>+'[1](1)'!E13</f>
        <v>합계</v>
      </c>
      <c r="F13" s="61">
        <f>SUM(F4:F12)</f>
        <v>9599308</v>
      </c>
      <c r="G13" s="62"/>
      <c r="H13" s="29" t="str">
        <f t="shared" si="2"/>
        <v>합계</v>
      </c>
      <c r="I13" s="60">
        <f>SUM((I4-I5-I6-I7-I8-I9)*$E$1+I11)</f>
        <v>8989397.8599999994</v>
      </c>
      <c r="J13" s="29" t="str">
        <f t="shared" ref="J13" si="5">+E13</f>
        <v>합계</v>
      </c>
      <c r="K13" s="61">
        <f>IF(K8=0,0,SUM(K4:K12)-F8)</f>
        <v>8989222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-433.07799999788404</v>
      </c>
      <c r="G14" s="27"/>
      <c r="H14" s="27"/>
      <c r="I14" s="27"/>
      <c r="J14" s="27"/>
      <c r="K14" s="67">
        <f>SUM(K13-I13)</f>
        <v>-175.85999999940395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18589138.937999997</v>
      </c>
      <c r="P14" s="39" t="str">
        <f t="shared" si="4"/>
        <v>합계</v>
      </c>
      <c r="Q14" s="69">
        <f>SUM(Q5:Q13)</f>
        <v>18588530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-608.93799999728799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85</v>
      </c>
      <c r="Q20" s="53">
        <f>SUM(P20*1000)</f>
        <v>85000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-21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125</v>
      </c>
      <c r="Q28" s="69">
        <f>SUM(Q19:Q27)</f>
        <v>95000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17930</v>
      </c>
      <c r="P31" s="103">
        <v>17977</v>
      </c>
      <c r="Q31" s="104">
        <f>P31-O31</f>
        <v>47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Q24" sqref="Q2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11.516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10.552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242.696</v>
      </c>
      <c r="M3" s="18" t="s">
        <v>10</v>
      </c>
      <c r="N3" s="3"/>
      <c r="O3" s="3"/>
      <c r="P3" s="142" t="str">
        <f>+'(1)'!C1&amp;"년"&amp;'(1)'!E1&amp;"월"&amp;C1&amp;"일"</f>
        <v>2023년3월23일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11108.498</v>
      </c>
      <c r="E4" s="34" t="str">
        <f>+'[1](1)'!E4</f>
        <v>고액권</v>
      </c>
      <c r="F4" s="36">
        <v>225000</v>
      </c>
      <c r="G4" s="27"/>
      <c r="H4" s="34" t="str">
        <f>+C4</f>
        <v>판매량</v>
      </c>
      <c r="I4" s="35">
        <v>8610.8829999999998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45460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19719.381000000001</v>
      </c>
      <c r="P5" s="47" t="str">
        <f>+E4</f>
        <v>고액권</v>
      </c>
      <c r="Q5" s="48">
        <f>SUM(F4+K4+F17+K17+F35+K35)</f>
        <v>420000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258.73599999999999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41.281999999999996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300.01799999999997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11084709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19903236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20000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19903236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261.416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58.502000000000002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20000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-9149.56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-2047.5700000000002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319.91800000000001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51413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-11197.130000000001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11404800.063999997</v>
      </c>
      <c r="E13" s="29" t="str">
        <f>+'[1](1)'!E13</f>
        <v>합계</v>
      </c>
      <c r="F13" s="61">
        <f>SUM(F4:F12)</f>
        <v>11404122</v>
      </c>
      <c r="G13" s="62"/>
      <c r="H13" s="29" t="str">
        <f t="shared" si="2"/>
        <v>합계</v>
      </c>
      <c r="I13" s="60">
        <f>SUM((I4-I5-I6-I7-I8-I9)*$E$1+I11)</f>
        <v>9013172.682</v>
      </c>
      <c r="J13" s="29" t="str">
        <f t="shared" ref="J13" si="5">+E13</f>
        <v>합계</v>
      </c>
      <c r="K13" s="61">
        <f>IF(K8=0,0,SUM(K4:K12)-F8)</f>
        <v>9013527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51413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-678.0639999974519</v>
      </c>
      <c r="G14" s="27"/>
      <c r="H14" s="27"/>
      <c r="I14" s="27"/>
      <c r="J14" s="27"/>
      <c r="K14" s="67">
        <f>SUM(K13-I13)</f>
        <v>354.3179999999702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20417972.746000003</v>
      </c>
      <c r="P14" s="39" t="str">
        <f t="shared" si="4"/>
        <v>합계</v>
      </c>
      <c r="Q14" s="69">
        <f>SUM(Q5:Q13)</f>
        <v>20417649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-323.7459999974817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123</v>
      </c>
      <c r="Q20" s="53">
        <f>SUM(P20*1000)</f>
        <v>123000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32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18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-17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206</v>
      </c>
      <c r="Q28" s="69">
        <f>SUM(Q19:Q27)</f>
        <v>140000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17977</v>
      </c>
      <c r="P31" s="103">
        <v>18049</v>
      </c>
      <c r="Q31" s="104">
        <f>P31-O31</f>
        <v>72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11.97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10.611000000000001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254.66400000000002</v>
      </c>
      <c r="M3" s="18" t="s">
        <v>10</v>
      </c>
      <c r="N3" s="3"/>
      <c r="O3" s="3"/>
      <c r="P3" s="142" t="str">
        <f>+'(1)'!C1&amp;"년"&amp;'(1)'!E1&amp;"월"&amp;C1&amp;"일"</f>
        <v>2023년3월24일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10634.763999999999</v>
      </c>
      <c r="E4" s="34" t="str">
        <f>+'[1](1)'!E4</f>
        <v>고액권</v>
      </c>
      <c r="F4" s="36">
        <v>250000</v>
      </c>
      <c r="G4" s="27"/>
      <c r="H4" s="34" t="str">
        <f>+C4</f>
        <v>판매량</v>
      </c>
      <c r="I4" s="35">
        <v>9862.5</v>
      </c>
      <c r="J4" s="42" t="str">
        <f>+'[1](1)'!J4</f>
        <v>고액권</v>
      </c>
      <c r="K4" s="36">
        <v>240000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24315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8000</v>
      </c>
      <c r="L5" s="2"/>
      <c r="M5" s="20"/>
      <c r="N5" s="45" t="str">
        <f>+C4</f>
        <v>판매량</v>
      </c>
      <c r="O5" s="46">
        <f>SUM(D4+I4+D17+I17+D35+I35)</f>
        <v>20497.263999999999</v>
      </c>
      <c r="P5" s="47" t="str">
        <f>+E4</f>
        <v>고액권</v>
      </c>
      <c r="Q5" s="48">
        <f>SUM(F4+K4+F17+K17+F35+K35)</f>
        <v>490000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359.62099999999998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359.62099999999998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10519849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20643546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20643546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394.60599999999999</v>
      </c>
      <c r="E10" s="42" t="str">
        <f>+'[1](1)'!E10</f>
        <v>OK케시백</v>
      </c>
      <c r="F10" s="44">
        <v>9823</v>
      </c>
      <c r="G10" s="27"/>
      <c r="H10" s="42" t="str">
        <f t="shared" si="2"/>
        <v>고객우대</v>
      </c>
      <c r="I10" s="50">
        <v>92.05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-13811.21</v>
      </c>
      <c r="E11" s="42" t="str">
        <f>+'[1](1)'!E11</f>
        <v>모바일</v>
      </c>
      <c r="F11" s="44">
        <v>15000</v>
      </c>
      <c r="G11" s="27"/>
      <c r="H11" s="83" t="str">
        <f t="shared" si="2"/>
        <v>-</v>
      </c>
      <c r="I11" s="55">
        <f>SUM(I10*-35)</f>
        <v>-3221.75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486.65600000000001</v>
      </c>
      <c r="P11" s="51" t="str">
        <f t="shared" si="4"/>
        <v>OK케시백</v>
      </c>
      <c r="Q11" s="53">
        <f>SUM(F10+K10+F23+K23+F41+K41)</f>
        <v>9823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-17032.96</v>
      </c>
      <c r="P12" s="51" t="str">
        <f t="shared" si="4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10795639.226</v>
      </c>
      <c r="E13" s="29" t="str">
        <f>+'[1](1)'!E13</f>
        <v>합계</v>
      </c>
      <c r="F13" s="61">
        <f>SUM(F4:F12)</f>
        <v>10796672</v>
      </c>
      <c r="G13" s="62"/>
      <c r="H13" s="29" t="str">
        <f t="shared" si="2"/>
        <v>합계</v>
      </c>
      <c r="I13" s="60">
        <f>SUM((I4-I5-I6-I7-I8-I9)*$E$1+I11)</f>
        <v>10372128.25</v>
      </c>
      <c r="J13" s="29" t="str">
        <f t="shared" ref="J13" si="5">+E13</f>
        <v>합계</v>
      </c>
      <c r="K13" s="61">
        <f>IF(K8=0,0,SUM(K4:K12)-F8)</f>
        <v>10371697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1032.7740000002086</v>
      </c>
      <c r="G14" s="27"/>
      <c r="H14" s="27"/>
      <c r="I14" s="27"/>
      <c r="J14" s="27"/>
      <c r="K14" s="67">
        <f>SUM(K13-I13)</f>
        <v>-431.25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21167767.476</v>
      </c>
      <c r="P14" s="39" t="str">
        <f t="shared" si="4"/>
        <v>합계</v>
      </c>
      <c r="Q14" s="69">
        <f>SUM(Q5:Q13)</f>
        <v>21168369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601.52400000020862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113</v>
      </c>
      <c r="Q20" s="53">
        <f>SUM(P20*1000)</f>
        <v>113000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-24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140</v>
      </c>
      <c r="Q28" s="69">
        <f>SUM(Q19:Q27)</f>
        <v>121000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18049</v>
      </c>
      <c r="P31" s="103">
        <v>18118</v>
      </c>
      <c r="Q31" s="104">
        <f>P31-O31</f>
        <v>69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1" workbookViewId="0">
      <selection activeCell="R16" sqref="R1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10.206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10.595000000000001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264.875</v>
      </c>
      <c r="M3" s="18" t="s">
        <v>10</v>
      </c>
      <c r="N3" s="3"/>
      <c r="O3" s="3"/>
      <c r="P3" s="142" t="str">
        <f>+'(1)'!C1&amp;"년"&amp;'(1)'!E1&amp;"월"&amp;C1&amp;"일"</f>
        <v>2023년3월25일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8718.6110000000008</v>
      </c>
      <c r="E4" s="34" t="str">
        <f>+'[1](1)'!E4</f>
        <v>고액권</v>
      </c>
      <c r="F4" s="36">
        <v>298000</v>
      </c>
      <c r="G4" s="27"/>
      <c r="H4" s="34" t="str">
        <f>+C4</f>
        <v>판매량</v>
      </c>
      <c r="I4" s="35">
        <v>8757.5120000000006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43342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17476.123</v>
      </c>
      <c r="P5" s="47" t="str">
        <f>+E4</f>
        <v>고액권</v>
      </c>
      <c r="Q5" s="48">
        <f>SUM(F4+K4+F17+K17+F35+K35)</f>
        <v>493000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14.888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14.888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8841958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17855976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17855976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126.208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-4417.28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126.208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-4417.28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9151899.3160000015</v>
      </c>
      <c r="E13" s="29" t="str">
        <f>+'[1](1)'!E13</f>
        <v>합계</v>
      </c>
      <c r="F13" s="61">
        <f>SUM(F4:F12)</f>
        <v>9151958</v>
      </c>
      <c r="G13" s="62"/>
      <c r="H13" s="29" t="str">
        <f t="shared" si="2"/>
        <v>합계</v>
      </c>
      <c r="I13" s="60">
        <f>SUM((I4-I5-I6-I7-I8-I9)*$E$1+I11)</f>
        <v>9212902.6239999998</v>
      </c>
      <c r="J13" s="29" t="str">
        <f t="shared" ref="J13" si="5">+E13</f>
        <v>합계</v>
      </c>
      <c r="K13" s="61">
        <f>IF(K8=0,0,SUM(K4:K12)-F8)</f>
        <v>9213018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58.683999998494983</v>
      </c>
      <c r="G14" s="27"/>
      <c r="H14" s="27"/>
      <c r="I14" s="27"/>
      <c r="J14" s="27"/>
      <c r="K14" s="67">
        <f>SUM(K13-I13)</f>
        <v>115.37600000016391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18364801.939999998</v>
      </c>
      <c r="P14" s="39" t="str">
        <f t="shared" si="4"/>
        <v>합계</v>
      </c>
      <c r="Q14" s="69">
        <f>SUM(Q5:Q13)</f>
        <v>18364976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174.0599999986589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126</v>
      </c>
      <c r="Q20" s="53">
        <f>SUM(P20*1000)</f>
        <v>126000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-20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180</v>
      </c>
      <c r="Q28" s="69">
        <f>SUM(Q19:Q27)</f>
        <v>146000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18118</v>
      </c>
      <c r="P31" s="103">
        <v>18212</v>
      </c>
      <c r="Q31" s="104">
        <f>P31-O31</f>
        <v>94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29" sqref="P2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6.7880000000000003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10.449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271.67399999999998</v>
      </c>
      <c r="M3" s="18" t="s">
        <v>10</v>
      </c>
      <c r="N3" s="3"/>
      <c r="O3" s="3"/>
      <c r="P3" s="142" t="str">
        <f>+'(1)'!C1&amp;"년"&amp;'(1)'!E1&amp;"월"&amp;C1&amp;"일"</f>
        <v>2023년3월26일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6409.8509999999997</v>
      </c>
      <c r="E4" s="34" t="str">
        <f>+'[1](1)'!E4</f>
        <v>고액권</v>
      </c>
      <c r="F4" s="36">
        <v>141000</v>
      </c>
      <c r="G4" s="27"/>
      <c r="H4" s="34" t="str">
        <f>+C4</f>
        <v>판매량</v>
      </c>
      <c r="I4" s="35">
        <v>5213.3710000000001</v>
      </c>
      <c r="J4" s="42" t="str">
        <f>+'[1](1)'!J4</f>
        <v>고액권</v>
      </c>
      <c r="K4" s="36">
        <v>55000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31313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11623.222</v>
      </c>
      <c r="P5" s="47" t="str">
        <f>+E4</f>
        <v>고액권</v>
      </c>
      <c r="Q5" s="48">
        <f>SUM(F4+K4+F17+K17+F35+K35)</f>
        <v>196000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>
        <v>45811</v>
      </c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45811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6524490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11942487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11942487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7817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4000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24000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11817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29000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6743163.2519999994</v>
      </c>
      <c r="E13" s="29" t="str">
        <f>+'[1](1)'!E13</f>
        <v>합계</v>
      </c>
      <c r="F13" s="61">
        <f>SUM(F4:F12)</f>
        <v>6743118</v>
      </c>
      <c r="G13" s="62"/>
      <c r="H13" s="29" t="str">
        <f t="shared" si="2"/>
        <v>합계</v>
      </c>
      <c r="I13" s="60">
        <f>SUM((I4-I5-I6-I7-I8-I9)*$E$1+I11)</f>
        <v>5484466.2920000004</v>
      </c>
      <c r="J13" s="29" t="str">
        <f t="shared" ref="J13" si="5">+E13</f>
        <v>합계</v>
      </c>
      <c r="K13" s="61">
        <f>IF(K8=0,0,SUM(K4:K12)-F8)</f>
        <v>5483997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-45.251999999396503</v>
      </c>
      <c r="G14" s="27"/>
      <c r="H14" s="27"/>
      <c r="I14" s="27"/>
      <c r="J14" s="27"/>
      <c r="K14" s="67">
        <f>SUM(K13-I13)</f>
        <v>-469.29200000036508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12227629.544</v>
      </c>
      <c r="P14" s="39" t="str">
        <f t="shared" si="4"/>
        <v>합계</v>
      </c>
      <c r="Q14" s="69">
        <f>SUM(Q5:Q13)</f>
        <v>12227115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-514.54399999976158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/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47</v>
      </c>
      <c r="Q28" s="69">
        <f>SUM(Q19:Q27)</f>
        <v>45000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18212</v>
      </c>
      <c r="P31" s="103">
        <v>18228</v>
      </c>
      <c r="Q31" s="104">
        <f>P31-O31</f>
        <v>16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10.442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10.449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282.12299999999999</v>
      </c>
      <c r="M3" s="18" t="s">
        <v>10</v>
      </c>
      <c r="N3" s="3"/>
      <c r="O3" s="3"/>
      <c r="P3" s="142" t="str">
        <f>+'(1)'!C1&amp;"년"&amp;'(1)'!E1&amp;"월"&amp;C1&amp;"일"</f>
        <v>2023년3월27일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9306.18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8574.0069999999996</v>
      </c>
      <c r="J4" s="42" t="str">
        <f>+'[1](1)'!J4</f>
        <v>고액권</v>
      </c>
      <c r="K4" s="36">
        <v>220000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48973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17880.186999999998</v>
      </c>
      <c r="P5" s="47" t="str">
        <f>+E4</f>
        <v>고액권</v>
      </c>
      <c r="Q5" s="48">
        <f>SUM(F4+K4+F17+K17+F35+K35)</f>
        <v>315000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274.64400000000001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274.64400000000001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9399320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18193854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18193854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93.921999999999997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51.905999999999999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-3287.27</v>
      </c>
      <c r="E11" s="42" t="str">
        <f>+'[1](1)'!E11</f>
        <v>모바일</v>
      </c>
      <c r="F11" s="44">
        <v>2700</v>
      </c>
      <c r="G11" s="27"/>
      <c r="H11" s="83" t="str">
        <f t="shared" si="2"/>
        <v>-</v>
      </c>
      <c r="I11" s="55">
        <f>SUM(I10*-35)</f>
        <v>-1816.71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145.828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-5103.9800000000005</v>
      </c>
      <c r="P12" s="51" t="str">
        <f t="shared" si="4"/>
        <v>모바일</v>
      </c>
      <c r="Q12" s="53">
        <f>SUM(F11+K11+F24+K24+F42+K42)</f>
        <v>2700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9497888.602</v>
      </c>
      <c r="E13" s="29" t="str">
        <f>+'[1](1)'!E13</f>
        <v>합계</v>
      </c>
      <c r="F13" s="61">
        <f>SUM(F4:F12)</f>
        <v>9499020</v>
      </c>
      <c r="G13" s="62"/>
      <c r="H13" s="29" t="str">
        <f t="shared" si="2"/>
        <v>합계</v>
      </c>
      <c r="I13" s="60">
        <f>SUM((I4-I5-I6-I7-I8-I9)*$E$1+I11)</f>
        <v>9018038.6539999992</v>
      </c>
      <c r="J13" s="29" t="str">
        <f t="shared" ref="J13" si="5">+E13</f>
        <v>합계</v>
      </c>
      <c r="K13" s="61">
        <f>IF(K8=0,0,SUM(K4:K12)-F8)</f>
        <v>9018534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1131.3980000000447</v>
      </c>
      <c r="G14" s="27"/>
      <c r="H14" s="27"/>
      <c r="I14" s="27"/>
      <c r="J14" s="27"/>
      <c r="K14" s="67">
        <f>SUM(K13-I13)</f>
        <v>495.34600000083447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18515927.255999997</v>
      </c>
      <c r="P14" s="39" t="str">
        <f t="shared" si="4"/>
        <v>합계</v>
      </c>
      <c r="Q14" s="69">
        <f>SUM(Q5:Q13)</f>
        <v>18517554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1626.7440000008792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/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68</v>
      </c>
      <c r="Q20" s="53">
        <f>SUM(P20*1000)</f>
        <v>68000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138</v>
      </c>
      <c r="Q28" s="69">
        <f>SUM(Q19:Q27)</f>
        <v>82000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18228</v>
      </c>
      <c r="P31" s="103">
        <v>18279</v>
      </c>
      <c r="Q31" s="104">
        <f>P31-O31</f>
        <v>51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8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10.762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10.46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292.88</v>
      </c>
      <c r="M3" s="18" t="s">
        <v>10</v>
      </c>
      <c r="N3" s="3"/>
      <c r="O3" s="3"/>
      <c r="P3" s="142" t="str">
        <f>+'(1)'!C1&amp;"년"&amp;'(1)'!E1&amp;"월"&amp;C1&amp;"일"</f>
        <v>2023년3월28일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10450.406000000001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7977.5640000000003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30495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7000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18427.97</v>
      </c>
      <c r="P5" s="47" t="str">
        <f>+E4</f>
        <v>고액권</v>
      </c>
      <c r="Q5" s="48">
        <f>SUM(F4+K4+F17+K17+F35+K35)</f>
        <v>260000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279.97199999999998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279.97199999999998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10515037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18802279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18802279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173.453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44.430999999999997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-6070.8550000000005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-1555.0849999999998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217.88400000000001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-7625.9400000000005</v>
      </c>
      <c r="P12" s="51" t="str">
        <f t="shared" si="4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10693225.713000001</v>
      </c>
      <c r="E13" s="29" t="str">
        <f>+'[1](1)'!E13</f>
        <v>합계</v>
      </c>
      <c r="F13" s="61">
        <f>SUM(F4:F12)</f>
        <v>10692037</v>
      </c>
      <c r="G13" s="62"/>
      <c r="H13" s="29" t="str">
        <f t="shared" si="2"/>
        <v>합계</v>
      </c>
      <c r="I13" s="60">
        <f>SUM((I4-I5-I6-I7-I8-I9)*$E$1+I11)</f>
        <v>8390842.2429999989</v>
      </c>
      <c r="J13" s="29" t="str">
        <f t="shared" ref="J13" si="5">+E13</f>
        <v>합계</v>
      </c>
      <c r="K13" s="61">
        <f>IF(K8=0,0,SUM(K4:K12)-F8)</f>
        <v>8391242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-1188.7130000013858</v>
      </c>
      <c r="G14" s="27"/>
      <c r="H14" s="27"/>
      <c r="I14" s="27"/>
      <c r="J14" s="27"/>
      <c r="K14" s="67">
        <f>SUM(K13-I13)</f>
        <v>399.75700000114739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19084067.955999997</v>
      </c>
      <c r="P14" s="39" t="str">
        <f t="shared" si="4"/>
        <v>합계</v>
      </c>
      <c r="Q14" s="69">
        <f>SUM(Q5:Q13)</f>
        <v>19083279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-788.95600000023842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/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112</v>
      </c>
      <c r="Q20" s="53">
        <f>SUM(P20*1000)</f>
        <v>112000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169</v>
      </c>
      <c r="Q28" s="69">
        <f>SUM(Q19:Q27)</f>
        <v>124000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18279</v>
      </c>
      <c r="P31" s="103">
        <v>18357</v>
      </c>
      <c r="Q31" s="104">
        <f>P31-O31</f>
        <v>78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11.986000000000001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10.513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304.87700000000001</v>
      </c>
      <c r="M3" s="18" t="s">
        <v>10</v>
      </c>
      <c r="N3" s="3"/>
      <c r="O3" s="3"/>
      <c r="P3" s="142" t="str">
        <f>+'(1)'!C1&amp;"년"&amp;'(1)'!E1&amp;"월"&amp;C1&amp;"일"</f>
        <v>2023년3월29일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11769.406999999999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8755.01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45274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20524.417000000001</v>
      </c>
      <c r="P5" s="47" t="str">
        <f>+E4</f>
        <v>고액권</v>
      </c>
      <c r="Q5" s="48">
        <f>SUM(F4+K4+F17+K17+F35+K35)</f>
        <v>270000</v>
      </c>
      <c r="R5" s="7">
        <v>2.2999999999999998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294.16899999999998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39.088999999999999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16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544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333.25799999999998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11843605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20808775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544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20000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20808775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342.88</v>
      </c>
      <c r="E10" s="42" t="str">
        <f>+'[1](1)'!E10</f>
        <v>OK케시백</v>
      </c>
      <c r="F10" s="44">
        <v>24000</v>
      </c>
      <c r="G10" s="27"/>
      <c r="H10" s="42" t="str">
        <f t="shared" si="2"/>
        <v>고객우대</v>
      </c>
      <c r="I10" s="50">
        <v>46.344000000000001</v>
      </c>
      <c r="J10" s="42" t="str">
        <f>+'[1](1)'!J10</f>
        <v>OK케시백</v>
      </c>
      <c r="K10" s="44">
        <v>18000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20000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-12000.8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-1622.04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389.22399999999999</v>
      </c>
      <c r="P11" s="51" t="str">
        <f t="shared" si="4"/>
        <v>OK케시백</v>
      </c>
      <c r="Q11" s="53">
        <f>SUM(F10+K10+F23+K23+F41+K41)</f>
        <v>42000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57641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-13622.84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12059949.575999999</v>
      </c>
      <c r="E13" s="29" t="str">
        <f>+'[1](1)'!E13</f>
        <v>합계</v>
      </c>
      <c r="F13" s="61">
        <f>SUM(F4:F12)</f>
        <v>12062790</v>
      </c>
      <c r="G13" s="62"/>
      <c r="H13" s="29" t="str">
        <f t="shared" si="2"/>
        <v>합계</v>
      </c>
      <c r="I13" s="60">
        <f>SUM((I4-I5-I6-I7-I8-I9)*$E$1+I11)</f>
        <v>9167526.8520000018</v>
      </c>
      <c r="J13" s="29" t="str">
        <f t="shared" ref="J13" si="5">+E13</f>
        <v>합계</v>
      </c>
      <c r="K13" s="61">
        <f>IF(K8=0,0,SUM(K4:K12)-F8)</f>
        <v>9159170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57641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2840.4240000005811</v>
      </c>
      <c r="G14" s="27"/>
      <c r="H14" s="27"/>
      <c r="I14" s="27"/>
      <c r="J14" s="27"/>
      <c r="K14" s="67">
        <f>SUM(K13-I13)</f>
        <v>-8356.8520000018179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21227476.427999999</v>
      </c>
      <c r="P14" s="39" t="str">
        <f t="shared" si="4"/>
        <v>합계</v>
      </c>
      <c r="Q14" s="69">
        <f>SUM(Q5:Q13)</f>
        <v>21221960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-5516.4280000012368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/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133</v>
      </c>
      <c r="Q20" s="53">
        <f>SUM(P20*1000)</f>
        <v>133000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206</v>
      </c>
      <c r="Q28" s="69">
        <f>SUM(Q19:Q27)</f>
        <v>149000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18357</v>
      </c>
      <c r="P31" s="103">
        <v>18456</v>
      </c>
      <c r="Q31" s="104">
        <f>P31-O31</f>
        <v>99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Q8" sqref="Q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1">
        <f>+ROUND(+O5*0.584/1000,3)</f>
        <v>11.797000000000001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11.161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33.482999999999997</v>
      </c>
      <c r="M3" s="18" t="s">
        <v>10</v>
      </c>
      <c r="N3" s="3"/>
      <c r="O3" s="3"/>
      <c r="P3" s="142" t="str">
        <f>+'(1)'!C1&amp;"년"&amp;'(1)'!E1&amp;"월"&amp;C1&amp;"일"</f>
        <v>2023년3월3일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11019.567999999999</v>
      </c>
      <c r="E4" s="34" t="str">
        <f>+'[1](1)'!E4</f>
        <v>고액권</v>
      </c>
      <c r="F4" s="36">
        <v>255000</v>
      </c>
      <c r="G4" s="27"/>
      <c r="H4" s="34" t="str">
        <f>+C4</f>
        <v>판매량</v>
      </c>
      <c r="I4" s="35">
        <v>9180.8880000000008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48133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20200.455999999998</v>
      </c>
      <c r="P5" s="47" t="str">
        <f>+E4</f>
        <v>고액권</v>
      </c>
      <c r="Q5" s="48">
        <f>SUM(F4+K4+F17+K17+F35+K35)</f>
        <v>465000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253.42099999999999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18.818999999999999</v>
      </c>
      <c r="J6" s="105" t="str">
        <f>+'[1](1)'!J6</f>
        <v>블루/레드포인트</v>
      </c>
      <c r="K6" s="44">
        <v>19106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272.24</v>
      </c>
      <c r="P7" s="106" t="str">
        <f t="shared" ref="P7:P14" si="4">+E6</f>
        <v>블루/레드포인트</v>
      </c>
      <c r="Q7" s="53">
        <f>SUM(F6+K6+F19+K19+F37+K37)</f>
        <v>19106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11058460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20452833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20452833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106.562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163.262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-3729.67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v>-5714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269.82400000000001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-9443.84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11322256.973999999</v>
      </c>
      <c r="E13" s="29" t="str">
        <f>+'[1](1)'!E13</f>
        <v>합계</v>
      </c>
      <c r="F13" s="61">
        <f>SUM(F4:F12)</f>
        <v>11322460</v>
      </c>
      <c r="G13" s="62"/>
      <c r="H13" s="29" t="str">
        <f t="shared" si="2"/>
        <v>합계</v>
      </c>
      <c r="I13" s="60">
        <f>SUM((I4-I5-I6-I7-I8-I9)*$E$1+I11)</f>
        <v>9632782.5880000014</v>
      </c>
      <c r="J13" s="29" t="str">
        <f t="shared" ref="J13" si="5">+E13</f>
        <v>합계</v>
      </c>
      <c r="K13" s="61">
        <f>IF(K8=0,0,SUM(K4:K12)-F8)</f>
        <v>9631479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203.02600000053644</v>
      </c>
      <c r="G14" s="27"/>
      <c r="H14" s="27"/>
      <c r="I14" s="27"/>
      <c r="J14" s="27"/>
      <c r="K14" s="67">
        <f>SUM(K13-I13)</f>
        <v>-1303.5880000013858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20955039.391999997</v>
      </c>
      <c r="P14" s="39" t="str">
        <f t="shared" si="4"/>
        <v>합계</v>
      </c>
      <c r="Q14" s="69">
        <f>SUM(Q5:Q13)</f>
        <v>20953939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-1100.5620000008494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93</v>
      </c>
      <c r="Q20" s="53">
        <f>SUM(P20*1000)</f>
        <v>93000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24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15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163</v>
      </c>
      <c r="Q28" s="69">
        <f>SUM(Q19:Q27)</f>
        <v>104000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16594</v>
      </c>
      <c r="P31" s="103">
        <v>16660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11.385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10.542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316.26</v>
      </c>
      <c r="M3" s="18" t="s">
        <v>10</v>
      </c>
      <c r="N3" s="3"/>
      <c r="O3" s="3"/>
      <c r="P3" s="142" t="str">
        <f>+'(1)'!C1&amp;"년"&amp;'(1)'!E1&amp;"월"&amp;C1&amp;"일"</f>
        <v>2023년3월30일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10519.31</v>
      </c>
      <c r="E4" s="34" t="str">
        <f>+'[1](1)'!E4</f>
        <v>고액권</v>
      </c>
      <c r="F4" s="36">
        <v>480000</v>
      </c>
      <c r="G4" s="27"/>
      <c r="H4" s="34" t="str">
        <f>+C4</f>
        <v>판매량</v>
      </c>
      <c r="I4" s="35">
        <v>8976.3040000000001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25596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19495.614000000001</v>
      </c>
      <c r="P5" s="47" t="str">
        <f>+E4</f>
        <v>고액권</v>
      </c>
      <c r="Q5" s="48">
        <f>SUM(F4+K4+F17+K17+F35+K35)</f>
        <v>675000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250.00200000000001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26.370999999999999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498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276.37299999999999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10278644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19492338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498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19492338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194.202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3000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-6797.07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194.202</v>
      </c>
      <c r="P11" s="51" t="str">
        <f t="shared" si="4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33665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-6797.07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10796514.945999999</v>
      </c>
      <c r="E13" s="29" t="str">
        <f>+'[1](1)'!E13</f>
        <v>합계</v>
      </c>
      <c r="F13" s="61">
        <f>SUM(F4:F12)</f>
        <v>10795807</v>
      </c>
      <c r="G13" s="62"/>
      <c r="H13" s="29" t="str">
        <f t="shared" si="2"/>
        <v>합계</v>
      </c>
      <c r="I13" s="60">
        <f>SUM((I4-I5-I6-I7-I8-I9)*$E$1+I11)</f>
        <v>9415329.5160000008</v>
      </c>
      <c r="J13" s="29" t="str">
        <f t="shared" ref="J13" si="5">+E13</f>
        <v>합계</v>
      </c>
      <c r="K13" s="61">
        <f>IF(K8=0,0,SUM(K4:K12)-F8)</f>
        <v>9415694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33665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-707.94599999859929</v>
      </c>
      <c r="G14" s="27"/>
      <c r="H14" s="27"/>
      <c r="I14" s="27"/>
      <c r="J14" s="27"/>
      <c r="K14" s="67">
        <f>SUM(K13-I13)</f>
        <v>364.48399999924004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20211844.462000001</v>
      </c>
      <c r="P14" s="39" t="str">
        <f t="shared" si="4"/>
        <v>합계</v>
      </c>
      <c r="Q14" s="69">
        <f>SUM(Q5:Q13)</f>
        <v>20211501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-343.46199999935925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/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94</v>
      </c>
      <c r="Q20" s="53">
        <f>SUM(P20*1000)</f>
        <v>94000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161</v>
      </c>
      <c r="Q28" s="69">
        <f>SUM(Q19:Q27)</f>
        <v>112000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18456</v>
      </c>
      <c r="P31" s="103">
        <v>18528</v>
      </c>
      <c r="Q31" s="104">
        <f>P31-O31</f>
        <v>72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1052</v>
      </c>
      <c r="F1" s="1"/>
      <c r="G1" s="1"/>
      <c r="H1" s="1"/>
      <c r="I1" s="1"/>
      <c r="J1" s="1"/>
      <c r="K1" s="1"/>
      <c r="L1" s="22">
        <f>+ROUND(+O5*0.584/1000,3)</f>
        <v>7.1769999999999996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10.433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323.423</v>
      </c>
      <c r="M3" s="18" t="s">
        <v>10</v>
      </c>
      <c r="N3" s="3"/>
      <c r="O3" s="3"/>
      <c r="P3" s="142" t="str">
        <f>+'(1)'!C1&amp;"년"&amp;'(1)'!E1&amp;"월"&amp;C1&amp;"일"</f>
        <v>2023년3월31일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11047.342000000001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1241.1869999999999</v>
      </c>
      <c r="J4" s="42" t="str">
        <f>+'[1](1)'!J4</f>
        <v>고액권</v>
      </c>
      <c r="K4" s="36">
        <v>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48875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12288.529</v>
      </c>
      <c r="P5" s="47" t="str">
        <f>+E4</f>
        <v>고액권</v>
      </c>
      <c r="Q5" s="48">
        <f>SUM(F4+K4+F17+K17+F35+K35)</f>
        <v>220000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337.55500000000001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532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>
        <v>0</v>
      </c>
      <c r="L7" s="2"/>
      <c r="M7" s="20"/>
      <c r="N7" s="51" t="str">
        <f t="shared" ref="N7:N14" si="3">+C6</f>
        <v>외상전표</v>
      </c>
      <c r="O7" s="54">
        <f>SUM(D6+I6+D19+I19+D37+I37)</f>
        <v>337.55500000000001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11027070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12322783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532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12322783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260.47699999999998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-9116.6949999999997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0</v>
      </c>
      <c r="L11" s="2"/>
      <c r="M11" s="20"/>
      <c r="N11" s="51" t="str">
        <f t="shared" si="3"/>
        <v>고객우대</v>
      </c>
      <c r="O11" s="54">
        <f>SUM(D10+I10+D23+I23+D41+I41)</f>
        <v>260.47699999999998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-9116.6949999999997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11257579.229</v>
      </c>
      <c r="E13" s="29" t="str">
        <f>+'[1](1)'!E13</f>
        <v>합계</v>
      </c>
      <c r="F13" s="61">
        <f>SUM(F4:F12)</f>
        <v>11257602</v>
      </c>
      <c r="G13" s="62"/>
      <c r="H13" s="29" t="str">
        <f t="shared" si="2"/>
        <v>합계</v>
      </c>
      <c r="I13" s="60">
        <f>SUM((I4-I5-I6-I7-I8-I9)*$E$1+I11)</f>
        <v>1305728.7239999999</v>
      </c>
      <c r="J13" s="29" t="str">
        <f t="shared" ref="J13" si="5">+E13</f>
        <v>합계</v>
      </c>
      <c r="K13" s="61">
        <f>IF(K8=0,0,SUM(K4:K12)-F8)</f>
        <v>1305713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22.770999999716878</v>
      </c>
      <c r="G14" s="27"/>
      <c r="H14" s="27"/>
      <c r="I14" s="27"/>
      <c r="J14" s="27"/>
      <c r="K14" s="67">
        <f>SUM(K13-I13)</f>
        <v>-15.723999999929219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12563307.953</v>
      </c>
      <c r="P14" s="39" t="str">
        <f t="shared" si="4"/>
        <v>합계</v>
      </c>
      <c r="Q14" s="69">
        <f>SUM(Q5:Q13)</f>
        <v>12563315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7.0469999997876585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/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109</v>
      </c>
      <c r="Q20" s="53">
        <f>SUM(P20*1000)</f>
        <v>109000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175</v>
      </c>
      <c r="Q28" s="69">
        <f>SUM(Q19:Q27)</f>
        <v>120000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18528</v>
      </c>
      <c r="P31" s="103">
        <v>18617</v>
      </c>
      <c r="Q31" s="104">
        <f>P31-O31</f>
        <v>89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1">
        <f>+ROUND(+O5*0.584/1000,3)</f>
        <v>10.834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11.079000000000001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44.316000000000003</v>
      </c>
      <c r="M3" s="18" t="s">
        <v>10</v>
      </c>
      <c r="N3" s="3"/>
      <c r="O3" s="3"/>
      <c r="P3" s="142" t="str">
        <f>+'(1)'!C1&amp;"년"&amp;'(1)'!E1&amp;"월"&amp;C1&amp;"일"</f>
        <v>2023년3월4일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10429.99</v>
      </c>
      <c r="E4" s="34" t="str">
        <f>+'[1](1)'!E4</f>
        <v>고액권</v>
      </c>
      <c r="F4" s="36">
        <v>215000</v>
      </c>
      <c r="G4" s="27"/>
      <c r="H4" s="34" t="str">
        <f>+C4</f>
        <v>판매량</v>
      </c>
      <c r="I4" s="35">
        <v>8121.558</v>
      </c>
      <c r="J4" s="42" t="str">
        <f>+'[1](1)'!J4</f>
        <v>고액권</v>
      </c>
      <c r="K4" s="36">
        <v>335000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29332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18551.547999999999</v>
      </c>
      <c r="P5" s="47" t="str">
        <f>+E4</f>
        <v>고액권</v>
      </c>
      <c r="Q5" s="48">
        <f>SUM(F4+K4+F17+K17+F35+K35)</f>
        <v>550000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62.274999999999999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>
        <v>53737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62.274999999999999</v>
      </c>
      <c r="P7" s="106" t="str">
        <f t="shared" ref="P7:P14" si="4">+E6</f>
        <v>블루/레드포인트</v>
      </c>
      <c r="Q7" s="53">
        <f>SUM(F6+K6+F19+K19+F37+K37)</f>
        <v>53737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10678627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8130753+F8</f>
        <v>18809380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18809380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117.354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8600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-4107.3900000000003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117.354</v>
      </c>
      <c r="P11" s="51" t="str">
        <f t="shared" si="4"/>
        <v>OK케시백</v>
      </c>
      <c r="Q11" s="53">
        <f>SUM(F10+K10+F23+K23+F41+K41)</f>
        <v>8600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11865</v>
      </c>
      <c r="L12" s="2"/>
      <c r="M12" s="20"/>
      <c r="N12" s="51" t="str">
        <f t="shared" si="3"/>
        <v>-</v>
      </c>
      <c r="O12" s="55">
        <f>SUM(O11*-35)</f>
        <v>-4107.3900000000003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10902728.789999999</v>
      </c>
      <c r="E13" s="29" t="str">
        <f>+'[1](1)'!E13</f>
        <v>합계</v>
      </c>
      <c r="F13" s="61">
        <f>SUM(F4:F12)</f>
        <v>10902627</v>
      </c>
      <c r="G13" s="62"/>
      <c r="H13" s="29" t="str">
        <f t="shared" si="2"/>
        <v>합계</v>
      </c>
      <c r="I13" s="60">
        <f>SUM((I4-I5-I6-I7-I8-I9)*$E$1+I11)</f>
        <v>8543879.0160000008</v>
      </c>
      <c r="J13" s="29" t="str">
        <f t="shared" ref="J13" si="5">+E13</f>
        <v>합계</v>
      </c>
      <c r="K13" s="61">
        <f>IF(K8=0,0,SUM(K4:K12)-F8)</f>
        <v>8542955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11865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-101.78999999910593</v>
      </c>
      <c r="G14" s="27"/>
      <c r="H14" s="27"/>
      <c r="I14" s="27"/>
      <c r="J14" s="27"/>
      <c r="K14" s="67">
        <f>SUM(K13-I13)</f>
        <v>-924.01600000075996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19446607.805999998</v>
      </c>
      <c r="P14" s="39" t="str">
        <f t="shared" si="4"/>
        <v>합계</v>
      </c>
      <c r="Q14" s="69">
        <f>SUM(Q5:Q13)</f>
        <v>19445582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-1025.8059999998659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103</v>
      </c>
      <c r="Q20" s="53">
        <f>SUM(P20*1000)</f>
        <v>103000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22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13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171</v>
      </c>
      <c r="Q28" s="69">
        <f>SUM(Q19:Q27)</f>
        <v>117000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16660</v>
      </c>
      <c r="P31" s="103">
        <v>16739</v>
      </c>
      <c r="Q31" s="104">
        <f>P31-O31</f>
        <v>79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7" sqref="P2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1052</v>
      </c>
      <c r="F1" s="1"/>
      <c r="G1" s="1"/>
      <c r="H1" s="1"/>
      <c r="I1" s="97"/>
      <c r="J1" s="1"/>
      <c r="K1" s="1"/>
      <c r="L1" s="21">
        <f>+ROUND(+O5*0.584/1000,3)</f>
        <v>6.6959999999999997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10.202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51.01</v>
      </c>
      <c r="M3" s="18" t="s">
        <v>10</v>
      </c>
      <c r="N3" s="3"/>
      <c r="O3" s="3"/>
      <c r="P3" s="142" t="str">
        <f>+'(1)'!C1&amp;"년"&amp;'(1)'!E1&amp;"월"&amp;C1&amp;"일"</f>
        <v>2023년3월5일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7188.9409999999998</v>
      </c>
      <c r="E4" s="34" t="str">
        <f>+'[1](1)'!E4</f>
        <v>고액권</v>
      </c>
      <c r="F4" s="36">
        <v>295000</v>
      </c>
      <c r="G4" s="27"/>
      <c r="H4" s="34" t="str">
        <f>+C4</f>
        <v>판매량</v>
      </c>
      <c r="I4" s="35">
        <v>4277.3249999999998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17563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11466.266</v>
      </c>
      <c r="P5" s="47" t="str">
        <f>+E4</f>
        <v>고액권</v>
      </c>
      <c r="Q5" s="48">
        <f>SUM(F4+K4+F17+K17+F35+K35)</f>
        <v>435000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7206297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11561167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11561167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103.395</v>
      </c>
      <c r="E10" s="42" t="str">
        <f>+'[1](1)'!E10</f>
        <v>OK케시백</v>
      </c>
      <c r="F10" s="44">
        <v>18682</v>
      </c>
      <c r="G10" s="27"/>
      <c r="H10" s="42" t="str">
        <f t="shared" si="2"/>
        <v>고객우대</v>
      </c>
      <c r="I10" s="50">
        <v>59.070999999999998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-3618.8249999999998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-2067.4850000000001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162.46600000000001</v>
      </c>
      <c r="P11" s="51" t="str">
        <f t="shared" si="4"/>
        <v>OK케시백</v>
      </c>
      <c r="Q11" s="53">
        <f>SUM(F10+K10+F23+K23+F41+K41)</f>
        <v>18682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28188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-5686.31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7559147.1069999998</v>
      </c>
      <c r="E13" s="29" t="str">
        <f>+'[1](1)'!E13</f>
        <v>합계</v>
      </c>
      <c r="F13" s="61">
        <f>SUM(F4:F12)</f>
        <v>7559167</v>
      </c>
      <c r="G13" s="62"/>
      <c r="H13" s="29" t="str">
        <f t="shared" si="2"/>
        <v>합계</v>
      </c>
      <c r="I13" s="60">
        <f>SUM((I4-I5-I6-I7-I8-I9)*$E$1+I11)</f>
        <v>4497678.4149999991</v>
      </c>
      <c r="J13" s="29" t="str">
        <f t="shared" ref="J13" si="5">+E13</f>
        <v>합계</v>
      </c>
      <c r="K13" s="61">
        <f>IF(K8=0,0,SUM(K4:K12)-F8)</f>
        <v>4497870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28188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19.893000000156462</v>
      </c>
      <c r="G14" s="27"/>
      <c r="H14" s="27"/>
      <c r="I14" s="27"/>
      <c r="J14" s="27"/>
      <c r="K14" s="67">
        <f>SUM(K13-I13)</f>
        <v>191.58500000089407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12056825.522</v>
      </c>
      <c r="P14" s="39" t="str">
        <f t="shared" si="4"/>
        <v>합계</v>
      </c>
      <c r="Q14" s="69">
        <f>SUM(Q5:Q13)</f>
        <v>12057037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211.47800000105053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101</v>
      </c>
      <c r="Q20" s="53">
        <f>SUM(P20*1000)</f>
        <v>101000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16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9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135</v>
      </c>
      <c r="Q28" s="69">
        <f>SUM(Q19:Q27)</f>
        <v>113000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16739</v>
      </c>
      <c r="P31" s="103">
        <v>16808</v>
      </c>
      <c r="Q31" s="104">
        <f>P31-O31</f>
        <v>69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1">
        <f>+ROUND(+O5*0.584/1000,3)</f>
        <v>11.335000000000001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10.391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62.346000000000004</v>
      </c>
      <c r="M3" s="18" t="s">
        <v>10</v>
      </c>
      <c r="N3" s="3"/>
      <c r="O3" s="3"/>
      <c r="P3" s="142" t="str">
        <f>+'(1)'!C1&amp;"년"&amp;'(1)'!E1&amp;"월"&amp;C1&amp;"일"</f>
        <v>2023년3월6일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11105.933000000001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8303.0360000000001</v>
      </c>
      <c r="J4" s="42" t="str">
        <f>+'[1](1)'!J4</f>
        <v>고액권</v>
      </c>
      <c r="K4" s="36">
        <v>235000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33933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19408.969000000001</v>
      </c>
      <c r="P5" s="47" t="str">
        <f>+E4</f>
        <v>고액권</v>
      </c>
      <c r="Q5" s="48">
        <f>SUM(F4+K4+F17+K17+F35+K35)</f>
        <v>395000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320.73099999999999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320.73099999999999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11173222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19668077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19668077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178.60900000000001</v>
      </c>
      <c r="E10" s="42" t="str">
        <f>+'[1](1)'!E10</f>
        <v>OK케시백</v>
      </c>
      <c r="F10" s="44">
        <v>4000</v>
      </c>
      <c r="G10" s="27"/>
      <c r="H10" s="42" t="str">
        <f t="shared" si="2"/>
        <v>고객우대</v>
      </c>
      <c r="I10" s="50">
        <v>89.182000000000002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-6251.3150000000005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-3121.37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267.791</v>
      </c>
      <c r="P11" s="51" t="str">
        <f t="shared" si="4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-9372.6849999999995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11339781.189000001</v>
      </c>
      <c r="E13" s="29" t="str">
        <f>+'[1](1)'!E13</f>
        <v>합계</v>
      </c>
      <c r="F13" s="61">
        <f>SUM(F4:F12)</f>
        <v>11341222</v>
      </c>
      <c r="G13" s="62"/>
      <c r="H13" s="29" t="str">
        <f t="shared" si="2"/>
        <v>합계</v>
      </c>
      <c r="I13" s="60">
        <f>SUM((I4-I5-I6-I7-I8-I9)*$E$1+I11)</f>
        <v>8731672.5020000003</v>
      </c>
      <c r="J13" s="29" t="str">
        <f t="shared" ref="J13" si="5">+E13</f>
        <v>합계</v>
      </c>
      <c r="K13" s="61">
        <f>IF(K8=0,0,SUM(K4:K12)-F8)</f>
        <v>8731855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1440.8109999988228</v>
      </c>
      <c r="G14" s="27"/>
      <c r="H14" s="27"/>
      <c r="I14" s="27"/>
      <c r="J14" s="27"/>
      <c r="K14" s="67">
        <f>SUM(K13-I13)</f>
        <v>182.49799999967217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20071453.691000003</v>
      </c>
      <c r="P14" s="39" t="str">
        <f t="shared" si="4"/>
        <v>합계</v>
      </c>
      <c r="Q14" s="69">
        <f>SUM(Q5:Q13)</f>
        <v>20073077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1623.308999998495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93</v>
      </c>
      <c r="Q20" s="53">
        <f>SUM(P20*1000)</f>
        <v>93000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17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28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17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-21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169</v>
      </c>
      <c r="Q28" s="69">
        <f>SUM(Q19:Q27)</f>
        <v>116000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2">
        <v>16808</v>
      </c>
      <c r="P31" s="103">
        <v>16859</v>
      </c>
      <c r="Q31" s="104">
        <f>P31-O31</f>
        <v>51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1">
        <f>+ROUND(+O5*0.584/1000,3)</f>
        <v>10.826000000000001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10.452999999999999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73.170999999999992</v>
      </c>
      <c r="M3" s="18" t="s">
        <v>10</v>
      </c>
      <c r="N3" s="3"/>
      <c r="O3" s="3"/>
      <c r="P3" s="142" t="str">
        <f>+'(1)'!C1&amp;"년"&amp;'(1)'!E1&amp;"월"&amp;C1&amp;"일"</f>
        <v>2023년3월7일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10488.865</v>
      </c>
      <c r="E4" s="34" t="str">
        <f>+'[1](1)'!E4</f>
        <v>고액권</v>
      </c>
      <c r="F4" s="36">
        <v>245000</v>
      </c>
      <c r="G4" s="27"/>
      <c r="H4" s="34" t="str">
        <f>+C4</f>
        <v>판매량</v>
      </c>
      <c r="I4" s="35">
        <v>8048.8890000000001</v>
      </c>
      <c r="J4" s="42" t="str">
        <f>+'[1](1)'!J4</f>
        <v>고액권</v>
      </c>
      <c r="K4" s="36">
        <v>360000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51484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18537.754000000001</v>
      </c>
      <c r="P5" s="47" t="str">
        <f>+E4</f>
        <v>고액권</v>
      </c>
      <c r="Q5" s="48">
        <f>SUM(F4+K4+F17+K17+F35+K35)</f>
        <v>605000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172.01499999999999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21.12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193.13499999999999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10566882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18641102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18641102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382.786</v>
      </c>
      <c r="E10" s="42" t="str">
        <f>+'[1](1)'!E10</f>
        <v>OK케시백</v>
      </c>
      <c r="F10" s="44">
        <v>14000</v>
      </c>
      <c r="G10" s="27"/>
      <c r="H10" s="42" t="str">
        <f t="shared" si="2"/>
        <v>고객우대</v>
      </c>
      <c r="I10" s="50">
        <v>45.054000000000002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-13397.51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-1576.89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427.84000000000003</v>
      </c>
      <c r="P11" s="51" t="str">
        <f t="shared" si="4"/>
        <v>OK케시백</v>
      </c>
      <c r="Q11" s="53">
        <f>SUM(F10+K10+F23+K23+F41+K41)</f>
        <v>14000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-14974.400000000001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10839928.690000001</v>
      </c>
      <c r="E13" s="29" t="str">
        <f>+'[1](1)'!E13</f>
        <v>합계</v>
      </c>
      <c r="F13" s="61">
        <f>SUM(F4:F12)</f>
        <v>10834882</v>
      </c>
      <c r="G13" s="62"/>
      <c r="H13" s="29" t="str">
        <f t="shared" si="2"/>
        <v>합계</v>
      </c>
      <c r="I13" s="60">
        <f>SUM((I4-I5-I6-I7-I8-I9)*$E$1+I11)</f>
        <v>8443636.0979999993</v>
      </c>
      <c r="J13" s="29" t="str">
        <f t="shared" ref="J13" si="5">+E13</f>
        <v>합계</v>
      </c>
      <c r="K13" s="61">
        <f>IF(K8=0,0,SUM(K4:K12)-F8)</f>
        <v>8443220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-5046.6900000013411</v>
      </c>
      <c r="G14" s="27"/>
      <c r="H14" s="27"/>
      <c r="I14" s="27"/>
      <c r="J14" s="27"/>
      <c r="K14" s="67">
        <f>SUM(K13-I13)</f>
        <v>-416.09799999929965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19283564.788000003</v>
      </c>
      <c r="P14" s="39" t="str">
        <f t="shared" si="4"/>
        <v>합계</v>
      </c>
      <c r="Q14" s="69">
        <f>SUM(Q5:Q13)</f>
        <v>19278102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-5462.7880000006407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104</v>
      </c>
      <c r="Q20" s="53">
        <f>SUM(P20*1000)</f>
        <v>104000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17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11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-22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136</v>
      </c>
      <c r="Q28" s="69">
        <f>SUM(Q19:Q27)</f>
        <v>112000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16859</v>
      </c>
      <c r="P31" s="103">
        <v>16918</v>
      </c>
      <c r="Q31" s="104">
        <f>P31-O31</f>
        <v>59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/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2">
        <f>+ROUND(+O5*0.584/1000,3)</f>
        <v>11.167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10.542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84.335999999999999</v>
      </c>
      <c r="M3" s="18" t="s">
        <v>10</v>
      </c>
      <c r="N3" s="3"/>
      <c r="O3" s="3"/>
      <c r="P3" s="142" t="str">
        <f>+'(1)'!C1&amp;"년"&amp;'(1)'!E1&amp;"월"&amp;C1&amp;"일"</f>
        <v>2023년3월8일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11540.721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7581.6059999999998</v>
      </c>
      <c r="J4" s="42" t="str">
        <f>+'[1](1)'!J4</f>
        <v>고액권</v>
      </c>
      <c r="K4" s="36">
        <v>220000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31972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19122.326999999997</v>
      </c>
      <c r="P5" s="47" t="str">
        <f>+E4</f>
        <v>고액권</v>
      </c>
      <c r="Q5" s="48">
        <f>SUM(F4+K4+F17+K17+F35+K35)</f>
        <v>385000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324.51400000000001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23.088999999999999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347.60300000000001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11538789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19263819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19263819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333.34100000000001</v>
      </c>
      <c r="E10" s="42" t="str">
        <f>+'[1](1)'!E10</f>
        <v>OK케시백</v>
      </c>
      <c r="F10" s="44">
        <f>22000+26336</f>
        <v>48336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-11666.934999999999</v>
      </c>
      <c r="E11" s="42" t="str">
        <f>+'[1](1)'!E11</f>
        <v>모바일</v>
      </c>
      <c r="F11" s="44">
        <v>35000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333.34100000000001</v>
      </c>
      <c r="P11" s="51" t="str">
        <f t="shared" si="4"/>
        <v>OK케시백</v>
      </c>
      <c r="Q11" s="53">
        <f>SUM(F10+K10+F23+K23+F41+K41)</f>
        <v>48336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-11666.934999999999</v>
      </c>
      <c r="P12" s="51" t="str">
        <f t="shared" si="4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11787782.829</v>
      </c>
      <c r="E13" s="29" t="str">
        <f>+'[1](1)'!E13</f>
        <v>합계</v>
      </c>
      <c r="F13" s="61">
        <f>SUM(F4:F12)</f>
        <v>11788125</v>
      </c>
      <c r="G13" s="62"/>
      <c r="H13" s="29" t="str">
        <f t="shared" si="2"/>
        <v>합계</v>
      </c>
      <c r="I13" s="60">
        <f>SUM((I4-I5-I6-I7-I8-I9)*$E$1+I11)</f>
        <v>7951559.8839999996</v>
      </c>
      <c r="J13" s="29" t="str">
        <f t="shared" ref="J13" si="5">+E13</f>
        <v>합계</v>
      </c>
      <c r="K13" s="61">
        <f>IF(K8=0,0,SUM(K4:K12)-F8)</f>
        <v>7953030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342.17100000008941</v>
      </c>
      <c r="G14" s="27"/>
      <c r="H14" s="27"/>
      <c r="I14" s="27"/>
      <c r="J14" s="27"/>
      <c r="K14" s="67">
        <f>SUM(K13-I13)</f>
        <v>1470.1160000003874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19739342.713</v>
      </c>
      <c r="P14" s="39" t="str">
        <f t="shared" si="4"/>
        <v>합계</v>
      </c>
      <c r="Q14" s="69">
        <f>SUM(Q5:Q13)</f>
        <v>19741155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1812.2870000004768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69</v>
      </c>
      <c r="Q20" s="53">
        <f>SUM(P20*1000)</f>
        <v>69000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37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26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161</v>
      </c>
      <c r="Q28" s="69">
        <f>SUM(Q19:Q27)</f>
        <v>86000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16918</v>
      </c>
      <c r="P31" s="103">
        <v>16963</v>
      </c>
      <c r="Q31" s="104">
        <f>P31-O31</f>
        <v>45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1052</v>
      </c>
      <c r="F1" s="1"/>
      <c r="G1" s="1"/>
      <c r="H1" s="1"/>
      <c r="I1" s="1"/>
      <c r="J1" s="1"/>
      <c r="K1" s="1"/>
      <c r="L1" s="22">
        <f>+ROUND(+O5*0.584/1000,3)</f>
        <v>11.369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10.634</v>
      </c>
      <c r="M2" s="18" t="s">
        <v>7</v>
      </c>
      <c r="N2" s="141" t="s">
        <v>1</v>
      </c>
      <c r="O2" s="141"/>
      <c r="P2" s="141"/>
      <c r="Q2" s="14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95.706000000000003</v>
      </c>
      <c r="M3" s="18" t="s">
        <v>10</v>
      </c>
      <c r="N3" s="3"/>
      <c r="O3" s="3"/>
      <c r="P3" s="142" t="str">
        <f>+'(1)'!C1&amp;"년"&amp;'(1)'!E1&amp;"월"&amp;C1&amp;"일"</f>
        <v>2023년3월9일</v>
      </c>
      <c r="Q3" s="14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11120.206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8347.8040000000001</v>
      </c>
      <c r="J4" s="42" t="str">
        <f>+'[1](1)'!J4</f>
        <v>고액권</v>
      </c>
      <c r="K4" s="36">
        <v>305000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48407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19468.010000000002</v>
      </c>
      <c r="P5" s="47" t="str">
        <f>+E4</f>
        <v>고액권</v>
      </c>
      <c r="Q5" s="48">
        <f>SUM(F4+K4+F17+K17+F35+K35)</f>
        <v>515000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184.87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66.676000000000002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251.54599999999999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11268907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19665468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19665468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333.46699999999998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44.933999999999997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-11671.344999999999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-1572.6899999999998</v>
      </c>
      <c r="J11" s="56" t="str">
        <f>+'[1](1)'!J11</f>
        <v>모바일</v>
      </c>
      <c r="K11" s="44">
        <v>8000</v>
      </c>
      <c r="L11" s="2"/>
      <c r="M11" s="20"/>
      <c r="N11" s="51" t="str">
        <f t="shared" si="3"/>
        <v>고객우대</v>
      </c>
      <c r="O11" s="54">
        <f>SUM(D10+I10+D23+I23+D41+I41)</f>
        <v>378.40099999999995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-13244.034999999998</v>
      </c>
      <c r="P12" s="51" t="str">
        <f t="shared" si="4"/>
        <v>모바일</v>
      </c>
      <c r="Q12" s="53">
        <f>SUM(F11+K11+F24+K24+F42+K42)</f>
        <v>18000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11492302.126999998</v>
      </c>
      <c r="E13" s="29" t="str">
        <f>+'[1](1)'!E13</f>
        <v>합계</v>
      </c>
      <c r="F13" s="61">
        <f>SUM(F4:F12)</f>
        <v>11491907</v>
      </c>
      <c r="G13" s="62"/>
      <c r="H13" s="29" t="str">
        <f t="shared" si="2"/>
        <v>합계</v>
      </c>
      <c r="I13" s="60">
        <f>SUM((I4-I5-I6-I7-I8-I9)*$E$1+I11)</f>
        <v>8710173.9660000019</v>
      </c>
      <c r="J13" s="29" t="str">
        <f t="shared" ref="J13" si="5">+E13</f>
        <v>합계</v>
      </c>
      <c r="K13" s="61">
        <f>IF(K8=0,0,SUM(K4:K12)-F8)</f>
        <v>8710561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-395.12699999846518</v>
      </c>
      <c r="G14" s="27"/>
      <c r="H14" s="27"/>
      <c r="I14" s="27"/>
      <c r="J14" s="27"/>
      <c r="K14" s="67">
        <f>SUM(K13-I13)</f>
        <v>387.03399999812245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20202476.093000002</v>
      </c>
      <c r="P14" s="39" t="str">
        <f t="shared" si="4"/>
        <v>합계</v>
      </c>
      <c r="Q14" s="69">
        <f>SUM(Q5:Q13)</f>
        <v>20202468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-8.0930000003427267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7" t="s">
        <v>34</v>
      </c>
      <c r="O18" s="140"/>
      <c r="P18" s="115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1" t="s">
        <v>37</v>
      </c>
      <c r="O19" s="132"/>
      <c r="P19" s="116">
        <v>38</v>
      </c>
      <c r="Q19" s="48">
        <f>SUM(P19*1000)</f>
        <v>38000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7" t="s">
        <v>38</v>
      </c>
      <c r="O20" s="138"/>
      <c r="P20" s="117">
        <v>123</v>
      </c>
      <c r="Q20" s="53">
        <f>SUM(P20*1000)</f>
        <v>123000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7" t="s">
        <v>58</v>
      </c>
      <c r="O21" s="138"/>
      <c r="P21" s="117">
        <v>24</v>
      </c>
      <c r="Q21" s="53" t="s">
        <v>56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9" t="s">
        <v>60</v>
      </c>
      <c r="O22" s="134"/>
      <c r="P22" s="117">
        <v>35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3" t="s">
        <v>62</v>
      </c>
      <c r="O23" s="134"/>
      <c r="P23" s="117">
        <v>26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3" t="s">
        <v>63</v>
      </c>
      <c r="O24" s="134"/>
      <c r="P24" s="117">
        <v>24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3"/>
      <c r="O25" s="134"/>
      <c r="P25" s="120"/>
      <c r="Q25" s="125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3"/>
      <c r="O26" s="134"/>
      <c r="P26" s="122"/>
      <c r="Q26" s="113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5" t="s">
        <v>39</v>
      </c>
      <c r="O27" s="136"/>
      <c r="P27" s="118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27" t="s">
        <v>40</v>
      </c>
      <c r="O28" s="128"/>
      <c r="P28" s="119">
        <v>257</v>
      </c>
      <c r="Q28" s="69">
        <f>SUM(Q19:Q27)</f>
        <v>161000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0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1"/>
      <c r="O31" s="103">
        <v>16963</v>
      </c>
      <c r="P31" s="103">
        <v>17026</v>
      </c>
      <c r="Q31" s="104">
        <f>P31-O31</f>
        <v>63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2023-10-01T00:03:31Z</dcterms:modified>
</cp:coreProperties>
</file>