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D8" i="145" l="1"/>
  <c r="K8" i="142" l="1"/>
  <c r="K8" i="136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I13" i="13"/>
  <c r="I13" i="131"/>
  <c r="I13" i="132"/>
  <c r="I13" i="136"/>
  <c r="I13" i="142"/>
  <c r="I13" i="143"/>
  <c r="I13" i="150"/>
  <c r="I13" i="155"/>
  <c r="I13" i="157"/>
  <c r="I13" i="158"/>
  <c r="I13" i="159"/>
  <c r="I13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26" i="1"/>
  <c r="D13" i="13"/>
  <c r="D13" i="131"/>
  <c r="D13" i="137"/>
  <c r="D13" i="159"/>
  <c r="D13" i="1"/>
  <c r="I11" i="13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P27" i="1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8" i="136" s="1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44"/>
  <c r="Q28" i="138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D11" i="159"/>
  <c r="I24" i="158"/>
  <c r="D24" i="158"/>
  <c r="I11" i="158"/>
  <c r="D11" i="158"/>
  <c r="D13" i="158" s="1"/>
  <c r="I24" i="157"/>
  <c r="D24" i="157"/>
  <c r="I11" i="157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D11" i="143"/>
  <c r="D13" i="143" s="1"/>
  <c r="I24" i="142"/>
  <c r="D24" i="142"/>
  <c r="I11" i="142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I24" i="136"/>
  <c r="D24" i="136"/>
  <c r="I11" i="136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D11" i="132"/>
  <c r="D13" i="132" s="1"/>
  <c r="I24" i="131"/>
  <c r="D24" i="131"/>
  <c r="D11" i="131"/>
  <c r="I24" i="13"/>
  <c r="D24" i="13"/>
  <c r="I11" i="13"/>
  <c r="D11" i="13"/>
  <c r="I24" i="1"/>
  <c r="D24" i="1"/>
  <c r="I11" i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K14" i="13" s="1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K14" i="131" s="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F27" i="131"/>
  <c r="K27" i="131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F3" i="133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F3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K3" i="159"/>
  <c r="H11" i="159"/>
  <c r="F16" i="159"/>
  <c r="I3" i="158"/>
  <c r="H3" i="158"/>
  <c r="H12" i="158"/>
  <c r="K3" i="158"/>
  <c r="H11" i="158"/>
  <c r="H4" i="157"/>
  <c r="H5" i="157"/>
  <c r="H6" i="157"/>
  <c r="H7" i="157"/>
  <c r="H8" i="157"/>
  <c r="H9" i="157"/>
  <c r="H10" i="157"/>
  <c r="H3" i="157"/>
  <c r="K3" i="157"/>
  <c r="H11" i="157"/>
  <c r="I3" i="156"/>
  <c r="H4" i="156"/>
  <c r="H5" i="156"/>
  <c r="H6" i="156"/>
  <c r="H7" i="156"/>
  <c r="H8" i="156"/>
  <c r="H9" i="156"/>
  <c r="H10" i="156"/>
  <c r="H3" i="156"/>
  <c r="K3" i="156"/>
  <c r="H11" i="156"/>
  <c r="H3" i="155"/>
  <c r="H12" i="155"/>
  <c r="I3" i="155"/>
  <c r="H4" i="155"/>
  <c r="H5" i="155"/>
  <c r="H6" i="155"/>
  <c r="H7" i="155"/>
  <c r="H8" i="155"/>
  <c r="H9" i="155"/>
  <c r="H10" i="155"/>
  <c r="K3" i="155"/>
  <c r="H11" i="155"/>
  <c r="I3" i="154"/>
  <c r="H4" i="154"/>
  <c r="H5" i="154"/>
  <c r="H6" i="154"/>
  <c r="H7" i="154"/>
  <c r="H8" i="154"/>
  <c r="H9" i="154"/>
  <c r="H10" i="154"/>
  <c r="H3" i="154"/>
  <c r="K3" i="154"/>
  <c r="H11" i="154"/>
  <c r="H4" i="153"/>
  <c r="H5" i="153"/>
  <c r="H6" i="153"/>
  <c r="H7" i="153"/>
  <c r="H8" i="153"/>
  <c r="H9" i="153"/>
  <c r="H10" i="153"/>
  <c r="H3" i="153"/>
  <c r="I3" i="153"/>
  <c r="K3" i="153"/>
  <c r="H11" i="153"/>
  <c r="H3" i="152"/>
  <c r="I3" i="152"/>
  <c r="H4" i="152"/>
  <c r="H5" i="152"/>
  <c r="H6" i="152"/>
  <c r="H7" i="152"/>
  <c r="H8" i="152"/>
  <c r="H9" i="152"/>
  <c r="H10" i="152"/>
  <c r="K3" i="152"/>
  <c r="H11" i="152"/>
  <c r="H4" i="151"/>
  <c r="H5" i="151"/>
  <c r="H6" i="151"/>
  <c r="H7" i="151"/>
  <c r="H8" i="151"/>
  <c r="H9" i="151"/>
  <c r="H10" i="151"/>
  <c r="H3" i="151"/>
  <c r="I3" i="151"/>
  <c r="K3" i="151"/>
  <c r="H11" i="151"/>
  <c r="H3" i="150"/>
  <c r="H4" i="150"/>
  <c r="H5" i="150"/>
  <c r="H6" i="150"/>
  <c r="H7" i="150"/>
  <c r="H8" i="150"/>
  <c r="H9" i="150"/>
  <c r="H10" i="150"/>
  <c r="I3" i="150"/>
  <c r="K3" i="150"/>
  <c r="H11" i="150"/>
  <c r="H3" i="149"/>
  <c r="H4" i="149"/>
  <c r="H5" i="149"/>
  <c r="H6" i="149"/>
  <c r="H7" i="149"/>
  <c r="H8" i="149"/>
  <c r="H9" i="149"/>
  <c r="H10" i="149"/>
  <c r="I3" i="149"/>
  <c r="K3" i="149"/>
  <c r="H11" i="149"/>
  <c r="H3" i="148"/>
  <c r="H4" i="148"/>
  <c r="H5" i="148"/>
  <c r="H6" i="148"/>
  <c r="H7" i="148"/>
  <c r="H8" i="148"/>
  <c r="H9" i="148"/>
  <c r="H10" i="148"/>
  <c r="K3" i="148"/>
  <c r="H11" i="148"/>
  <c r="H3" i="147"/>
  <c r="H4" i="147"/>
  <c r="H5" i="147"/>
  <c r="H6" i="147"/>
  <c r="H7" i="147"/>
  <c r="H8" i="147"/>
  <c r="H9" i="147"/>
  <c r="H10" i="147"/>
  <c r="I3" i="147"/>
  <c r="K3" i="147"/>
  <c r="H11" i="147"/>
  <c r="H4" i="146"/>
  <c r="H5" i="146"/>
  <c r="H6" i="146"/>
  <c r="H7" i="146"/>
  <c r="H8" i="146"/>
  <c r="H9" i="146"/>
  <c r="H10" i="146"/>
  <c r="H3" i="146"/>
  <c r="K3" i="146"/>
  <c r="H11" i="146"/>
  <c r="H3" i="145"/>
  <c r="H4" i="145"/>
  <c r="H5" i="145"/>
  <c r="H6" i="145"/>
  <c r="H7" i="145"/>
  <c r="H8" i="145"/>
  <c r="H9" i="145"/>
  <c r="H10" i="145"/>
  <c r="K3" i="145"/>
  <c r="H11" i="145"/>
  <c r="H3" i="144"/>
  <c r="H12" i="144"/>
  <c r="I3" i="144"/>
  <c r="H4" i="144"/>
  <c r="H5" i="144"/>
  <c r="H6" i="144"/>
  <c r="H7" i="144"/>
  <c r="H8" i="144"/>
  <c r="H9" i="144"/>
  <c r="H10" i="144"/>
  <c r="K3" i="144"/>
  <c r="H11" i="144"/>
  <c r="H3" i="143"/>
  <c r="H4" i="143"/>
  <c r="H5" i="143"/>
  <c r="H6" i="143"/>
  <c r="H7" i="143"/>
  <c r="H8" i="143"/>
  <c r="H9" i="143"/>
  <c r="H10" i="143"/>
  <c r="K3" i="143"/>
  <c r="H11" i="143"/>
  <c r="H3" i="142"/>
  <c r="H12" i="142"/>
  <c r="I3" i="142"/>
  <c r="H4" i="142"/>
  <c r="H5" i="142"/>
  <c r="H6" i="142"/>
  <c r="H7" i="142"/>
  <c r="H8" i="142"/>
  <c r="H9" i="142"/>
  <c r="H10" i="142"/>
  <c r="K3" i="142"/>
  <c r="H11" i="142"/>
  <c r="H3" i="141"/>
  <c r="H4" i="141"/>
  <c r="H5" i="141"/>
  <c r="H6" i="141"/>
  <c r="H7" i="141"/>
  <c r="H8" i="141"/>
  <c r="H9" i="141"/>
  <c r="H10" i="141"/>
  <c r="I3" i="141"/>
  <c r="K3" i="141"/>
  <c r="H11" i="141"/>
  <c r="H3" i="140"/>
  <c r="H4" i="140"/>
  <c r="H5" i="140"/>
  <c r="H6" i="140"/>
  <c r="H7" i="140"/>
  <c r="H8" i="140"/>
  <c r="H9" i="140"/>
  <c r="H10" i="140"/>
  <c r="K3" i="140"/>
  <c r="H11" i="140"/>
  <c r="H3" i="139"/>
  <c r="H4" i="139"/>
  <c r="H5" i="139"/>
  <c r="H6" i="139"/>
  <c r="H7" i="139"/>
  <c r="H8" i="139"/>
  <c r="H9" i="139"/>
  <c r="H10" i="139"/>
  <c r="K3" i="139"/>
  <c r="H11" i="139"/>
  <c r="H3" i="138"/>
  <c r="H4" i="138"/>
  <c r="H5" i="138"/>
  <c r="H6" i="138"/>
  <c r="H7" i="138"/>
  <c r="H8" i="138"/>
  <c r="H9" i="138"/>
  <c r="H10" i="138"/>
  <c r="K3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26" i="1" s="1"/>
  <c r="K13" i="1"/>
  <c r="Q15" i="141" l="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F27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<sst xmlns="http://schemas.openxmlformats.org/spreadsheetml/2006/main" count="862" uniqueCount="65">
  <si>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</si>
  <si>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</si>
  <si>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</si>
  <si>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</si>
  <si>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</si>
  <si>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</si>
  <si>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</si>
  <si>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</si>
  <si>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</si>
  <si>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</si>
  <si>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</si>
  <si>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</si>
  <si>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</si>
  <si>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</si>
  <si>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</si>
  <si>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</si>
  <si>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</si>
  <si>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</si>
  <si>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</si>
  <si>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</si>
  <si>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</si>
  <si>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</si>
  <si>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</si>
  <si>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</si>
  <si>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</si>
  <si>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</si>
  <si>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</si>
  <si>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</si>
  <si>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</si>
  <si>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</si>
  <si>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</si>
  <si>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</si>
  <si>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</si>
  <si>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</si>
  <si>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</si>
  <si>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</si>
  <si>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</si>
  <si>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</si>
  <si>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</si>
  <si>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</si>
  <si>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</si>
  <si>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</si>
  <si>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</si>
  <si>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</si>
  <si>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</si>
  <si>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</si>
  <si>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</si>
  <si>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</si>
  <si>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</si>
  <si>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</si>
  <si>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</si>
  <si>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</si>
  <si>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</si>
  <si>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</si>
  <si>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</si>
  <si>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</si>
  <si>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09:00~09:02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</si>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</sst>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1" fillId="0" borderId="7" xfId="0" applyNumberFormat="1" applyFont="1" applyFill="1" applyBorder="1" applyAlignment="1" applyProtection="1">
      <alignment horizontal="right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4" workbookViewId="0">
      <selection activeCell="I27" sqref="I27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4</v>
      </c>
      <c r="F1" s="24" t="str">
        <f>IF(E1&lt;1,"◀  월 입력","월")</f>
        <v>월</v>
      </c>
      <c r="G1" s="25">
        <v>1</v>
      </c>
      <c r="H1" s="26" t="s">
        <v>11</v>
      </c>
      <c r="I1" s="25">
        <v>1052</v>
      </c>
      <c r="J1" s="24" t="str">
        <f>IF(I1&lt;100,"◀  단가입력","원")</f>
        <v>원</v>
      </c>
      <c r="L1" s="28">
        <f>+ROUND(+O5*0.584/1000,3)</f>
        <v>15.151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15.151</v>
      </c>
      <c r="M2" s="27" t="s">
        <v>7</v>
      </c>
      <c r="N2" s="134" t="s">
        <v>12</v>
      </c>
      <c r="O2" s="134"/>
      <c r="P2" s="134"/>
      <c r="Q2" s="134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15.151</v>
      </c>
      <c r="M3" s="27" t="s">
        <v>10</v>
      </c>
      <c r="N3" s="32"/>
      <c r="O3" s="32"/>
      <c r="P3" s="133" t="str">
        <f>+'(1)'!$C$1&amp;"년"&amp;'(1)'!$E$1&amp;"월"&amp;$G$1&amp;"일"</f>
        <v>2023년4월1일</v>
      </c>
      <c r="Q3" s="133"/>
      <c r="R3" s="33"/>
    </row>
    <row r="4" spans="3:25" ht="16.5" customHeight="1" thickBot="1">
      <c r="C4" s="34" t="s">
        <v>15</v>
      </c>
      <c r="D4" s="35">
        <v>8721.1880000000001</v>
      </c>
      <c r="E4" s="34" t="str">
        <f>+'[1](1)'!E4</f>
        <v>고액권</v>
      </c>
      <c r="F4" s="36">
        <v>350000</v>
      </c>
      <c r="H4" s="93" t="str">
        <f>+C4</f>
        <v>판매량</v>
      </c>
      <c r="I4" s="35">
        <v>8455.5509999999995</v>
      </c>
      <c r="J4" s="42" t="str">
        <f>+'[1](1)'!J4</f>
        <v>고액권</v>
      </c>
      <c r="K4" s="36">
        <v>215000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22311</v>
      </c>
      <c r="S4" s="41" t="s">
        <v>17</v>
      </c>
      <c r="T4" s="27">
        <v>39938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/>
      <c r="H5" s="94" t="str">
        <f>+C5</f>
        <v>법인전표</v>
      </c>
      <c r="I5" s="43"/>
      <c r="J5" s="42" t="str">
        <f>+'[1](1)'!J5</f>
        <v>천원권</v>
      </c>
      <c r="K5" s="44">
        <v>4000</v>
      </c>
      <c r="M5" s="38"/>
      <c r="N5" s="45" t="str">
        <f>+C4</f>
        <v>판매량</v>
      </c>
      <c r="O5" s="46">
        <f>SUM(D4+I4+D17+I17+D35+I35)</f>
        <v>25944.078000000001</v>
      </c>
      <c r="P5" s="47" t="str">
        <f>+E4</f>
        <v>고액권</v>
      </c>
      <c r="Q5" s="48">
        <f>SUM(F4+K4+F17+K17+F35+K35)</f>
        <v>920000</v>
      </c>
      <c r="R5" s="49">
        <v>19</v>
      </c>
      <c r="S5" s="41" t="s">
        <v>20</v>
      </c>
      <c r="T5" s="27">
        <v>18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104.355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49">
        <v>2.5</v>
      </c>
      <c r="S6" s="41" t="s">
        <v>23</v>
      </c>
      <c r="T6" s="129">
        <v>2.5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104.355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8825976</v>
      </c>
      <c r="H8" s="94" t="str">
        <f t="shared" si="2"/>
        <v>자가소비</v>
      </c>
      <c r="I8" s="50"/>
      <c r="J8" s="42" t="str">
        <f>+'[1](1)'!J8</f>
        <v>신용카드</v>
      </c>
      <c r="K8" s="44">
        <v>17323276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26191411</v>
      </c>
      <c r="R9" s="40"/>
    </row>
    <row r="10" spans="3:25" ht="16.5" customHeight="1">
      <c r="C10" s="42" t="s">
        <v>49</v>
      </c>
      <c r="D10" s="50">
        <v>0</v>
      </c>
      <c r="E10" s="42" t="str">
        <f>+'[1](1)'!E10</f>
        <v>OK케시백</v>
      </c>
      <c r="F10" s="44"/>
      <c r="H10" s="94" t="str">
        <f t="shared" si="2"/>
        <v>고객우대</v>
      </c>
      <c r="I10" s="50">
        <v>60.393999999999998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-2113.79</v>
      </c>
      <c r="J11" s="56" t="str">
        <f>+'[1](1)'!J11</f>
        <v>모바일</v>
      </c>
      <c r="K11" s="44">
        <v>65000</v>
      </c>
      <c r="M11" s="38"/>
      <c r="N11" s="51" t="str">
        <f t="shared" si="3"/>
        <v>고객우대</v>
      </c>
      <c r="O11" s="54">
        <f>SUM(D10+I10+D23+I23+D41+I41)</f>
        <v>60.393999999999998</v>
      </c>
      <c r="P11" s="51" t="str">
        <f t="shared" si="4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-2113.79</v>
      </c>
      <c r="P12" s="51" t="str">
        <f t="shared" si="4"/>
        <v>모바일</v>
      </c>
      <c r="Q12" s="53">
        <f>SUM(F11+K11+F24+K24+F42+K42)</f>
        <v>65000</v>
      </c>
      <c r="R12" s="40"/>
    </row>
    <row r="13" spans="3:25" ht="16.5" customHeight="1" thickBot="1">
      <c r="C13" s="59" t="s">
        <v>33</v>
      </c>
      <c r="D13" s="60">
        <f>SUM((D4-D5-D6-D7-D8-D9)*$I$1+D11)</f>
        <v>9174689.7760000005</v>
      </c>
      <c r="E13" s="29" t="str">
        <f>+'[1](1)'!E13</f>
        <v>합계</v>
      </c>
      <c r="F13" s="61">
        <f>SUM(F4:F12)</f>
        <v>9175976</v>
      </c>
      <c r="G13" s="62"/>
      <c r="H13" s="92" t="str">
        <f t="shared" si="2"/>
        <v>합계</v>
      </c>
      <c r="I13" s="60">
        <f>SUM((I4-I5-I6-I7-I8-I9)*$I$1+I11)</f>
        <v>8783344.4020000007</v>
      </c>
      <c r="J13" s="29" t="str">
        <f t="shared" ref="J13" si="5">+E13</f>
        <v>합계</v>
      </c>
      <c r="K13" s="61">
        <f>IF(K8=0,0,SUM(K4:K12)-F8)</f>
        <v>8781300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1286.2239999994636</v>
      </c>
      <c r="K14" s="67">
        <f>SUM(K13-I13)</f>
        <v>-2044.4020000007004</v>
      </c>
      <c r="N14" s="39" t="str">
        <f t="shared" si="3"/>
        <v>합계</v>
      </c>
      <c r="O14" s="68">
        <f>SUM((O5-O6-O7-O8-O9-O10)*+$I$1+O12)</f>
        <v>27181274.806000002</v>
      </c>
      <c r="P14" s="39" t="str">
        <f t="shared" si="4"/>
        <v>합계</v>
      </c>
      <c r="Q14" s="69">
        <f>SUM(Q5:Q13)</f>
        <v>27181411</v>
      </c>
    </row>
    <row r="15" spans="3:25" ht="16.5" customHeight="1" thickBot="1">
      <c r="C15" s="27">
        <v>3</v>
      </c>
      <c r="H15" s="27">
        <v>4</v>
      </c>
      <c r="Q15" s="70">
        <f>SUM(F14+K14+F27+K27)</f>
        <v>136.19399999827147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8767.3389999999999</v>
      </c>
      <c r="E17" s="34" t="str">
        <f>+E4</f>
        <v>고액권</v>
      </c>
      <c r="F17" s="36">
        <v>355000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1000</v>
      </c>
      <c r="H18" s="94" t="str">
        <f>+C5</f>
        <v>법인전표</v>
      </c>
      <c r="I18" s="43"/>
      <c r="J18" s="42" t="str">
        <f>+E5</f>
        <v>천원권</v>
      </c>
      <c r="K18" s="44"/>
      <c r="N18" s="131" t="s">
        <v>34</v>
      </c>
      <c r="O18" s="144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/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5" t="s">
        <v>37</v>
      </c>
      <c r="O19" s="136"/>
      <c r="P19" s="117">
        <v>11</v>
      </c>
      <c r="Q19" s="48">
        <f>SUM(P19*1000)</f>
        <v>11000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1" t="s">
        <v>38</v>
      </c>
      <c r="O20" s="142"/>
      <c r="P20" s="118">
        <v>128</v>
      </c>
      <c r="Q20" s="53">
        <f>SUM(P20*1000)</f>
        <v>128000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26191411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1" t="s">
        <v>57</v>
      </c>
      <c r="O21" s="142"/>
      <c r="P21" s="118">
        <v>6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3" t="s">
        <v>59</v>
      </c>
      <c r="O22" s="138"/>
      <c r="P22" s="118">
        <v>20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/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7" t="s">
        <v>61</v>
      </c>
      <c r="O23" s="138"/>
      <c r="P23" s="118">
        <v>13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7" t="s">
        <v>64</v>
      </c>
      <c r="O24" s="138"/>
      <c r="P24" s="118">
        <v>9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7"/>
      <c r="O25" s="138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9223240.6280000005</v>
      </c>
      <c r="E26" s="29" t="str">
        <f t="shared" si="8"/>
        <v>합계</v>
      </c>
      <c r="F26" s="61">
        <f>IF(F21=0,0,SUM(F17:F25)-K8)</f>
        <v>9224135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7"/>
      <c r="O26" s="138"/>
      <c r="P26" s="72"/>
      <c r="Q26" s="113"/>
      <c r="R26" s="32"/>
      <c r="S26" s="32"/>
    </row>
    <row r="27" spans="3:19" ht="15.75" customHeight="1" thickBot="1">
      <c r="F27" s="67">
        <f>SUM(F26-D26)</f>
        <v>894.37199999950826</v>
      </c>
      <c r="K27" s="67">
        <f>SUM(K26-I26)</f>
        <v>0</v>
      </c>
      <c r="N27" s="139" t="s">
        <v>39</v>
      </c>
      <c r="O27" s="140"/>
      <c r="P27" s="119">
        <f>+P28-SUM(P19:P26)</f>
        <v>-28</v>
      </c>
      <c r="Q27" s="73"/>
    </row>
    <row r="28" spans="3:19" ht="23.25" customHeight="1" thickBot="1">
      <c r="F28" s="67"/>
      <c r="K28" s="67"/>
      <c r="N28" s="131" t="s">
        <v>40</v>
      </c>
      <c r="O28" s="132"/>
      <c r="P28" s="120">
        <v>159</v>
      </c>
      <c r="Q28" s="69">
        <f>SUM(Q19:Q27)</f>
        <v>139000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18617</v>
      </c>
      <c r="P31" s="103">
        <v>18696</v>
      </c>
      <c r="Q31" s="104">
        <f>P31-O31</f>
        <v>79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8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10.602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106.02000000000001</v>
      </c>
      <c r="M3" s="18" t="s">
        <v>10</v>
      </c>
      <c r="N3" s="3"/>
      <c r="O3" s="3"/>
      <c r="P3" s="146" t="str">
        <f>+'(1)'!C1&amp;"년"&amp;'(1)'!E1&amp;"월"&amp;C1&amp;"일"</f>
        <v>2023년4월10일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10035.944</v>
      </c>
      <c r="E4" s="34" t="str">
        <f>+'[1](1)'!E4</f>
        <v>고액권</v>
      </c>
      <c r="F4" s="36">
        <v>98000</v>
      </c>
      <c r="G4" s="27"/>
      <c r="H4" s="34" t="str">
        <f>+C4</f>
        <v>판매량</v>
      </c>
      <c r="I4" s="35">
        <v>7815.9260000000004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42526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17851.87</v>
      </c>
      <c r="P5" s="47" t="str">
        <f>+E4</f>
        <v>고액권</v>
      </c>
      <c r="Q5" s="48">
        <f>SUM(F4+K4+F17+K17+F35+K35)</f>
        <v>188000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131.97800000000001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26.86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158.83800000000002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10225668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18325780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18325780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344.77699999999999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48.92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-12067.195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-1712.2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393.697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47544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-13779.395</v>
      </c>
      <c r="P12" s="51" t="str">
        <f t="shared" si="4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10406905.037</v>
      </c>
      <c r="E13" s="29" t="str">
        <f>+'[1](1)'!E13</f>
        <v>합계</v>
      </c>
      <c r="F13" s="61">
        <f>SUM(F4:F12)</f>
        <v>10406212</v>
      </c>
      <c r="G13" s="62"/>
      <c r="H13" s="29" t="str">
        <f t="shared" si="2"/>
        <v>합계</v>
      </c>
      <c r="I13" s="60">
        <f>SUM((I4-I5-I6-I7-I8-I9)*$I$1+I11)</f>
        <v>8192385.2320000008</v>
      </c>
      <c r="J13" s="29" t="str">
        <f t="shared" ref="J13" si="5">+E13</f>
        <v>합계</v>
      </c>
      <c r="K13" s="61">
        <f>IF(K8=0,0,SUM(K4:K12)-F8)</f>
        <v>8193112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47544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-693.03700000047684</v>
      </c>
      <c r="G14" s="27"/>
      <c r="H14" s="27"/>
      <c r="I14" s="27"/>
      <c r="J14" s="27"/>
      <c r="K14" s="67">
        <f>SUM(K13-I13)</f>
        <v>726.76799999922514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56992.732999999993</v>
      </c>
      <c r="P14" s="39" t="str">
        <f t="shared" si="4"/>
        <v>합계</v>
      </c>
      <c r="Q14" s="69">
        <f>SUM(Q5:Q13)</f>
        <v>18599324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33.730999998748302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49</v>
      </c>
      <c r="Q20" s="53">
        <f>SUM(P20*1000)</f>
        <v>49000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124</v>
      </c>
      <c r="Q28" s="69">
        <f>SUM(Q19:Q27)</f>
        <v>61000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18941</v>
      </c>
      <c r="P31" s="103">
        <v>18978</v>
      </c>
      <c r="Q31" s="104">
        <f>P31-O31</f>
        <v>37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/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10.326000000000001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10.577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116.34699999999999</v>
      </c>
      <c r="M3" s="18" t="s">
        <v>10</v>
      </c>
      <c r="N3" s="3"/>
      <c r="O3" s="3"/>
      <c r="P3" s="146" t="str">
        <f>+'(1)'!C1&amp;"년"&amp;'(1)'!E1&amp;"월"&amp;C1&amp;"일"</f>
        <v>2023년4월11일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9740.4240000000009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7940.5879999999997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24092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17681.012000000002</v>
      </c>
      <c r="P5" s="47" t="str">
        <f>+E4</f>
        <v>고액권</v>
      </c>
      <c r="Q5" s="48">
        <f>SUM(F4+K4+F17+K17+F35+K35)</f>
        <v>170000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344.76299999999998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344.76299999999998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9700045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17959754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30000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17959754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274.73200000000003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118.16500000000001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-9615.6200000000008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-4135.7750000000005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392.89700000000005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58439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-13751.395000000002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9874619.7520000003</v>
      </c>
      <c r="E13" s="29" t="str">
        <f>+'[1](1)'!E13</f>
        <v>합계</v>
      </c>
      <c r="F13" s="61">
        <f>SUM(F4:F12)</f>
        <v>9874484</v>
      </c>
      <c r="G13" s="62"/>
      <c r="H13" s="29" t="str">
        <f t="shared" si="2"/>
        <v>합계</v>
      </c>
      <c r="I13" s="60">
        <f>SUM((I4-I5-I6-I7-I8-I9)*$I$1+I11)</f>
        <v>8349362.800999999</v>
      </c>
      <c r="J13" s="29" t="str">
        <f t="shared" ref="J13" si="5">+E13</f>
        <v>합계</v>
      </c>
      <c r="K13" s="61">
        <f>IF(K8=0,0,SUM(K4:K12)-F8)</f>
        <v>8348709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58439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-135.75200000032783</v>
      </c>
      <c r="G14" s="27"/>
      <c r="H14" s="27"/>
      <c r="I14" s="27"/>
      <c r="J14" s="27"/>
      <c r="K14" s="67">
        <f>SUM(K13-I13)</f>
        <v>-653.80099999904633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55593.60100000001</v>
      </c>
      <c r="P14" s="39" t="str">
        <f t="shared" si="4"/>
        <v>합계</v>
      </c>
      <c r="Q14" s="69">
        <f>SUM(Q5:Q13)</f>
        <v>18223193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-789.55299999937415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82</v>
      </c>
      <c r="Q20" s="53">
        <f>SUM(P20*1000)</f>
        <v>82000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165</v>
      </c>
      <c r="Q28" s="69">
        <f>SUM(Q19:Q27)</f>
        <v>99000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18978</v>
      </c>
      <c r="P31" s="103">
        <v>19016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7" sqref="I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11.87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10.685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128.22</v>
      </c>
      <c r="M3" s="18" t="s">
        <v>10</v>
      </c>
      <c r="N3" s="3"/>
      <c r="O3" s="3"/>
      <c r="P3" s="146" t="str">
        <f>+'(1)'!C1&amp;"년"&amp;'(1)'!E1&amp;"월"&amp;C1&amp;"일"</f>
        <v>2023년4월12일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11602.385</v>
      </c>
      <c r="E4" s="34" t="str">
        <f>+'[1](1)'!E4</f>
        <v>고액권</v>
      </c>
      <c r="F4" s="36">
        <v>290000</v>
      </c>
      <c r="G4" s="27"/>
      <c r="H4" s="34" t="str">
        <f>+C4</f>
        <v>판매량</v>
      </c>
      <c r="I4" s="35">
        <v>8722.6389999999992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39225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20325.023999999998</v>
      </c>
      <c r="P5" s="47" t="str">
        <f>+E4</f>
        <v>고액권</v>
      </c>
      <c r="Q5" s="48">
        <f>SUM(F4+K4+F17+K17+F35+K35)</f>
        <v>430000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268.846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603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268.846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11588121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20610921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603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20610921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269.26900000000001</v>
      </c>
      <c r="E10" s="42" t="str">
        <f>+'[1](1)'!E10</f>
        <v>OK케시백</v>
      </c>
      <c r="F10" s="44">
        <v>30674</v>
      </c>
      <c r="G10" s="27"/>
      <c r="H10" s="42" t="str">
        <f t="shared" si="2"/>
        <v>고객우대</v>
      </c>
      <c r="I10" s="50">
        <v>48.829000000000001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-9424.4150000000009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-1709.0150000000001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318.09800000000001</v>
      </c>
      <c r="P11" s="51" t="str">
        <f t="shared" si="4"/>
        <v>OK케시백</v>
      </c>
      <c r="Q11" s="53">
        <f>SUM(F10+K10+F23+K23+F41+K41)</f>
        <v>30674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-11133.43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11913458.613000002</v>
      </c>
      <c r="E13" s="29" t="str">
        <f>+'[1](1)'!E13</f>
        <v>합계</v>
      </c>
      <c r="F13" s="61">
        <f>SUM(F4:F12)</f>
        <v>11914398</v>
      </c>
      <c r="G13" s="62"/>
      <c r="H13" s="29" t="str">
        <f t="shared" si="2"/>
        <v>합계</v>
      </c>
      <c r="I13" s="60">
        <f>SUM((I4-I5-I6-I7-I8-I9)*$I$1+I11)</f>
        <v>9174507.2129999977</v>
      </c>
      <c r="J13" s="29" t="str">
        <f t="shared" ref="J13" si="5">+E13</f>
        <v>합계</v>
      </c>
      <c r="K13" s="61">
        <f>IF(K8=0,0,SUM(K4:K12)-F8)</f>
        <v>9172800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939.38699999824166</v>
      </c>
      <c r="G14" s="27"/>
      <c r="H14" s="27"/>
      <c r="I14" s="27"/>
      <c r="J14" s="27"/>
      <c r="K14" s="67">
        <f>SUM(K13-I13)</f>
        <v>-1707.2129999976605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69091.281999999977</v>
      </c>
      <c r="P14" s="39" t="str">
        <f t="shared" si="4"/>
        <v>합계</v>
      </c>
      <c r="Q14" s="69">
        <f>SUM(Q5:Q13)</f>
        <v>21087198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-767.82599999941885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26</v>
      </c>
      <c r="Q19" s="48">
        <f>SUM(P19*1000)</f>
        <v>26000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204</v>
      </c>
      <c r="Q20" s="53">
        <f>SUM(P20*1000)</f>
        <v>204000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20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30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23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308</v>
      </c>
      <c r="Q28" s="69">
        <f>SUM(Q19:Q27)</f>
        <v>230000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19016</v>
      </c>
      <c r="P31" s="103">
        <v>19147</v>
      </c>
      <c r="Q31" s="104">
        <f>P31-O31</f>
        <v>131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11.035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10.712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139.256</v>
      </c>
      <c r="M3" s="18" t="s">
        <v>10</v>
      </c>
      <c r="N3" s="3"/>
      <c r="O3" s="3"/>
      <c r="P3" s="146" t="str">
        <f>+'(1)'!C1&amp;"년"&amp;'(1)'!E1&amp;"월"&amp;C1&amp;"일"</f>
        <v>2023년4월13일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10259.824000000001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8636.5110000000004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19695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18896.334999999999</v>
      </c>
      <c r="P5" s="47" t="str">
        <f>+E4</f>
        <v>고액권</v>
      </c>
      <c r="Q5" s="48">
        <f>SUM(F4+K4+F17+K17+F35+K35)</f>
        <v>320000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210.73599999999999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82.134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350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292.87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10360932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19223351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350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19223351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149.816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44.945999999999998</v>
      </c>
      <c r="J10" s="42" t="str">
        <f>+'[1](1)'!J10</f>
        <v>OK케시백</v>
      </c>
      <c r="K10" s="44">
        <v>9085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-5243.56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-1573.11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194.762</v>
      </c>
      <c r="P11" s="51" t="str">
        <f t="shared" si="4"/>
        <v>OK케시백</v>
      </c>
      <c r="Q11" s="53">
        <f>SUM(F10+K10+F23+K23+F41+K41)</f>
        <v>12085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-6816.67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10566397.015999999</v>
      </c>
      <c r="E13" s="29" t="str">
        <f>+'[1](1)'!E13</f>
        <v>합계</v>
      </c>
      <c r="F13" s="61">
        <f>SUM(F4:F12)</f>
        <v>10566282</v>
      </c>
      <c r="G13" s="62"/>
      <c r="H13" s="29" t="str">
        <f t="shared" si="2"/>
        <v>합계</v>
      </c>
      <c r="I13" s="60">
        <f>SUM((I4-I5-I6-I7-I8-I9)*$I$1+I11)</f>
        <v>8997631.4940000009</v>
      </c>
      <c r="J13" s="29" t="str">
        <f t="shared" ref="J13" si="5">+E13</f>
        <v>합계</v>
      </c>
      <c r="K13" s="61">
        <f>IF(K8=0,0,SUM(K4:K12)-F8)</f>
        <v>8996504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-115.01599999889731</v>
      </c>
      <c r="G14" s="27"/>
      <c r="H14" s="27"/>
      <c r="I14" s="27"/>
      <c r="J14" s="27"/>
      <c r="K14" s="67">
        <f>SUM(K13-I13)</f>
        <v>-1127.4940000008792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67597.19</v>
      </c>
      <c r="P14" s="39" t="str">
        <f t="shared" si="4"/>
        <v>합계</v>
      </c>
      <c r="Q14" s="69">
        <f>SUM(Q5:Q13)</f>
        <v>19562786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-1242.5099999997765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159</v>
      </c>
      <c r="Q20" s="53">
        <f>SUM(P20*1000)</f>
        <v>159000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232</v>
      </c>
      <c r="Q28" s="69">
        <f>SUM(Q19:Q27)</f>
        <v>181000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19147</v>
      </c>
      <c r="P31" s="103">
        <v>19259</v>
      </c>
      <c r="Q31" s="104">
        <f>P31-O31</f>
        <v>112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/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11.864000000000001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10.794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151.11600000000001</v>
      </c>
      <c r="M3" s="18" t="s">
        <v>10</v>
      </c>
      <c r="N3" s="3"/>
      <c r="O3" s="3"/>
      <c r="P3" s="146" t="str">
        <f>+'(1)'!C1&amp;"년"&amp;'(1)'!E1&amp;"월"&amp;C1&amp;"일"</f>
        <v>2023년4월14일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11072.637000000001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9242.4840000000004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34573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20315.120999999999</v>
      </c>
      <c r="P5" s="47" t="str">
        <f>+E4</f>
        <v>고액권</v>
      </c>
      <c r="Q5" s="48">
        <f>SUM(F4+K4+F17+K17+F35+K35)</f>
        <v>205000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255.084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255.084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11342441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9469742+F8</f>
        <v>20812183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20812183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356.11</v>
      </c>
      <c r="E10" s="42" t="str">
        <f>+'[1](1)'!E10</f>
        <v>OK케시백</v>
      </c>
      <c r="F10" s="44">
        <v>25000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-12463.85</v>
      </c>
      <c r="E11" s="42" t="str">
        <f>+'[1](1)'!E11</f>
        <v>모바일</v>
      </c>
      <c r="F11" s="44">
        <v>25000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356.11</v>
      </c>
      <c r="P11" s="51" t="str">
        <f t="shared" si="4"/>
        <v>OK케시백</v>
      </c>
      <c r="Q11" s="53">
        <f>SUM(F10+K10+F23+K23+F41+K41)</f>
        <v>25000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22230</v>
      </c>
      <c r="L12" s="2"/>
      <c r="M12" s="20"/>
      <c r="N12" s="51" t="str">
        <f t="shared" si="3"/>
        <v>-</v>
      </c>
      <c r="O12" s="55">
        <f>SUM(O11*-35)</f>
        <v>-12463.85</v>
      </c>
      <c r="P12" s="51" t="str">
        <f t="shared" si="4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11367601.905999999</v>
      </c>
      <c r="E13" s="29" t="str">
        <f>+'[1](1)'!E13</f>
        <v>합계</v>
      </c>
      <c r="F13" s="61">
        <f>SUM(F4:F12)</f>
        <v>11392441</v>
      </c>
      <c r="G13" s="62"/>
      <c r="H13" s="29" t="str">
        <f t="shared" si="2"/>
        <v>합계</v>
      </c>
      <c r="I13" s="60">
        <f>SUM((I4-I5-I6-I7-I8-I9)*$I$1+I11)</f>
        <v>9723093.1679999996</v>
      </c>
      <c r="J13" s="29" t="str">
        <f t="shared" ref="J13" si="5">+E13</f>
        <v>합계</v>
      </c>
      <c r="K13" s="61">
        <f>IF(K8=0,0,SUM(K4:K12)-F8)</f>
        <v>9697972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22230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24839.094000000507</v>
      </c>
      <c r="G14" s="27"/>
      <c r="H14" s="27"/>
      <c r="I14" s="27"/>
      <c r="J14" s="27"/>
      <c r="K14" s="67">
        <f>SUM(K13-I13)</f>
        <v>-25121.167999999598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67776.297999999995</v>
      </c>
      <c r="P14" s="39" t="str">
        <f t="shared" si="4"/>
        <v>합계</v>
      </c>
      <c r="Q14" s="69">
        <f>SUM(Q5:Q13)</f>
        <v>21090413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-282.07399999909103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159</v>
      </c>
      <c r="Q20" s="53">
        <f>SUM(P20*1000)</f>
        <v>159000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214</v>
      </c>
      <c r="Q28" s="69">
        <f>SUM(Q19:Q27)</f>
        <v>180000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19259</v>
      </c>
      <c r="P31" s="103">
        <v>19357</v>
      </c>
      <c r="Q31" s="104">
        <f>P31-O31</f>
        <v>98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/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9.9809999999999999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10.74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161.1</v>
      </c>
      <c r="M3" s="18" t="s">
        <v>10</v>
      </c>
      <c r="N3" s="3"/>
      <c r="O3" s="3"/>
      <c r="P3" s="146" t="str">
        <f>+'(1)'!C1&amp;"년"&amp;'(1)'!E1&amp;"월"&amp;C1&amp;"일"</f>
        <v>2023년4월15일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8762.2530000000006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8328.7999999999993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16776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17091.053</v>
      </c>
      <c r="P5" s="47" t="str">
        <f>+E4</f>
        <v>고액권</v>
      </c>
      <c r="Q5" s="48">
        <f>SUM(F4+K4+F17+K17+F35+K35)</f>
        <v>335000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135.37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135.37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56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8854677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17469015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17469015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34.433</v>
      </c>
      <c r="E10" s="42" t="str">
        <f>+'[1](1)'!E10</f>
        <v>OK케시백</v>
      </c>
      <c r="F10" s="44">
        <v>8600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-1205.155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34.433</v>
      </c>
      <c r="P11" s="51" t="str">
        <f t="shared" si="4"/>
        <v>OK케시백</v>
      </c>
      <c r="Q11" s="53">
        <f>SUM(F10+K10+F23+K23+F41+K41)</f>
        <v>8600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-1205.155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9074275.7609999999</v>
      </c>
      <c r="E13" s="29" t="str">
        <f>+'[1](1)'!E13</f>
        <v>합계</v>
      </c>
      <c r="F13" s="61">
        <f>SUM(F4:F12)</f>
        <v>9075277</v>
      </c>
      <c r="G13" s="62"/>
      <c r="H13" s="29" t="str">
        <f t="shared" si="2"/>
        <v>합계</v>
      </c>
      <c r="I13" s="60">
        <f>SUM((I4-I5-I6-I7-I8-I9)*$I$1+I11)</f>
        <v>8761897.5999999996</v>
      </c>
      <c r="J13" s="29" t="str">
        <f t="shared" ref="J13" si="5">+E13</f>
        <v>합계</v>
      </c>
      <c r="K13" s="61">
        <f>IF(K8=0,0,SUM(K4:K12)-F8)</f>
        <v>8761338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1001.2390000000596</v>
      </c>
      <c r="G14" s="27"/>
      <c r="H14" s="27"/>
      <c r="I14" s="27"/>
      <c r="J14" s="27"/>
      <c r="K14" s="67">
        <f>SUM(K13-I13)</f>
        <v>-559.59999999962747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66617.577000000005</v>
      </c>
      <c r="P14" s="39" t="str">
        <f t="shared" si="4"/>
        <v>합계</v>
      </c>
      <c r="Q14" s="69">
        <f>SUM(Q5:Q13)</f>
        <v>17836615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441.63900000043213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29</v>
      </c>
      <c r="Q19" s="48">
        <f>SUM(P19*1000)</f>
        <v>29000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102</v>
      </c>
      <c r="Q20" s="53">
        <f>SUM(P20*1000)</f>
        <v>102000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186</v>
      </c>
      <c r="Q28" s="69">
        <f>SUM(Q19:Q27)</f>
        <v>131000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19357</v>
      </c>
      <c r="P31" s="103">
        <v>19414</v>
      </c>
      <c r="Q31" s="104">
        <f>P31-O31</f>
        <v>57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6.6749999999999998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10.486000000000001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167.77600000000001</v>
      </c>
      <c r="M3" s="18" t="s">
        <v>10</v>
      </c>
      <c r="N3" s="3"/>
      <c r="O3" s="3"/>
      <c r="P3" s="146" t="str">
        <f>+'(1)'!C1&amp;"년"&amp;'(1)'!E1&amp;"월"&amp;C1&amp;"일"</f>
        <v>2023년4월16일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6816.1319999999996</v>
      </c>
      <c r="E4" s="34" t="str">
        <f>+'[1](1)'!E4</f>
        <v>고액권</v>
      </c>
      <c r="F4" s="36">
        <v>235000</v>
      </c>
      <c r="G4" s="27"/>
      <c r="H4" s="34" t="str">
        <f>+C4</f>
        <v>판매량</v>
      </c>
      <c r="I4" s="35">
        <v>4613.5309999999999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41140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8000</v>
      </c>
      <c r="L5" s="2"/>
      <c r="M5" s="20"/>
      <c r="N5" s="45" t="str">
        <f>+C4</f>
        <v>판매량</v>
      </c>
      <c r="O5" s="46">
        <f>SUM(D4+I4+D17+I17+D35+I35)</f>
        <v>11429.663</v>
      </c>
      <c r="P5" s="47" t="str">
        <f>+E4</f>
        <v>고액권</v>
      </c>
      <c r="Q5" s="48">
        <f>SUM(F4+K4+F17+K17+F35+K35)</f>
        <v>325000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49.582999999999998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49.582999999999998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6870825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11635042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11635042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114.84699999999999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-4019.645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114.84699999999999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-4019.645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7114389.9030000009</v>
      </c>
      <c r="E13" s="29" t="str">
        <f>+'[1](1)'!E13</f>
        <v>합계</v>
      </c>
      <c r="F13" s="61">
        <f>SUM(F4:F12)</f>
        <v>7114825</v>
      </c>
      <c r="G13" s="62"/>
      <c r="H13" s="29" t="str">
        <f t="shared" si="2"/>
        <v>합계</v>
      </c>
      <c r="I13" s="60">
        <f>SUM((I4-I5-I6-I7-I8-I9)*$I$1+I11)</f>
        <v>4853434.6119999997</v>
      </c>
      <c r="J13" s="29" t="str">
        <f t="shared" ref="J13" si="5">+E13</f>
        <v>합계</v>
      </c>
      <c r="K13" s="61">
        <f>IF(K8=0,0,SUM(K4:K12)-F8)</f>
        <v>4862217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435.09699999913573</v>
      </c>
      <c r="G14" s="27"/>
      <c r="H14" s="27"/>
      <c r="I14" s="27"/>
      <c r="J14" s="27"/>
      <c r="K14" s="67">
        <f>SUM(K13-I13)</f>
        <v>8782.3880000002682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41500.675000000003</v>
      </c>
      <c r="P14" s="39" t="str">
        <f t="shared" si="4"/>
        <v>합계</v>
      </c>
      <c r="Q14" s="69">
        <f>SUM(Q5:Q13)</f>
        <v>11977042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9217.484999999404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126</v>
      </c>
      <c r="Q20" s="53">
        <f>SUM(P20*1000)</f>
        <v>126000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176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19414</v>
      </c>
      <c r="P31" s="103">
        <v>19502</v>
      </c>
      <c r="Q31" s="104">
        <f>P31-O31</f>
        <v>88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O11" sqref="O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11.153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10.525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178.92500000000001</v>
      </c>
      <c r="M3" s="18" t="s">
        <v>10</v>
      </c>
      <c r="N3" s="3"/>
      <c r="O3" s="3"/>
      <c r="P3" s="146" t="str">
        <f>+'(1)'!C1&amp;"년"&amp;'(1)'!E1&amp;"월"&amp;C1&amp;"일"</f>
        <v>2023년4월17일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10748.303</v>
      </c>
      <c r="E4" s="34" t="str">
        <f>+'[1](1)'!E4</f>
        <v>고액권</v>
      </c>
      <c r="F4" s="36">
        <v>240000</v>
      </c>
      <c r="G4" s="27"/>
      <c r="H4" s="34" t="str">
        <f>+C4</f>
        <v>판매량</v>
      </c>
      <c r="I4" s="35">
        <v>8349.4120000000003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21776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19097.715</v>
      </c>
      <c r="P5" s="47" t="str">
        <f>+E4</f>
        <v>고액권</v>
      </c>
      <c r="Q5" s="48">
        <f>SUM(F4+K4+F17+K17+F35+K35)</f>
        <v>385000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237.232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25.114999999999998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519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262.34699999999998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f>110+0.322+0.328</f>
        <v>110.65</v>
      </c>
      <c r="E8" s="42" t="str">
        <f>+'[1](1)'!E8</f>
        <v>신용카드</v>
      </c>
      <c r="F8" s="44">
        <v>10688443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19273557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519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110.65</v>
      </c>
      <c r="P9" s="51" t="str">
        <f t="shared" si="4"/>
        <v>신용카드</v>
      </c>
      <c r="Q9" s="53">
        <f>IF(K8=0,F8,IF(F21=0,K8,IF(K21=0,F21,K21)))</f>
        <v>19273557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338.35899999999998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45.805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-11842.564999999999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-1603.175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384.16399999999999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20199</v>
      </c>
      <c r="L12" s="2"/>
      <c r="M12" s="20"/>
      <c r="N12" s="51" t="str">
        <f t="shared" si="3"/>
        <v>-</v>
      </c>
      <c r="O12" s="55">
        <f>SUM(O11*-35)</f>
        <v>-13445.74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10929400.327000001</v>
      </c>
      <c r="E13" s="29" t="str">
        <f>+'[1](1)'!E13</f>
        <v>합계</v>
      </c>
      <c r="F13" s="61">
        <f>SUM(F4:F12)</f>
        <v>10928962</v>
      </c>
      <c r="G13" s="62"/>
      <c r="H13" s="29" t="str">
        <f t="shared" si="2"/>
        <v>합계</v>
      </c>
      <c r="I13" s="60">
        <f>SUM((I4-I5-I6-I7-I8-I9)*$I$1+I11)</f>
        <v>8755557.2689999994</v>
      </c>
      <c r="J13" s="29" t="str">
        <f t="shared" ref="J13" si="5">+E13</f>
        <v>합계</v>
      </c>
      <c r="K13" s="61">
        <f>IF(K8=0,0,SUM(K4:K12)-F8)</f>
        <v>8755313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20199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-438.32700000144541</v>
      </c>
      <c r="G14" s="27"/>
      <c r="H14" s="27"/>
      <c r="I14" s="27"/>
      <c r="J14" s="27"/>
      <c r="K14" s="67">
        <f>SUM(K13-I13)</f>
        <v>-244.26899999938905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61453.131999999991</v>
      </c>
      <c r="P14" s="39" t="str">
        <f t="shared" si="4"/>
        <v>합계</v>
      </c>
      <c r="Q14" s="69">
        <f>SUM(Q5:Q13)</f>
        <v>19684275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-682.59600000083447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149</v>
      </c>
      <c r="Q20" s="53">
        <f>SUM(P20*1000)</f>
        <v>149000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224</v>
      </c>
      <c r="Q28" s="69">
        <f>SUM(Q19:Q27)</f>
        <v>173000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19502</v>
      </c>
      <c r="P31" s="103">
        <v>19585</v>
      </c>
      <c r="Q31" s="104">
        <f>P31-O31</f>
        <v>83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6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11.176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10.561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190.09800000000001</v>
      </c>
      <c r="M3" s="18" t="s">
        <v>10</v>
      </c>
      <c r="N3" s="3"/>
      <c r="O3" s="3"/>
      <c r="P3" s="146" t="str">
        <f>+'(1)'!C1&amp;"년"&amp;'(1)'!E1&amp;"월"&amp;C1&amp;"일"</f>
        <v>2023년4월18일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10838.55</v>
      </c>
      <c r="E4" s="34" t="str">
        <f>+'[1](1)'!E4</f>
        <v>고액권</v>
      </c>
      <c r="F4" s="36">
        <v>55000</v>
      </c>
      <c r="G4" s="27"/>
      <c r="H4" s="34" t="str">
        <f>+C4</f>
        <v>판매량</v>
      </c>
      <c r="I4" s="35">
        <v>8297.7950000000001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37480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19136.345000000001</v>
      </c>
      <c r="P5" s="47" t="str">
        <f>+E4</f>
        <v>고액권</v>
      </c>
      <c r="Q5" s="48">
        <f>SUM(F4+K4+F17+K17+F35+K35)</f>
        <v>165000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221.34299999999999</v>
      </c>
      <c r="E6" s="105" t="str">
        <f>+'[1](1)'!E6</f>
        <v>블루/레드포인트</v>
      </c>
      <c r="F6" s="44">
        <v>463</v>
      </c>
      <c r="G6" s="27"/>
      <c r="H6" s="42" t="str">
        <f t="shared" si="2"/>
        <v>외상전표</v>
      </c>
      <c r="I6" s="50">
        <v>27.210999999999999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248.55399999999997</v>
      </c>
      <c r="P7" s="106" t="str">
        <f t="shared" ref="P7:P14" si="4">+E6</f>
        <v>블루/레드포인트</v>
      </c>
      <c r="Q7" s="53">
        <f>SUM(F6+K6+F19+K19+F37+K37)</f>
        <v>463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11033522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19615196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70000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19615196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214.977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55.332000000000001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70000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-7524.1949999999997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-1936.6200000000001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270.30900000000003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-9460.8150000000005</v>
      </c>
      <c r="P12" s="51" t="str">
        <f t="shared" si="4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11161777.568999998</v>
      </c>
      <c r="E13" s="29" t="str">
        <f>+'[1](1)'!E13</f>
        <v>합계</v>
      </c>
      <c r="F13" s="61">
        <f>SUM(F4:F12)</f>
        <v>11161985</v>
      </c>
      <c r="G13" s="62"/>
      <c r="H13" s="29" t="str">
        <f t="shared" si="2"/>
        <v>합계</v>
      </c>
      <c r="I13" s="60">
        <f>SUM((I4-I5-I6-I7-I8-I9)*$I$1+I11)</f>
        <v>8698717.7480000015</v>
      </c>
      <c r="J13" s="29" t="str">
        <f t="shared" ref="J13" si="5">+E13</f>
        <v>합계</v>
      </c>
      <c r="K13" s="61">
        <f>IF(K8=0,0,SUM(K4:K12)-F8)</f>
        <v>8698674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207.43100000172853</v>
      </c>
      <c r="G14" s="27"/>
      <c r="H14" s="27"/>
      <c r="I14" s="27"/>
      <c r="J14" s="27"/>
      <c r="K14" s="67">
        <f>SUM(K13-I13)</f>
        <v>-43.74800000153482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66090.349000000002</v>
      </c>
      <c r="P14" s="39" t="str">
        <f t="shared" si="4"/>
        <v>합계</v>
      </c>
      <c r="Q14" s="69">
        <f>SUM(Q5:Q13)</f>
        <v>19860659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163.68300000019372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34</v>
      </c>
      <c r="Q19" s="48">
        <f>SUM(P19*1000)</f>
        <v>34000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156</v>
      </c>
      <c r="Q20" s="53">
        <f>SUM(P20*1000)</f>
        <v>156000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22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25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269</v>
      </c>
      <c r="Q28" s="69">
        <f>SUM(Q19:Q27)</f>
        <v>190000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19585</v>
      </c>
      <c r="P31" s="103">
        <v>19669</v>
      </c>
      <c r="Q31" s="104">
        <f>P31-O31</f>
        <v>84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11.237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10.597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201.34299999999999</v>
      </c>
      <c r="M3" s="18" t="s">
        <v>10</v>
      </c>
      <c r="N3" s="3"/>
      <c r="O3" s="3"/>
      <c r="P3" s="146" t="str">
        <f>+'(1)'!C1&amp;"년"&amp;'(1)'!E1&amp;"월"&amp;C1&amp;"일"</f>
        <v>2023년4월19일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10592.9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8648.2860000000001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53809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19241.186000000002</v>
      </c>
      <c r="P5" s="47" t="str">
        <f>+E4</f>
        <v>고액권</v>
      </c>
      <c r="Q5" s="48">
        <f>SUM(F4+K4+F17+K17+F35+K35)</f>
        <v>330000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223.613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19.841000000000001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243.45400000000001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10630822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19536809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19536809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209.875</v>
      </c>
      <c r="E10" s="42" t="str">
        <f>+'[1](1)'!E10</f>
        <v>OK케시백</v>
      </c>
      <c r="F10" s="44">
        <v>84465</v>
      </c>
      <c r="G10" s="27"/>
      <c r="H10" s="42" t="str">
        <f t="shared" si="2"/>
        <v>고객우대</v>
      </c>
      <c r="I10" s="50">
        <v>101.245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-7345.625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-3543.5750000000003</v>
      </c>
      <c r="J11" s="56" t="str">
        <f>+'[1](1)'!J11</f>
        <v>모바일</v>
      </c>
      <c r="K11" s="44">
        <v>20000</v>
      </c>
      <c r="L11" s="2"/>
      <c r="M11" s="20"/>
      <c r="N11" s="51" t="str">
        <f t="shared" si="3"/>
        <v>고객우대</v>
      </c>
      <c r="O11" s="54">
        <f>SUM(D10+I10+D23+I23+D41+I41)</f>
        <v>311.12</v>
      </c>
      <c r="P11" s="51" t="str">
        <f t="shared" si="4"/>
        <v>OK케시백</v>
      </c>
      <c r="Q11" s="53">
        <f>SUM(F10+K10+F23+K23+F41+K41)</f>
        <v>84465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-10889.2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10901144.299000001</v>
      </c>
      <c r="E13" s="29" t="str">
        <f>+'[1](1)'!E13</f>
        <v>합계</v>
      </c>
      <c r="F13" s="61">
        <f>SUM(F4:F12)</f>
        <v>10901287</v>
      </c>
      <c r="G13" s="62"/>
      <c r="H13" s="29" t="str">
        <f t="shared" si="2"/>
        <v>합계</v>
      </c>
      <c r="I13" s="60">
        <f>SUM((I4-I5-I6-I7-I8-I9)*$I$1+I11)</f>
        <v>9073580.5650000013</v>
      </c>
      <c r="J13" s="29" t="str">
        <f t="shared" ref="J13" si="5">+E13</f>
        <v>합계</v>
      </c>
      <c r="K13" s="61">
        <f>IF(K8=0,0,SUM(K4:K12)-F8)</f>
        <v>9072987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142.70099999941885</v>
      </c>
      <c r="G14" s="27"/>
      <c r="H14" s="27"/>
      <c r="I14" s="27"/>
      <c r="J14" s="27"/>
      <c r="K14" s="67">
        <f>SUM(K13-I13)</f>
        <v>-593.5650000013411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65101.728000000003</v>
      </c>
      <c r="P14" s="39" t="str">
        <f t="shared" si="4"/>
        <v>합계</v>
      </c>
      <c r="Q14" s="69">
        <f>SUM(Q5:Q13)</f>
        <v>19974274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-450.86400000192225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228</v>
      </c>
      <c r="Q20" s="53">
        <f>SUM(P20*1000)</f>
        <v>228000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-61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259</v>
      </c>
      <c r="Q28" s="69">
        <f>SUM(Q19:Q27)</f>
        <v>250000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19669</v>
      </c>
      <c r="P31" s="103">
        <v>19812</v>
      </c>
      <c r="Q31" s="104">
        <f>P31-O31</f>
        <v>143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7" sqref="I27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4</v>
      </c>
      <c r="F1" s="27"/>
      <c r="G1" s="27"/>
      <c r="H1" s="27"/>
      <c r="I1" s="27">
        <v>1052</v>
      </c>
      <c r="J1" s="27"/>
      <c r="K1" s="27"/>
      <c r="L1" s="31">
        <f>+ROUND(+O5*0.584/1000,3)</f>
        <v>7.0640000000000001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11.108000000000001</v>
      </c>
      <c r="M2" s="27" t="s">
        <v>7</v>
      </c>
      <c r="N2" s="134" t="s">
        <v>42</v>
      </c>
      <c r="O2" s="134"/>
      <c r="P2" s="134"/>
      <c r="Q2" s="13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22.216000000000001</v>
      </c>
      <c r="M3" s="27" t="s">
        <v>10</v>
      </c>
      <c r="N3" s="32"/>
      <c r="O3" s="32"/>
      <c r="P3" s="133" t="str">
        <f>+'(1)'!C1&amp;"년"&amp;'(1)'!E1&amp;"월"&amp;C1&amp;"일"</f>
        <v>2023년4월2일</v>
      </c>
      <c r="Q3" s="13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7232.8940000000002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4862.7359999999999</v>
      </c>
      <c r="J4" s="42" t="str">
        <f>+'[1](1)'!J4</f>
        <v>고액권</v>
      </c>
      <c r="K4" s="36">
        <v>70000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46662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37"/>
      <c r="M5" s="82"/>
      <c r="N5" s="45" t="str">
        <f>+C4</f>
        <v>판매량</v>
      </c>
      <c r="O5" s="46">
        <f>SUM(D4+I4+D17+I17+D35+I35)</f>
        <v>12095.630000000001</v>
      </c>
      <c r="P5" s="47" t="str">
        <f>+E4</f>
        <v>고액권</v>
      </c>
      <c r="Q5" s="48">
        <f>SUM(F4+K4+F17+K17+F35+K35)</f>
        <v>100000</v>
      </c>
      <c r="R5" s="49">
        <v>20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49">
        <v>2.7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7493433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12527668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12527668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103.14</v>
      </c>
      <c r="J10" s="42" t="str">
        <f>+'[1](1)'!J10</f>
        <v>OK케시백</v>
      </c>
      <c r="K10" s="44"/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45000</v>
      </c>
      <c r="G11" s="27"/>
      <c r="H11" s="83" t="str">
        <f t="shared" si="2"/>
        <v>-</v>
      </c>
      <c r="I11" s="55">
        <f>SUM(I10*-35)</f>
        <v>-3609.9</v>
      </c>
      <c r="J11" s="56" t="str">
        <f>+'[1](1)'!J11</f>
        <v>모바일</v>
      </c>
      <c r="K11" s="44">
        <v>9000</v>
      </c>
      <c r="L11" s="37"/>
      <c r="M11" s="82"/>
      <c r="N11" s="51" t="str">
        <f t="shared" si="3"/>
        <v>고객우대</v>
      </c>
      <c r="O11" s="54">
        <f>SUM(D10+I10+D23+I23+D41+I41)</f>
        <v>103.14</v>
      </c>
      <c r="P11" s="51" t="str">
        <f t="shared" si="4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40000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-3609.9</v>
      </c>
      <c r="P12" s="51" t="str">
        <f t="shared" si="4"/>
        <v>모바일</v>
      </c>
      <c r="Q12" s="53">
        <f>SUM(F11+K11+F24+K24+F42+K42)</f>
        <v>54000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7609004.4879999999</v>
      </c>
      <c r="E13" s="29" t="str">
        <f>+'[1](1)'!E13</f>
        <v>합계</v>
      </c>
      <c r="F13" s="61">
        <f>SUM(F4:F12)</f>
        <v>7608433</v>
      </c>
      <c r="G13" s="62"/>
      <c r="H13" s="29" t="str">
        <f t="shared" si="2"/>
        <v>합계</v>
      </c>
      <c r="I13" s="60">
        <f>SUM((I4-I5-I6-I7-I8-I9)*$I$1+I11)</f>
        <v>5111988.3719999995</v>
      </c>
      <c r="J13" s="29" t="str">
        <f t="shared" ref="J13" si="5">+E13</f>
        <v>합계</v>
      </c>
      <c r="K13" s="61">
        <f>IF(K8=0,0,SUM(K4:K12)-F8)</f>
        <v>5113235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40000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-571.48799999989569</v>
      </c>
      <c r="G14" s="27"/>
      <c r="H14" s="27"/>
      <c r="I14" s="27"/>
      <c r="J14" s="27"/>
      <c r="K14" s="67">
        <f>SUM(K13-I13)</f>
        <v>1246.6280000004917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44772.62</v>
      </c>
      <c r="P14" s="39" t="str">
        <f t="shared" si="4"/>
        <v>합계</v>
      </c>
      <c r="Q14" s="69">
        <f>SUM(Q5:Q13)</f>
        <v>12721668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675.14000000059605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5</v>
      </c>
      <c r="Q19" s="48">
        <f>SUM(P19*1000)</f>
        <v>5000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108</v>
      </c>
      <c r="Q20" s="53">
        <f>SUM(P20*1000)</f>
        <v>108000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3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19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11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6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7"/>
      <c r="O26" s="138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-22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1" t="s">
        <v>40</v>
      </c>
      <c r="O28" s="132"/>
      <c r="P28" s="120">
        <v>130</v>
      </c>
      <c r="Q28" s="69">
        <f>SUM(Q19:Q27)</f>
        <v>113000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18696</v>
      </c>
      <c r="P31" s="103">
        <v>18766</v>
      </c>
      <c r="Q31" s="104">
        <f>P31-O31</f>
        <v>70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32" sqref="K3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11.084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10.621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212.42000000000002</v>
      </c>
      <c r="M3" s="18" t="s">
        <v>10</v>
      </c>
      <c r="N3" s="3"/>
      <c r="O3" s="3"/>
      <c r="P3" s="146" t="str">
        <f>+'(1)'!C1&amp;"년"&amp;'(1)'!E1&amp;"월"&amp;C1&amp;"일"</f>
        <v>2023년4월20일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10508.598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8470.5630000000001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34230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18979.161</v>
      </c>
      <c r="P5" s="47" t="str">
        <f>+E4</f>
        <v>고액권</v>
      </c>
      <c r="Q5" s="48">
        <f>SUM(F4+K4+F17+K17+F35+K35)</f>
        <v>290000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313.04500000000002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313.04500000000002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10634080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19334284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19334284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277.72199999999998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-9720.2699999999986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277.72199999999998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-9720.2699999999986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10716001.486</v>
      </c>
      <c r="E13" s="29" t="str">
        <f>+'[1](1)'!E13</f>
        <v>합계</v>
      </c>
      <c r="F13" s="61">
        <f>SUM(F4:F12)</f>
        <v>10716080</v>
      </c>
      <c r="G13" s="62"/>
      <c r="H13" s="29" t="str">
        <f t="shared" si="2"/>
        <v>합계</v>
      </c>
      <c r="I13" s="60">
        <f>SUM((I4-I5-I6-I7-I8-I9)*$I$1+I11)</f>
        <v>8911032.2760000005</v>
      </c>
      <c r="J13" s="29" t="str">
        <f t="shared" ref="J13" si="5">+E13</f>
        <v>합계</v>
      </c>
      <c r="K13" s="61">
        <f>IF(K8=0,0,SUM(K4:K12)-F8)</f>
        <v>8910204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78.514000000432134</v>
      </c>
      <c r="G14" s="27"/>
      <c r="H14" s="27"/>
      <c r="I14" s="27"/>
      <c r="J14" s="27"/>
      <c r="K14" s="67">
        <f>SUM(K13-I13)</f>
        <v>-828.27600000053644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64944.19400000001</v>
      </c>
      <c r="P14" s="39" t="str">
        <f t="shared" si="4"/>
        <v>합계</v>
      </c>
      <c r="Q14" s="69">
        <f>SUM(Q5:Q13)</f>
        <v>19626284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-749.76200000010431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95</v>
      </c>
      <c r="Q20" s="53">
        <f>SUM(P20*1000)</f>
        <v>95000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21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172</v>
      </c>
      <c r="Q28" s="69">
        <f>SUM(Q19:Q27)</f>
        <v>109000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19812</v>
      </c>
      <c r="P31" s="103">
        <v>19871</v>
      </c>
      <c r="Q31" s="104">
        <f>P31-O31</f>
        <v>59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12.452999999999999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10.708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224.86799999999999</v>
      </c>
      <c r="M3" s="18" t="s">
        <v>10</v>
      </c>
      <c r="N3" s="3"/>
      <c r="O3" s="3"/>
      <c r="P3" s="146" t="str">
        <f>+'(1)'!C1&amp;"년"&amp;'(1)'!E1&amp;"월"&amp;C1&amp;"일"</f>
        <v>2023년4월21일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12011.508</v>
      </c>
      <c r="E4" s="34" t="str">
        <f>+'[1](1)'!E4</f>
        <v>고액권</v>
      </c>
      <c r="F4" s="36">
        <v>280000</v>
      </c>
      <c r="G4" s="27"/>
      <c r="H4" s="34" t="str">
        <f>+C4</f>
        <v>판매량</v>
      </c>
      <c r="I4" s="35">
        <v>9311.8809999999994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47938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21323.388999999999</v>
      </c>
      <c r="P5" s="47" t="str">
        <f>+E4</f>
        <v>고액권</v>
      </c>
      <c r="Q5" s="48">
        <f>SUM(F4+K4+F17+K17+F35+K35)</f>
        <v>370000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246.28800000000001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246.28800000000001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11988482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21742535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21742535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366.11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-12813.85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366.11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51859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-12813.85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12364197.59</v>
      </c>
      <c r="E13" s="29" t="str">
        <f>+'[1](1)'!E13</f>
        <v>합계</v>
      </c>
      <c r="F13" s="61">
        <f>SUM(F4:F12)</f>
        <v>12325341</v>
      </c>
      <c r="G13" s="62"/>
      <c r="H13" s="29" t="str">
        <f t="shared" si="2"/>
        <v>합계</v>
      </c>
      <c r="I13" s="60">
        <f>SUM((I4-I5-I6-I7-I8-I9)*$I$1+I11)</f>
        <v>9796098.811999999</v>
      </c>
      <c r="J13" s="29" t="str">
        <f t="shared" ref="J13" si="5">+E13</f>
        <v>합계</v>
      </c>
      <c r="K13" s="61">
        <f>IF(K8=0,0,SUM(K4:K12)-F8)</f>
        <v>9847053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51859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-38856.589999999851</v>
      </c>
      <c r="G14" s="27"/>
      <c r="H14" s="27"/>
      <c r="I14" s="27"/>
      <c r="J14" s="27"/>
      <c r="K14" s="67">
        <f>SUM(K13-I13)</f>
        <v>50954.188000001013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71494.553999999989</v>
      </c>
      <c r="P14" s="39" t="str">
        <f t="shared" si="4"/>
        <v>합계</v>
      </c>
      <c r="Q14" s="69">
        <f>SUM(Q5:Q13)</f>
        <v>22172394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12097.598000001162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207</v>
      </c>
      <c r="Q20" s="53">
        <f>SUM(P20*1000)</f>
        <v>207000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246</v>
      </c>
      <c r="Q28" s="69">
        <f>SUM(Q19:Q27)</f>
        <v>230000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19871</v>
      </c>
      <c r="P31" s="103">
        <v>20000</v>
      </c>
      <c r="Q31" s="104">
        <f>P31-O31</f>
        <v>129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10.695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235.29000000000002</v>
      </c>
      <c r="M3" s="18" t="s">
        <v>10</v>
      </c>
      <c r="N3" s="3"/>
      <c r="O3" s="3"/>
      <c r="P3" s="146" t="str">
        <f>+'(1)'!C1&amp;"년"&amp;'(1)'!E1&amp;"월"&amp;C1&amp;"일"</f>
        <v>2023년4월22일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9578.8250000000007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8271.9989999999998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30154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17850.824000000001</v>
      </c>
      <c r="P5" s="47" t="str">
        <f>+E4</f>
        <v>고액권</v>
      </c>
      <c r="Q5" s="48">
        <f>SUM(F4+K4+F17+K17+F35+K35)</f>
        <v>275000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141.209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141.209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9742619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18266940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18266940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220.18700000000001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-7706.5450000000001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220.18700000000001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56418</v>
      </c>
      <c r="L12" s="2"/>
      <c r="M12" s="20"/>
      <c r="N12" s="51" t="str">
        <f t="shared" si="3"/>
        <v>-</v>
      </c>
      <c r="O12" s="55">
        <f>SUM(O11*-35)</f>
        <v>-7706.5450000000001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9920665.4869999997</v>
      </c>
      <c r="E13" s="29" t="str">
        <f>+'[1](1)'!E13</f>
        <v>합계</v>
      </c>
      <c r="F13" s="61">
        <f>SUM(F4:F12)</f>
        <v>9920619</v>
      </c>
      <c r="G13" s="62"/>
      <c r="H13" s="29" t="str">
        <f t="shared" si="2"/>
        <v>합계</v>
      </c>
      <c r="I13" s="60">
        <f>SUM((I4-I5-I6-I7-I8-I9)*$I$1+I11)</f>
        <v>8702142.9479999989</v>
      </c>
      <c r="J13" s="29" t="str">
        <f t="shared" ref="J13" si="5">+E13</f>
        <v>합계</v>
      </c>
      <c r="K13" s="61">
        <f>IF(K8=0,0,SUM(K4:K12)-F8)</f>
        <v>8703739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56418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-46.486999999731779</v>
      </c>
      <c r="G14" s="27"/>
      <c r="H14" s="27"/>
      <c r="I14" s="27"/>
      <c r="J14" s="27"/>
      <c r="K14" s="67">
        <f>SUM(K13-I13)</f>
        <v>1596.0520000010729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63131.915000000008</v>
      </c>
      <c r="P14" s="39" t="str">
        <f t="shared" si="4"/>
        <v>합계</v>
      </c>
      <c r="Q14" s="69">
        <f>SUM(Q5:Q13)</f>
        <v>18624358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1549.5650000013411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175</v>
      </c>
      <c r="Q20" s="53">
        <f>SUM(P20*1000)</f>
        <v>175000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195</v>
      </c>
      <c r="Q28" s="69">
        <f>SUM(Q19:Q27)</f>
        <v>187000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20000</v>
      </c>
      <c r="P31" s="103">
        <v>20108</v>
      </c>
      <c r="Q31" s="104">
        <f>P31-O31</f>
        <v>108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6.8579999999999997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10.528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242.14400000000001</v>
      </c>
      <c r="M3" s="18" t="s">
        <v>10</v>
      </c>
      <c r="N3" s="3"/>
      <c r="O3" s="3"/>
      <c r="P3" s="146" t="str">
        <f>+'(1)'!C1&amp;"년"&amp;'(1)'!E1&amp;"월"&amp;C1&amp;"일"</f>
        <v>2023년4월23일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6760.7820000000002</v>
      </c>
      <c r="E4" s="34" t="str">
        <f>+'[1](1)'!E4</f>
        <v>고액권</v>
      </c>
      <c r="F4" s="36">
        <v>215000</v>
      </c>
      <c r="G4" s="27"/>
      <c r="H4" s="34" t="str">
        <f>+C4</f>
        <v>판매량</v>
      </c>
      <c r="I4" s="35">
        <v>4982.22</v>
      </c>
      <c r="J4" s="42" t="str">
        <f>+'[1](1)'!J4</f>
        <v>고액권</v>
      </c>
      <c r="K4" s="36">
        <v>97000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53553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11743.002</v>
      </c>
      <c r="P5" s="47" t="str">
        <f>+E4</f>
        <v>고액권</v>
      </c>
      <c r="Q5" s="48">
        <f>SUM(F4+K4+F17+K17+F35+K35)</f>
        <v>312000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6860241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11983449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11983449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55.762</v>
      </c>
      <c r="E10" s="42" t="str">
        <f>+'[1](1)'!E10</f>
        <v>OK케시백</v>
      </c>
      <c r="F10" s="44">
        <v>6875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20000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-1951.67</v>
      </c>
      <c r="E11" s="42" t="str">
        <f>+'[1](1)'!E11</f>
        <v>모바일</v>
      </c>
      <c r="F11" s="44">
        <v>25000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55.762</v>
      </c>
      <c r="P11" s="51" t="str">
        <f t="shared" si="4"/>
        <v>OK케시백</v>
      </c>
      <c r="Q11" s="53">
        <f>SUM(F10+K10+F23+K23+F41+K41)</f>
        <v>26875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-1951.67</v>
      </c>
      <c r="P12" s="51" t="str">
        <f t="shared" si="4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7110390.9939999999</v>
      </c>
      <c r="E13" s="29" t="str">
        <f>+'[1](1)'!E13</f>
        <v>합계</v>
      </c>
      <c r="F13" s="61">
        <f>SUM(F4:F12)</f>
        <v>7109116</v>
      </c>
      <c r="G13" s="62"/>
      <c r="H13" s="29" t="str">
        <f t="shared" si="2"/>
        <v>합계</v>
      </c>
      <c r="I13" s="60">
        <f>SUM((I4-I5-I6-I7-I8-I9)*$I$1+I11)</f>
        <v>5241295.4400000004</v>
      </c>
      <c r="J13" s="29" t="str">
        <f t="shared" ref="J13" si="5">+E13</f>
        <v>합계</v>
      </c>
      <c r="K13" s="61">
        <f>IF(K8=0,0,SUM(K4:K12)-F8)</f>
        <v>5241208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-1274.9939999999478</v>
      </c>
      <c r="G14" s="27"/>
      <c r="H14" s="27"/>
      <c r="I14" s="27"/>
      <c r="J14" s="27"/>
      <c r="K14" s="67">
        <f>SUM(K13-I13)</f>
        <v>-87.440000000409782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45020.338000000003</v>
      </c>
      <c r="P14" s="39" t="str">
        <f t="shared" si="4"/>
        <v>합계</v>
      </c>
      <c r="Q14" s="69">
        <f>SUM(Q5:Q13)</f>
        <v>12350324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-1362.4340000003576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106</v>
      </c>
      <c r="Q20" s="53">
        <f>SUM(P20*1000)</f>
        <v>106000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131</v>
      </c>
      <c r="Q28" s="69">
        <f>SUM(Q19:Q27)</f>
        <v>110000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20108</v>
      </c>
      <c r="P31" s="103">
        <v>20179</v>
      </c>
      <c r="Q31" s="104">
        <f>P31-O31</f>
        <v>71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M28" sqref="M28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10.519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10.528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252.67200000000003</v>
      </c>
      <c r="M3" s="18" t="s">
        <v>10</v>
      </c>
      <c r="N3" s="3"/>
      <c r="O3" s="3"/>
      <c r="P3" s="146" t="str">
        <f>+'(1)'!C1&amp;"년"&amp;'(1)'!E1&amp;"월"&amp;C1&amp;"일"</f>
        <v>2023년4월24일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9799.89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8212.5619999999999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34891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18012.451999999997</v>
      </c>
      <c r="P5" s="47" t="str">
        <f>+E4</f>
        <v>고액권</v>
      </c>
      <c r="Q5" s="48">
        <f>SUM(F4+K4+F17+K17+F35+K35)</f>
        <v>255000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185.23500000000001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19.353999999999999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204.589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47.645000000000003</v>
      </c>
      <c r="E8" s="42" t="str">
        <f>+'[1](1)'!E8</f>
        <v>신용카드</v>
      </c>
      <c r="F8" s="44">
        <v>9904613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18414894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47.645000000000003</v>
      </c>
      <c r="P9" s="51" t="str">
        <f t="shared" si="4"/>
        <v>신용카드</v>
      </c>
      <c r="Q9" s="53">
        <f>IF(K8=0,F8,IF(F21=0,K8,IF(K21=0,F21,K21)))</f>
        <v>18414894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67.534000000000006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96.626999999999995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-2363.69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-3381.9449999999997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164.161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-5745.6350000000002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10062130.829999998</v>
      </c>
      <c r="E13" s="29" t="str">
        <f>+'[1](1)'!E13</f>
        <v>합계</v>
      </c>
      <c r="F13" s="61">
        <f>SUM(F4:F12)</f>
        <v>10061613</v>
      </c>
      <c r="G13" s="62"/>
      <c r="H13" s="29" t="str">
        <f t="shared" si="2"/>
        <v>합계</v>
      </c>
      <c r="I13" s="60">
        <f>SUM((I4-I5-I6-I7-I8-I9)*$I$1+I11)</f>
        <v>8615872.8709999993</v>
      </c>
      <c r="J13" s="29" t="str">
        <f t="shared" ref="J13" si="5">+E13</f>
        <v>합계</v>
      </c>
      <c r="K13" s="61">
        <f>IF(K8=0,0,SUM(K4:K12)-F8)</f>
        <v>8616281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-517.82999999821186</v>
      </c>
      <c r="G14" s="27"/>
      <c r="H14" s="27"/>
      <c r="I14" s="27"/>
      <c r="J14" s="27"/>
      <c r="K14" s="67">
        <f>SUM(K13-I13)</f>
        <v>408.12900000065565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65295.236999999986</v>
      </c>
      <c r="P14" s="39" t="str">
        <f t="shared" si="4"/>
        <v>합계</v>
      </c>
      <c r="Q14" s="69">
        <f>SUM(Q5:Q13)</f>
        <v>18677894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-109.70099999755621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111</v>
      </c>
      <c r="Q20" s="53">
        <f>SUM(P20*1000)</f>
        <v>111000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174</v>
      </c>
      <c r="Q28" s="69">
        <f>SUM(Q19:Q27)</f>
        <v>132000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20179</v>
      </c>
      <c r="P31" s="103">
        <v>20260</v>
      </c>
      <c r="Q31" s="104">
        <f>P31-O31</f>
        <v>81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10.316000000000001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10.52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263</v>
      </c>
      <c r="M3" s="18" t="s">
        <v>10</v>
      </c>
      <c r="N3" s="3"/>
      <c r="O3" s="3"/>
      <c r="P3" s="146" t="str">
        <f>+'(1)'!C1&amp;"년"&amp;'(1)'!E1&amp;"월"&amp;C1&amp;"일"</f>
        <v>2023년4월25일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9583.125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8081.4170000000004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52183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17664.542000000001</v>
      </c>
      <c r="P5" s="47" t="str">
        <f>+E4</f>
        <v>고액권</v>
      </c>
      <c r="Q5" s="48">
        <f>SUM(F4+K4+F17+K17+F35+K35)</f>
        <v>300000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319.41399999999999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26.58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345.99399999999997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9513185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17866865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17866865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377.67700000000002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60.929000000000002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-13218.695000000002</v>
      </c>
      <c r="E11" s="42" t="str">
        <f>+'[1](1)'!E11</f>
        <v>모바일</v>
      </c>
      <c r="F11" s="44">
        <v>29000</v>
      </c>
      <c r="G11" s="27"/>
      <c r="H11" s="83" t="str">
        <f t="shared" si="2"/>
        <v>-</v>
      </c>
      <c r="I11" s="55">
        <f>SUM(I10*-35)</f>
        <v>-2132.5149999999999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438.60599999999999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-15351.21</v>
      </c>
      <c r="P12" s="51" t="str">
        <f t="shared" si="4"/>
        <v>모바일</v>
      </c>
      <c r="Q12" s="53">
        <f>SUM(F11+K11+F24+K24+F42+K42)</f>
        <v>33000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9732205.2769999988</v>
      </c>
      <c r="E13" s="29" t="str">
        <f>+'[1](1)'!E13</f>
        <v>합계</v>
      </c>
      <c r="F13" s="61">
        <f>SUM(F4:F12)</f>
        <v>9732185</v>
      </c>
      <c r="G13" s="62"/>
      <c r="H13" s="29" t="str">
        <f t="shared" si="2"/>
        <v>합계</v>
      </c>
      <c r="I13" s="60">
        <f>SUM((I4-I5-I6-I7-I8-I9)*$I$1+I11)</f>
        <v>8471556.0089999996</v>
      </c>
      <c r="J13" s="29" t="str">
        <f t="shared" ref="J13" si="5">+E13</f>
        <v>합계</v>
      </c>
      <c r="K13" s="61">
        <f>IF(K8=0,0,SUM(K4:K12)-F8)</f>
        <v>8471680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-20.276999998837709</v>
      </c>
      <c r="G14" s="27"/>
      <c r="H14" s="27"/>
      <c r="I14" s="27"/>
      <c r="J14" s="27"/>
      <c r="K14" s="67">
        <f>SUM(K13-I13)</f>
        <v>123.99100000038743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53922.982000000011</v>
      </c>
      <c r="P14" s="39" t="str">
        <f t="shared" si="4"/>
        <v>합계</v>
      </c>
      <c r="Q14" s="69">
        <f>SUM(Q5:Q13)</f>
        <v>18203865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103.71400000154972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129</v>
      </c>
      <c r="Q28" s="69">
        <f>SUM(Q19:Q27)</f>
        <v>69000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20260</v>
      </c>
      <c r="P31" s="103">
        <v>20293</v>
      </c>
      <c r="Q31" s="104">
        <f>P31-O31</f>
        <v>33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11.954000000000001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10.574999999999999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274.95</v>
      </c>
      <c r="M3" s="18" t="s">
        <v>10</v>
      </c>
      <c r="N3" s="3"/>
      <c r="O3" s="3"/>
      <c r="P3" s="146" t="str">
        <f>+'(1)'!C1&amp;"년"&amp;'(1)'!E1&amp;"월"&amp;C1&amp;"일"</f>
        <v>2023년4월26일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12155.828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8313.8439999999991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31472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20469.671999999999</v>
      </c>
      <c r="P5" s="47" t="str">
        <f>+E4</f>
        <v>고액권</v>
      </c>
      <c r="Q5" s="48">
        <f>SUM(F4+K4+F17+K17+F35+K35)</f>
        <v>415000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195.40600000000001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195.40600000000001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12285000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20830550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20830550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440.08600000000001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63.25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-15403.01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-2213.75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503.33600000000001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56923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-17616.760000000002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12566960.933999998</v>
      </c>
      <c r="E13" s="29" t="str">
        <f>+'[1](1)'!E13</f>
        <v>합계</v>
      </c>
      <c r="F13" s="61">
        <f>SUM(F4:F12)</f>
        <v>12568923</v>
      </c>
      <c r="G13" s="62"/>
      <c r="H13" s="29" t="str">
        <f t="shared" si="2"/>
        <v>합계</v>
      </c>
      <c r="I13" s="60">
        <f>SUM((I4-I5-I6-I7-I8-I9)*$I$1+I11)</f>
        <v>8743950.1379999984</v>
      </c>
      <c r="J13" s="29" t="str">
        <f t="shared" ref="J13" si="5">+E13</f>
        <v>합계</v>
      </c>
      <c r="K13" s="61">
        <f>IF(K8=0,0,SUM(K4:K12)-F8)</f>
        <v>8742550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56923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1962.066000001505</v>
      </c>
      <c r="G14" s="27"/>
      <c r="H14" s="27"/>
      <c r="I14" s="27"/>
      <c r="J14" s="27"/>
      <c r="K14" s="67">
        <f>SUM(K13-I13)</f>
        <v>-1400.1379999984056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63480.303999999996</v>
      </c>
      <c r="P14" s="39" t="str">
        <f t="shared" si="4"/>
        <v>합계</v>
      </c>
      <c r="Q14" s="69">
        <f>SUM(Q5:Q13)</f>
        <v>21311473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561.92800000309944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37</v>
      </c>
      <c r="Q19" s="48">
        <f>SUM(P19*1000)</f>
        <v>37000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209</v>
      </c>
      <c r="Q20" s="53">
        <f>SUM(P20*1000)</f>
        <v>209000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30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314</v>
      </c>
      <c r="Q28" s="69">
        <f>SUM(Q19:Q27)</f>
        <v>246000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20293</v>
      </c>
      <c r="P31" s="103">
        <v>20421</v>
      </c>
      <c r="Q31" s="104">
        <f>P31-O31</f>
        <v>128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11.375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10.605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286.33500000000004</v>
      </c>
      <c r="M3" s="18" t="s">
        <v>10</v>
      </c>
      <c r="N3" s="3"/>
      <c r="O3" s="3"/>
      <c r="P3" s="146" t="str">
        <f>+'(1)'!C1&amp;"년"&amp;'(1)'!E1&amp;"월"&amp;C1&amp;"일"</f>
        <v>2023년4월27일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10406.530000000001</v>
      </c>
      <c r="E4" s="34" t="str">
        <f>+'[1](1)'!E4</f>
        <v>고액권</v>
      </c>
      <c r="F4" s="36">
        <v>325000</v>
      </c>
      <c r="G4" s="27"/>
      <c r="H4" s="34" t="str">
        <f>+C4</f>
        <v>판매량</v>
      </c>
      <c r="I4" s="35">
        <v>9071.9189999999999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46641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19478.449000000001</v>
      </c>
      <c r="P5" s="47" t="str">
        <f>+E4</f>
        <v>고액권</v>
      </c>
      <c r="Q5" s="48">
        <f>SUM(F4+K4+F17+K17+F35+K35)</f>
        <v>415000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189.703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24.779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214.482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10349943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19773597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19773597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160.64699999999999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-5622.6449999999995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160.64699999999999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-5622.6449999999995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10742479.359000001</v>
      </c>
      <c r="E13" s="29" t="str">
        <f>+'[1](1)'!E13</f>
        <v>합계</v>
      </c>
      <c r="F13" s="61">
        <f>SUM(F4:F12)</f>
        <v>10742943</v>
      </c>
      <c r="G13" s="62"/>
      <c r="H13" s="29" t="str">
        <f t="shared" si="2"/>
        <v>합계</v>
      </c>
      <c r="I13" s="60">
        <f>SUM((I4-I5-I6-I7-I8-I9)*$I$1+I11)</f>
        <v>9517591.2799999993</v>
      </c>
      <c r="J13" s="29" t="str">
        <f t="shared" ref="J13" si="5">+E13</f>
        <v>합계</v>
      </c>
      <c r="K13" s="61">
        <f>IF(K8=0,0,SUM(K4:K12)-F8)</f>
        <v>9517654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463.64099999889731</v>
      </c>
      <c r="G14" s="27"/>
      <c r="H14" s="27"/>
      <c r="I14" s="27"/>
      <c r="J14" s="27"/>
      <c r="K14" s="67">
        <f>SUM(K13-I13)</f>
        <v>62.720000000670552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71433.222999999998</v>
      </c>
      <c r="P14" s="39" t="str">
        <f t="shared" si="4"/>
        <v>합계</v>
      </c>
      <c r="Q14" s="69">
        <f>SUM(Q5:Q13)</f>
        <v>20260597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526.36099999956787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166</v>
      </c>
      <c r="Q20" s="53">
        <f>SUM(P20*1000)</f>
        <v>166000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194</v>
      </c>
      <c r="Q28" s="69">
        <f>SUM(Q19:Q27)</f>
        <v>175000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20421</v>
      </c>
      <c r="P31" s="103">
        <v>20527</v>
      </c>
      <c r="Q31" s="104">
        <f>P31-O31</f>
        <v>106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V40"/>
  <sheetViews>
    <sheetView workbookViewId="0">
      <selection activeCell="B4" sqref="B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2:22" ht="18.75" customHeight="1">
      <c r="C1" s="8">
        <v>28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11.756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2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10.646000000000001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2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298.08800000000002</v>
      </c>
      <c r="M3" s="18" t="s">
        <v>10</v>
      </c>
      <c r="N3" s="3"/>
      <c r="O3" s="3"/>
      <c r="P3" s="146" t="str">
        <f>+'(1)'!C1&amp;"년"&amp;'(1)'!E1&amp;"월"&amp;C1&amp;"일"</f>
        <v>2023년4월28일</v>
      </c>
      <c r="Q3" s="146"/>
      <c r="R3" s="4"/>
      <c r="S3" s="1"/>
      <c r="T3" s="1"/>
      <c r="U3" s="1"/>
      <c r="V3" s="1"/>
    </row>
    <row r="4" spans="2:22" ht="16.5" customHeight="1" thickBot="1">
      <c r="B4" s="10">
        <v>10000</v>
      </c>
      <c r="C4" s="34" t="str">
        <f>+'(1)'!C4</f>
        <v>판매량</v>
      </c>
      <c r="D4" s="35">
        <v>10813.674999999999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9316.9130000000005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26384</v>
      </c>
      <c r="S4" s="6" t="s">
        <v>2</v>
      </c>
      <c r="T4" s="1"/>
      <c r="U4" s="1"/>
      <c r="V4" s="1"/>
    </row>
    <row r="5" spans="2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20130.588</v>
      </c>
      <c r="P5" s="47" t="str">
        <f>+E4</f>
        <v>고액권</v>
      </c>
      <c r="Q5" s="48">
        <f>SUM(F4+K4+F17+K17+F35+K35)</f>
        <v>350000</v>
      </c>
      <c r="R5" s="7">
        <v>22</v>
      </c>
      <c r="S5" s="6" t="s">
        <v>3</v>
      </c>
      <c r="T5" s="1"/>
      <c r="U5" s="1"/>
      <c r="V5" s="1"/>
    </row>
    <row r="6" spans="2:22" ht="16.5" customHeight="1">
      <c r="C6" s="83" t="str">
        <f>+'(1)'!C6</f>
        <v>외상전표</v>
      </c>
      <c r="D6" s="50">
        <v>360.18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1.6</v>
      </c>
      <c r="S6" s="6" t="s">
        <v>4</v>
      </c>
      <c r="T6" s="1"/>
      <c r="U6" s="1"/>
      <c r="V6" s="1"/>
    </row>
    <row r="7" spans="2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537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360.18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2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10791767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20404673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537</v>
      </c>
      <c r="R8" s="7"/>
      <c r="S8" s="1"/>
      <c r="T8" s="1"/>
      <c r="U8" s="1"/>
      <c r="V8" s="1"/>
    </row>
    <row r="9" spans="2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20404673</v>
      </c>
      <c r="R9" s="5"/>
      <c r="S9" s="1"/>
      <c r="T9" s="1"/>
      <c r="U9" s="1"/>
      <c r="V9" s="1"/>
    </row>
    <row r="10" spans="2:22" ht="16.5" customHeight="1">
      <c r="C10" s="83" t="str">
        <f>+'(1)'!C10</f>
        <v>고객우대</v>
      </c>
      <c r="D10" s="50">
        <v>276.80399999999997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103.80200000000001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2:22" ht="16.5" customHeight="1" thickBot="1">
      <c r="C11" s="83" t="str">
        <f>+'(1)'!C11</f>
        <v>-</v>
      </c>
      <c r="D11" s="55">
        <f>SUM(D10*-35)</f>
        <v>-9688.14</v>
      </c>
      <c r="E11" s="42" t="str">
        <f>+'[1](1)'!E11</f>
        <v>모바일</v>
      </c>
      <c r="F11" s="44">
        <v>25000</v>
      </c>
      <c r="G11" s="27"/>
      <c r="H11" s="83" t="str">
        <f t="shared" si="2"/>
        <v>-</v>
      </c>
      <c r="I11" s="55">
        <f>SUM(I10*-35)</f>
        <v>-3633.07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380.60599999999999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2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-13321.21</v>
      </c>
      <c r="P12" s="51" t="str">
        <f t="shared" si="4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2:22" ht="16.5" customHeight="1" thickBot="1">
      <c r="C13" s="29" t="str">
        <f>+'(1)'!C13</f>
        <v>합계</v>
      </c>
      <c r="D13" s="60">
        <f>SUM((D4-D5-D6-D7-D8-D9)*$I$1+D11)</f>
        <v>10987388.599999998</v>
      </c>
      <c r="E13" s="29" t="str">
        <f>+'[1](1)'!E13</f>
        <v>합계</v>
      </c>
      <c r="F13" s="61">
        <f>SUM(F4:F12)</f>
        <v>10986304</v>
      </c>
      <c r="G13" s="62"/>
      <c r="H13" s="29" t="str">
        <f t="shared" si="2"/>
        <v>합계</v>
      </c>
      <c r="I13" s="60">
        <f>SUM((I4-I5-I6-I7-I8-I9)*$I$1+I11)</f>
        <v>9797759.4059999995</v>
      </c>
      <c r="J13" s="29" t="str">
        <f t="shared" ref="J13" si="5">+E13</f>
        <v>합계</v>
      </c>
      <c r="K13" s="61">
        <f>IF(K8=0,0,SUM(K4:K12)-F8)</f>
        <v>9797906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2:22" ht="16.5" customHeight="1" thickBot="1">
      <c r="C14" s="37"/>
      <c r="D14" s="27"/>
      <c r="E14" s="27"/>
      <c r="F14" s="67">
        <f>SUM(F13-D13)</f>
        <v>-1084.5999999977648</v>
      </c>
      <c r="G14" s="27"/>
      <c r="H14" s="27"/>
      <c r="I14" s="27"/>
      <c r="J14" s="27"/>
      <c r="K14" s="67">
        <f>SUM(K13-I13)</f>
        <v>146.59400000050664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65760.421999999991</v>
      </c>
      <c r="P14" s="39" t="str">
        <f t="shared" si="4"/>
        <v>합계</v>
      </c>
      <c r="Q14" s="69">
        <f>SUM(Q5:Q13)</f>
        <v>20784210</v>
      </c>
      <c r="R14" s="1"/>
      <c r="S14" s="1"/>
      <c r="T14" s="1"/>
      <c r="U14" s="1"/>
      <c r="V14" s="1"/>
    </row>
    <row r="15" spans="2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-938.00599999725819</v>
      </c>
      <c r="R15" s="1"/>
      <c r="S15" s="1"/>
      <c r="T15" s="1"/>
      <c r="U15" s="1"/>
      <c r="V15" s="1"/>
    </row>
    <row r="16" spans="2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142</v>
      </c>
      <c r="Q20" s="53">
        <f>SUM(P20*1000)</f>
        <v>142000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-36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163</v>
      </c>
      <c r="Q28" s="69">
        <f>SUM(Q19:Q27)</f>
        <v>154000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20527</v>
      </c>
      <c r="P31" s="103">
        <v>20616</v>
      </c>
      <c r="Q31" s="104">
        <f>P31-O31</f>
        <v>89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9.8109999999999999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10.617000000000001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307.89300000000003</v>
      </c>
      <c r="M3" s="18" t="s">
        <v>10</v>
      </c>
      <c r="N3" s="3"/>
      <c r="O3" s="3"/>
      <c r="P3" s="146" t="str">
        <f>+'(1)'!C1&amp;"년"&amp;'(1)'!E1&amp;"월"&amp;C1&amp;"일"</f>
        <v>2023년4월29일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8389.2279999999992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8410.8619999999992</v>
      </c>
      <c r="J4" s="42" t="str">
        <f>+'[1](1)'!J4</f>
        <v>고액권</v>
      </c>
      <c r="K4" s="130">
        <v>115000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30790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16800.089999999997</v>
      </c>
      <c r="P5" s="47" t="str">
        <f>+E4</f>
        <v>고액권</v>
      </c>
      <c r="Q5" s="48">
        <f>SUM(F4+K4+F17+K17+F35+K35)</f>
        <v>340000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86.9</v>
      </c>
      <c r="E6" s="105" t="str">
        <f>+'[1](1)'!E6</f>
        <v>블루/레드포인트</v>
      </c>
      <c r="F6" s="44">
        <v>36029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86.9</v>
      </c>
      <c r="P7" s="106" t="str">
        <f t="shared" ref="P7:P14" si="4">+E6</f>
        <v>블루/레드포인트</v>
      </c>
      <c r="Q7" s="53">
        <f>SUM(F6+K6+F19+K19+F37+K37)</f>
        <v>36029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8463364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17202030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17202030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49.106999999999999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-1718.7449999999999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49.106999999999999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-1718.7449999999999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8732330.3110000007</v>
      </c>
      <c r="E13" s="29" t="str">
        <f>+'[1](1)'!E13</f>
        <v>합계</v>
      </c>
      <c r="F13" s="61">
        <f>SUM(F4:F12)</f>
        <v>8726393</v>
      </c>
      <c r="G13" s="62"/>
      <c r="H13" s="29" t="str">
        <f t="shared" si="2"/>
        <v>합계</v>
      </c>
      <c r="I13" s="60">
        <f>SUM((I4-I5-I6-I7-I8-I9)*$I$1+I11)</f>
        <v>8848226.8239999991</v>
      </c>
      <c r="J13" s="29" t="str">
        <f t="shared" ref="J13" si="5">+E13</f>
        <v>합계</v>
      </c>
      <c r="K13" s="61">
        <f>IF(K8=0,0,SUM(K4:K12)-F8)</f>
        <v>8853666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-5937.3110000006855</v>
      </c>
      <c r="G14" s="27"/>
      <c r="H14" s="27"/>
      <c r="I14" s="27"/>
      <c r="J14" s="27"/>
      <c r="K14" s="67">
        <f>SUM(K13-I13)</f>
        <v>5439.176000000909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65134.014999999978</v>
      </c>
      <c r="P14" s="39" t="str">
        <f t="shared" si="4"/>
        <v>합계</v>
      </c>
      <c r="Q14" s="69">
        <f>SUM(Q5:Q13)</f>
        <v>17580059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-498.13499999977648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53</v>
      </c>
      <c r="Q20" s="53">
        <f>SUM(P20*1000)</f>
        <v>53000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114</v>
      </c>
      <c r="Q28" s="69">
        <f>SUM(Q19:Q27)</f>
        <v>73000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20616</v>
      </c>
      <c r="P31" s="103">
        <v>20642</v>
      </c>
      <c r="Q31" s="104">
        <f>P31-O31</f>
        <v>26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9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1">
        <f>+ROUND(+O5*0.584/1000,3)</f>
        <v>11.295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11.17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33.51</v>
      </c>
      <c r="M3" s="18" t="s">
        <v>10</v>
      </c>
      <c r="N3" s="3"/>
      <c r="O3" s="3"/>
      <c r="P3" s="146" t="str">
        <f>+'(1)'!C1&amp;"년"&amp;'(1)'!E1&amp;"월"&amp;C1&amp;"일"</f>
        <v>2023년4월3일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10977.844999999999</v>
      </c>
      <c r="E4" s="34" t="str">
        <f>+'[1](1)'!E4</f>
        <v>고액권</v>
      </c>
      <c r="F4" s="36">
        <v>270000</v>
      </c>
      <c r="G4" s="27"/>
      <c r="H4" s="34" t="str">
        <f>+C4</f>
        <v>판매량</v>
      </c>
      <c r="I4" s="35">
        <v>8362.4590000000007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26407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19340.304</v>
      </c>
      <c r="P5" s="47" t="str">
        <f>+E4</f>
        <v>고액권</v>
      </c>
      <c r="Q5" s="48">
        <f>SUM(F4+K4+F17+K17+F35+K35)</f>
        <v>325000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289.36599999999999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>
        <v>516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289.36599999999999</v>
      </c>
      <c r="P7" s="106" t="str">
        <f t="shared" ref="P7:P14" si="4">+E6</f>
        <v>블루/레드포인트</v>
      </c>
      <c r="Q7" s="53">
        <f>SUM(F6+K6+F19+K19+F37+K37)</f>
        <v>516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10876921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19577494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19577494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396.50400000000002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48.807000000000002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-13877.640000000001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-1708.2450000000001</v>
      </c>
      <c r="J11" s="56" t="str">
        <f>+'[1](1)'!J11</f>
        <v>모바일</v>
      </c>
      <c r="K11" s="44">
        <v>35000</v>
      </c>
      <c r="L11" s="2"/>
      <c r="M11" s="20"/>
      <c r="N11" s="51" t="str">
        <f t="shared" si="3"/>
        <v>고객우대</v>
      </c>
      <c r="O11" s="54">
        <f>SUM(D10+I10+D23+I23+D41+I41)</f>
        <v>445.31100000000004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62610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-15585.885000000002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11230402.267999999</v>
      </c>
      <c r="E13" s="29" t="str">
        <f>+'[1](1)'!E13</f>
        <v>합계</v>
      </c>
      <c r="F13" s="61">
        <f>SUM(F4:F12)</f>
        <v>11217531</v>
      </c>
      <c r="G13" s="62"/>
      <c r="H13" s="29" t="str">
        <f t="shared" si="2"/>
        <v>합계</v>
      </c>
      <c r="I13" s="60">
        <f>SUM((I4-I5-I6-I7-I8-I9)*$I$1+I11)</f>
        <v>8795598.6230000015</v>
      </c>
      <c r="J13" s="29" t="str">
        <f t="shared" ref="J13" si="5">+E13</f>
        <v>합계</v>
      </c>
      <c r="K13" s="61">
        <f>IF(K8=0,0,SUM(K4:K12)-F8)</f>
        <v>8795089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62610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-12871.267999999225</v>
      </c>
      <c r="G14" s="27"/>
      <c r="H14" s="27"/>
      <c r="I14" s="27"/>
      <c r="J14" s="27"/>
      <c r="K14" s="67">
        <f>SUM(K13-I13)</f>
        <v>-509.62300000153482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60617.867000000006</v>
      </c>
      <c r="P14" s="39" t="str">
        <f t="shared" si="4"/>
        <v>합계</v>
      </c>
      <c r="Q14" s="69">
        <f>SUM(Q5:Q13)</f>
        <v>20012620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-13380.89100000076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20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153</v>
      </c>
      <c r="Q28" s="69">
        <f>SUM(Q19:Q27)</f>
        <v>102000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18766</v>
      </c>
      <c r="P31" s="103">
        <v>18833</v>
      </c>
      <c r="Q31" s="104">
        <f>P31-O31</f>
        <v>67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L25" sqref="L2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4.8860000000000001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10.426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312.78000000000003</v>
      </c>
      <c r="M3" s="18" t="s">
        <v>10</v>
      </c>
      <c r="N3" s="3"/>
      <c r="O3" s="3"/>
      <c r="P3" s="146" t="str">
        <f>+'(1)'!C1&amp;"년"&amp;'(1)'!E1&amp;"월"&amp;C1&amp;"일"</f>
        <v>2023년4월30일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7396.7430000000004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969.91600000000005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21865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8366.6589999999997</v>
      </c>
      <c r="P5" s="47" t="str">
        <f>+E4</f>
        <v>고액권</v>
      </c>
      <c r="Q5" s="48">
        <f>SUM(F4+K4+F17+K17+F35+K35)</f>
        <v>150000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>
        <v>31789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31789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7589374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8609713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8609713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117.471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-4111.4850000000006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117.471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-4111.4850000000006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7777262.1510000005</v>
      </c>
      <c r="E13" s="29" t="str">
        <f>+'[1](1)'!E13</f>
        <v>합계</v>
      </c>
      <c r="F13" s="61">
        <f>SUM(F4:F12)</f>
        <v>7777163</v>
      </c>
      <c r="G13" s="62"/>
      <c r="H13" s="29" t="str">
        <f t="shared" si="2"/>
        <v>합계</v>
      </c>
      <c r="I13" s="60">
        <f>SUM((I4-I5-I6-I7-I8-I9)*$I$1+I11)</f>
        <v>1020351.6320000001</v>
      </c>
      <c r="J13" s="29" t="str">
        <f t="shared" ref="J13" si="5">+E13</f>
        <v>합계</v>
      </c>
      <c r="K13" s="61">
        <f>IF(K8=0,0,SUM(K4:K12)-F8)</f>
        <v>1020339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-99.151000000536442</v>
      </c>
      <c r="G14" s="27"/>
      <c r="H14" s="27"/>
      <c r="I14" s="27"/>
      <c r="J14" s="27"/>
      <c r="K14" s="67">
        <f>SUM(K13-I13)</f>
        <v>-12.632000000099652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29355.150999999998</v>
      </c>
      <c r="P14" s="39" t="str">
        <f t="shared" si="4"/>
        <v>합계</v>
      </c>
      <c r="Q14" s="69">
        <f>SUM(Q5:Q13)</f>
        <v>8797502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-111.78300000063609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113</v>
      </c>
      <c r="Q20" s="53">
        <f>SUM(P20*1000)</f>
        <v>113000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/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169</v>
      </c>
      <c r="Q28" s="69">
        <f>SUM(Q19:Q27)</f>
        <v>122000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20642</v>
      </c>
      <c r="P31" s="103">
        <v>20718</v>
      </c>
      <c r="Q31" s="104">
        <f>P31-O31</f>
        <v>76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7" sqref="I2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10.09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312.79000000000002</v>
      </c>
      <c r="M3" s="18" t="s">
        <v>10</v>
      </c>
      <c r="N3" s="3"/>
      <c r="O3" s="3"/>
      <c r="P3" s="146" t="str">
        <f>+'(1)'!C1&amp;"년"&amp;'(1)'!E1&amp;"월"&amp;C1&amp;"일"</f>
        <v>2023년4월31일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28" sqref="P2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1">
        <f>+ROUND(+O5*0.584/1000,3)</f>
        <v>10.096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10.901999999999999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43.607999999999997</v>
      </c>
      <c r="M3" s="18" t="s">
        <v>10</v>
      </c>
      <c r="N3" s="3"/>
      <c r="O3" s="3"/>
      <c r="P3" s="146" t="str">
        <f>+'(1)'!C1&amp;"년"&amp;'(1)'!E1&amp;"월"&amp;C1&amp;"일"</f>
        <v>2023년4월4일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9023.8109999999997</v>
      </c>
      <c r="E4" s="34" t="str">
        <f>+'[1](1)'!E4</f>
        <v>고액권</v>
      </c>
      <c r="F4" s="36">
        <v>20000</v>
      </c>
      <c r="G4" s="27"/>
      <c r="H4" s="34" t="str">
        <f>+C4</f>
        <v>판매량</v>
      </c>
      <c r="I4" s="35">
        <v>8264.1059999999998</v>
      </c>
      <c r="J4" s="42" t="str">
        <f>+'[1](1)'!J4</f>
        <v>고액권</v>
      </c>
      <c r="K4" s="36">
        <v>230000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44921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17287.917000000001</v>
      </c>
      <c r="P5" s="47" t="str">
        <f>+E4</f>
        <v>고액권</v>
      </c>
      <c r="Q5" s="48">
        <f>SUM(F4+K4+F17+K17+F35+K35)</f>
        <v>250000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313.79000000000002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313.79000000000002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9130910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17536305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17536305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264.65199999999999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-9262.82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264.65199999999999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-9262.82</v>
      </c>
      <c r="P12" s="51" t="str">
        <f t="shared" si="4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9153679.271999998</v>
      </c>
      <c r="E13" s="29" t="str">
        <f>+'[1](1)'!E13</f>
        <v>합계</v>
      </c>
      <c r="F13" s="61">
        <f>SUM(F4:F12)</f>
        <v>9152910</v>
      </c>
      <c r="G13" s="62"/>
      <c r="H13" s="29" t="str">
        <f t="shared" si="2"/>
        <v>합계</v>
      </c>
      <c r="I13" s="60">
        <f>SUM((I4-I5-I6-I7-I8-I9)*$I$1+I11)</f>
        <v>8693839.5120000001</v>
      </c>
      <c r="J13" s="29" t="str">
        <f t="shared" ref="J13" si="5">+E13</f>
        <v>합계</v>
      </c>
      <c r="K13" s="61">
        <f>IF(K8=0,0,SUM(K4:K12)-F8)</f>
        <v>8695395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-769.27199999801815</v>
      </c>
      <c r="G14" s="27"/>
      <c r="H14" s="27"/>
      <c r="I14" s="27"/>
      <c r="J14" s="27"/>
      <c r="K14" s="67">
        <f>SUM(K13-I13)</f>
        <v>1555.4879999998957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58633.688000000002</v>
      </c>
      <c r="P14" s="39" t="str">
        <f t="shared" si="4"/>
        <v>합계</v>
      </c>
      <c r="Q14" s="69">
        <f>SUM(Q5:Q13)</f>
        <v>17848305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786.21600000187755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15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61</v>
      </c>
      <c r="Q28" s="69">
        <f>SUM(Q19:Q27)</f>
        <v>45000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18833</v>
      </c>
      <c r="P31" s="103">
        <v>18858</v>
      </c>
      <c r="Q31" s="104">
        <f>P31-O31</f>
        <v>25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4</v>
      </c>
      <c r="F1" s="1"/>
      <c r="G1" s="1"/>
      <c r="H1" s="1"/>
      <c r="I1" s="128">
        <v>1052</v>
      </c>
      <c r="J1" s="1"/>
      <c r="K1" s="1"/>
      <c r="L1" s="21">
        <f>+ROUND(+O5*0.584/1000,3)</f>
        <v>10.586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10.839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54.195</v>
      </c>
      <c r="M3" s="18" t="s">
        <v>10</v>
      </c>
      <c r="N3" s="3"/>
      <c r="O3" s="3"/>
      <c r="P3" s="146" t="str">
        <f>+'(1)'!C1&amp;"년"&amp;'(1)'!E1&amp;"월"&amp;C1&amp;"일"</f>
        <v>2023년4월5일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9609.5949999999993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8517.4</v>
      </c>
      <c r="J4" s="42" t="str">
        <f>+'[1](1)'!J4</f>
        <v>고액권</v>
      </c>
      <c r="K4" s="36">
        <v>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26069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18126.994999999999</v>
      </c>
      <c r="P5" s="47" t="str">
        <f>+E4</f>
        <v>고액권</v>
      </c>
      <c r="Q5" s="48">
        <f>SUM(F4+K4+F17+K17+F35+K35)</f>
        <v>225000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273.68400000000003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273.68400000000003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54.695999999999998</v>
      </c>
      <c r="E8" s="42" t="str">
        <f>+'[1](1)'!E8</f>
        <v>신용카드</v>
      </c>
      <c r="F8" s="44">
        <v>9562232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18458954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54.695999999999998</v>
      </c>
      <c r="P9" s="51" t="str">
        <f t="shared" si="4"/>
        <v>신용카드</v>
      </c>
      <c r="Q9" s="53">
        <f>IF(K8=0,F8,IF(F21=0,K8,IF(K21=0,F21,K21)))</f>
        <v>18458954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156.40100000000001</v>
      </c>
      <c r="E10" s="42" t="str">
        <f>+'[1](1)'!E10</f>
        <v>OK케시백</v>
      </c>
      <c r="F10" s="44">
        <v>23000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-5474.0350000000008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156.40100000000001</v>
      </c>
      <c r="P11" s="51" t="str">
        <f t="shared" si="4"/>
        <v>OK케시백</v>
      </c>
      <c r="Q11" s="53">
        <f>SUM(F10+K10+F23+K23+F41+K41)</f>
        <v>23000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-5474.0350000000008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9758364.1449999996</v>
      </c>
      <c r="E13" s="29" t="str">
        <f>+'[1](1)'!E13</f>
        <v>합계</v>
      </c>
      <c r="F13" s="61">
        <f>SUM(F4:F12)</f>
        <v>9758232</v>
      </c>
      <c r="G13" s="62"/>
      <c r="H13" s="29" t="str">
        <f t="shared" si="2"/>
        <v>합계</v>
      </c>
      <c r="I13" s="60">
        <f>SUM((I4-I5-I6-I7-I8-I9)*$I$1+I11)</f>
        <v>8960304.7999999989</v>
      </c>
      <c r="J13" s="29" t="str">
        <f t="shared" ref="J13" si="5">+E13</f>
        <v>합계</v>
      </c>
      <c r="K13" s="61">
        <f>IF(K8=0,0,SUM(K4:K12)-F8)</f>
        <v>8959722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-132.14499999955297</v>
      </c>
      <c r="G14" s="27"/>
      <c r="H14" s="27"/>
      <c r="I14" s="27"/>
      <c r="J14" s="27"/>
      <c r="K14" s="67">
        <f>SUM(K13-I13)</f>
        <v>-582.79999999888241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65720.424999999988</v>
      </c>
      <c r="P14" s="39" t="str">
        <f t="shared" si="4"/>
        <v>합계</v>
      </c>
      <c r="Q14" s="69">
        <f>SUM(Q5:Q13)</f>
        <v>18717954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-714.94499999843538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0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18858</v>
      </c>
      <c r="P31" s="103">
        <v>18858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1">
        <f>+ROUND(+O5*0.584/1000,3)</f>
        <v>11.391999999999999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10.930999999999999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65.585999999999999</v>
      </c>
      <c r="M3" s="18" t="s">
        <v>10</v>
      </c>
      <c r="N3" s="3"/>
      <c r="O3" s="3"/>
      <c r="P3" s="146" t="str">
        <f>+'(1)'!C1&amp;"년"&amp;'(1)'!E1&amp;"월"&amp;C1&amp;"일"</f>
        <v>2023년4월6일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10085.206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9421.4840000000004</v>
      </c>
      <c r="J4" s="42" t="str">
        <f>+'[1](1)'!J4</f>
        <v>고액권</v>
      </c>
      <c r="K4" s="36">
        <v>215000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42097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19506.690000000002</v>
      </c>
      <c r="P5" s="47" t="str">
        <f>+E4</f>
        <v>고액권</v>
      </c>
      <c r="Q5" s="48">
        <f>SUM(F4+K4+F17+K17+F35+K35)</f>
        <v>350000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265.26900000000001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27.567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292.83600000000001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10151115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19807835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19807835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235.3</v>
      </c>
      <c r="E10" s="42" t="str">
        <f>+'[1](1)'!E10</f>
        <v>OK케시백</v>
      </c>
      <c r="F10" s="44">
        <v>29367</v>
      </c>
      <c r="G10" s="27"/>
      <c r="H10" s="42" t="str">
        <f t="shared" si="2"/>
        <v>고객우대</v>
      </c>
      <c r="I10" s="50">
        <v>61.744999999999997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-8235.5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-2161.0749999999998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297.04500000000002</v>
      </c>
      <c r="P11" s="51" t="str">
        <f t="shared" si="4"/>
        <v>OK케시백</v>
      </c>
      <c r="Q11" s="53">
        <f>SUM(F10+K10+F23+K23+F41+K41)</f>
        <v>29367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-10396.575000000001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10322338.223999999</v>
      </c>
      <c r="E13" s="29" t="str">
        <f>+'[1](1)'!E13</f>
        <v>합계</v>
      </c>
      <c r="F13" s="61">
        <f>SUM(F4:F12)</f>
        <v>10322482</v>
      </c>
      <c r="G13" s="62"/>
      <c r="H13" s="29" t="str">
        <f t="shared" si="2"/>
        <v>합계</v>
      </c>
      <c r="I13" s="60">
        <f>SUM((I4-I5-I6-I7-I8-I9)*$I$1+I11)</f>
        <v>9880239.609000003</v>
      </c>
      <c r="J13" s="29" t="str">
        <f t="shared" ref="J13" si="5">+E13</f>
        <v>합계</v>
      </c>
      <c r="K13" s="61">
        <f>IF(K8=0,0,SUM(K4:K12)-F8)</f>
        <v>9879720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143.77600000053644</v>
      </c>
      <c r="G14" s="27"/>
      <c r="H14" s="27"/>
      <c r="I14" s="27"/>
      <c r="J14" s="27"/>
      <c r="K14" s="67">
        <f>SUM(K13-I13)</f>
        <v>-519.60900000296533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66458.841000000015</v>
      </c>
      <c r="P14" s="39" t="str">
        <f t="shared" si="4"/>
        <v>합계</v>
      </c>
      <c r="Q14" s="69">
        <f>SUM(Q5:Q13)</f>
        <v>20202202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-375.83300000242889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32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19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128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18858</v>
      </c>
      <c r="P31" s="103">
        <v>18875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8" sqref="P2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1">
        <f>+ROUND(+O5*0.584/1000,3)</f>
        <v>12.263999999999999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11.121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77.847000000000008</v>
      </c>
      <c r="M3" s="18" t="s">
        <v>10</v>
      </c>
      <c r="N3" s="3"/>
      <c r="O3" s="3"/>
      <c r="P3" s="146" t="str">
        <f>+'(1)'!C1&amp;"년"&amp;'(1)'!E1&amp;"월"&amp;C1&amp;"일"</f>
        <v>2023년4월7일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11184.558999999999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9815.4709999999995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20403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21000.03</v>
      </c>
      <c r="P5" s="47" t="str">
        <f>+E4</f>
        <v>고액권</v>
      </c>
      <c r="Q5" s="48">
        <f>SUM(F4+K4+F17+K17+F35+K35)</f>
        <v>300000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195.95599999999999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195.95599999999999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11378111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21532837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21532837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261.66000000000003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98.385999999999996</v>
      </c>
      <c r="J10" s="42" t="str">
        <f>+'[1](1)'!J10</f>
        <v>OK케시백</v>
      </c>
      <c r="K10" s="44">
        <v>32481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-9158.1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-3443.5099999999998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360.04600000000005</v>
      </c>
      <c r="P11" s="51" t="str">
        <f t="shared" si="4"/>
        <v>OK케시백</v>
      </c>
      <c r="Q11" s="53">
        <f>SUM(F10+K10+F23+K23+F41+K41)</f>
        <v>32481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-12601.610000000002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11550852.255999999</v>
      </c>
      <c r="E13" s="29" t="str">
        <f>+'[1](1)'!E13</f>
        <v>합계</v>
      </c>
      <c r="F13" s="61">
        <f>SUM(F4:F12)</f>
        <v>11552111</v>
      </c>
      <c r="G13" s="62"/>
      <c r="H13" s="29" t="str">
        <f t="shared" si="2"/>
        <v>합계</v>
      </c>
      <c r="I13" s="60">
        <f>SUM((I4-I5-I6-I7-I8-I9)*$I$1+I11)</f>
        <v>10322431.981999999</v>
      </c>
      <c r="J13" s="29" t="str">
        <f t="shared" ref="J13" si="5">+E13</f>
        <v>합계</v>
      </c>
      <c r="K13" s="61">
        <f>IF(K8=0,0,SUM(K4:K12)-F8)</f>
        <v>10320207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1258.7440000008792</v>
      </c>
      <c r="G14" s="27"/>
      <c r="H14" s="27"/>
      <c r="I14" s="27"/>
      <c r="J14" s="27"/>
      <c r="K14" s="67">
        <f>SUM(K13-I13)</f>
        <v>-2224.9819999989122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70614.686000000002</v>
      </c>
      <c r="P14" s="39" t="str">
        <f t="shared" si="4"/>
        <v>합계</v>
      </c>
      <c r="Q14" s="69">
        <f>SUM(Q5:Q13)</f>
        <v>21872318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-966.23799999803305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27</v>
      </c>
      <c r="Q19" s="48">
        <f>SUM(P19*1000)</f>
        <v>27000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140</v>
      </c>
      <c r="Q20" s="53">
        <f>SUM(P20*1000)</f>
        <v>140000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>
        <v>25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>
        <v>23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-251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/>
      <c r="Q28" s="69">
        <f>SUM(Q19:Q27)</f>
        <v>167000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18875</v>
      </c>
      <c r="P31" s="103">
        <v>18941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4" sqref="R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10.456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11.038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88.304000000000002</v>
      </c>
      <c r="M3" s="18" t="s">
        <v>10</v>
      </c>
      <c r="N3" s="3"/>
      <c r="O3" s="3"/>
      <c r="P3" s="146" t="str">
        <f>+'(1)'!C1&amp;"년"&amp;'(1)'!E1&amp;"월"&amp;C1&amp;"일"</f>
        <v>2023년4월8일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9552.5769999999993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8351.7330000000002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37329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17904.309999999998</v>
      </c>
      <c r="P5" s="47" t="str">
        <f>+E4</f>
        <v>고액권</v>
      </c>
      <c r="Q5" s="48">
        <f>SUM(F4+K4+F17+K17+F35+K35)</f>
        <v>285000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164.69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164.69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9716304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8644265+F8</f>
        <v>18360569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18360569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57.392000000000003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-2008.72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57.392000000000003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-2008.72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9874048.4039999973</v>
      </c>
      <c r="E13" s="29" t="str">
        <f>+'[1](1)'!E13</f>
        <v>합계</v>
      </c>
      <c r="F13" s="61">
        <f>SUM(F4:F12)</f>
        <v>9873304</v>
      </c>
      <c r="G13" s="62"/>
      <c r="H13" s="29" t="str">
        <f t="shared" si="2"/>
        <v>합계</v>
      </c>
      <c r="I13" s="60">
        <f>SUM((I4-I5-I6-I7-I8-I9)*$I$1+I11)</f>
        <v>8786023.1160000004</v>
      </c>
      <c r="J13" s="29" t="str">
        <f t="shared" ref="J13" si="5">+E13</f>
        <v>합계</v>
      </c>
      <c r="K13" s="61">
        <f>IF(K8=0,0,SUM(K4:K12)-F8)</f>
        <v>8786265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-744.40399999730289</v>
      </c>
      <c r="G14" s="27"/>
      <c r="H14" s="27"/>
      <c r="I14" s="27"/>
      <c r="J14" s="27"/>
      <c r="K14" s="67">
        <f>SUM(K13-I13)</f>
        <v>241.88399999961257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68949.759999999995</v>
      </c>
      <c r="P14" s="39" t="str">
        <f t="shared" si="4"/>
        <v>합계</v>
      </c>
      <c r="Q14" s="69">
        <f>SUM(Q5:Q13)</f>
        <v>18659569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-502.51999999769032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18941</v>
      </c>
      <c r="P31" s="103">
        <v>18941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4</v>
      </c>
      <c r="F1" s="1"/>
      <c r="G1" s="1"/>
      <c r="H1" s="1"/>
      <c r="I1" s="1">
        <v>1052</v>
      </c>
      <c r="J1" s="1"/>
      <c r="K1" s="1"/>
      <c r="L1" s="22">
        <f>+ROUND(+O5*0.584/1000,3)</f>
        <v>7.2969999999999997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10.622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95.597999999999999</v>
      </c>
      <c r="M3" s="18" t="s">
        <v>10</v>
      </c>
      <c r="N3" s="3"/>
      <c r="O3" s="3"/>
      <c r="P3" s="146" t="str">
        <f>+'(1)'!C1&amp;"년"&amp;'(1)'!E1&amp;"월"&amp;C1&amp;"일"</f>
        <v>2023년4월9일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6799.9629999999997</v>
      </c>
      <c r="E4" s="34" t="str">
        <f>+'[1](1)'!E4</f>
        <v>고액권</v>
      </c>
      <c r="F4" s="36">
        <v>230000</v>
      </c>
      <c r="G4" s="27"/>
      <c r="H4" s="34" t="str">
        <f>+C4</f>
        <v>판매량</v>
      </c>
      <c r="I4" s="35">
        <v>5694.9610000000002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25281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12494.923999999999</v>
      </c>
      <c r="P5" s="47" t="str">
        <f>+E4</f>
        <v>고액권</v>
      </c>
      <c r="Q5" s="48">
        <f>SUM(F4+K4+F17+K17+F35+K35)</f>
        <v>320000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49.780999999999999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49.780999999999999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6779861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12679523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12679523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6916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6916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40000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7101191.4639999997</v>
      </c>
      <c r="E13" s="29" t="str">
        <f>+'[1](1)'!E13</f>
        <v>합계</v>
      </c>
      <c r="F13" s="61">
        <f>SUM(F4:F12)</f>
        <v>7100777</v>
      </c>
      <c r="G13" s="62"/>
      <c r="H13" s="29" t="str">
        <f t="shared" si="2"/>
        <v>합계</v>
      </c>
      <c r="I13" s="60">
        <f>SUM((I4-I5-I6-I7-I8-I9)*$I$1+I11)</f>
        <v>5991098.9720000001</v>
      </c>
      <c r="J13" s="29" t="str">
        <f t="shared" ref="J13" si="5">+E13</f>
        <v>합계</v>
      </c>
      <c r="K13" s="61">
        <f>IF(K8=0,0,SUM(K4:K12)-F8)</f>
        <v>5990662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-414.46399999968708</v>
      </c>
      <c r="G14" s="27"/>
      <c r="H14" s="27"/>
      <c r="I14" s="27"/>
      <c r="J14" s="27"/>
      <c r="K14" s="67">
        <f>SUM(K13-I13)</f>
        <v>-436.97200000006706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49780.571999999993</v>
      </c>
      <c r="P14" s="39" t="str">
        <f t="shared" si="4"/>
        <v>합계</v>
      </c>
      <c r="Q14" s="69">
        <f>SUM(Q5:Q13)</f>
        <v>13091439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-851.43599999975413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58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60</v>
      </c>
      <c r="O22" s="138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62</v>
      </c>
      <c r="O23" s="138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63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18941</v>
      </c>
      <c r="P31" s="103">
        <v>18941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2023-04-21T00:08:29Z</cp:lastPrinted>
  <dcterms:created xsi:type="dcterms:W3CDTF">2017-04-25T00:27:17Z</dcterms:created>
  <dcterms:modified xsi:type="dcterms:W3CDTF">2023-05-02T04:53:16Z</dcterms:modified>
</cp:coreProperties>
</file>