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45" windowWidth="24120" windowHeight="12570" tabRatio="780" firstSheet="4" activeTab="30"/>
  </bookViews>
  <sheets>
    <sheet name="(1)" sheetId="1" r:id="rId1"/>
    <sheet name="(2)" sheetId="13" r:id="rId2"/>
    <sheet name="(3)" sheetId="131" r:id="rId3"/>
    <sheet name="(4)" sheetId="132" r:id="rId4"/>
    <sheet name="(5)" sheetId="133" r:id="rId5"/>
    <sheet name="(6)" sheetId="134" r:id="rId6"/>
    <sheet name="(7)" sheetId="135" r:id="rId7"/>
    <sheet name="(8)" sheetId="136" r:id="rId8"/>
    <sheet name="(9)" sheetId="137" r:id="rId9"/>
    <sheet name="(10)" sheetId="138" r:id="rId10"/>
    <sheet name="(11)" sheetId="139" r:id="rId11"/>
    <sheet name="(12)" sheetId="140" r:id="rId12"/>
    <sheet name="(13)" sheetId="141" r:id="rId13"/>
    <sheet name="(14)" sheetId="142" r:id="rId14"/>
    <sheet name="(15)" sheetId="143" r:id="rId15"/>
    <sheet name="(16)" sheetId="144" r:id="rId16"/>
    <sheet name="(17)" sheetId="145" r:id="rId17"/>
    <sheet name="(18)" sheetId="146" r:id="rId18"/>
    <sheet name="(19)" sheetId="147" r:id="rId19"/>
    <sheet name="(20)" sheetId="148" r:id="rId20"/>
    <sheet name="(21)" sheetId="149" r:id="rId21"/>
    <sheet name="(22)" sheetId="150" r:id="rId22"/>
    <sheet name="(23)" sheetId="151" r:id="rId23"/>
    <sheet name="(24)" sheetId="152" r:id="rId24"/>
    <sheet name="(25)" sheetId="153" r:id="rId25"/>
    <sheet name="(26)" sheetId="154" r:id="rId26"/>
    <sheet name="(27)" sheetId="155" r:id="rId27"/>
    <sheet name="(28)" sheetId="156" r:id="rId28"/>
    <sheet name="(29)" sheetId="157" r:id="rId29"/>
    <sheet name="(30)" sheetId="158" r:id="rId30"/>
    <sheet name="(31)" sheetId="159" r:id="rId31"/>
  </sheets>
  <externalReferences>
    <externalReference r:id="rId32"/>
  </externalReferences>
  <calcPr calcId="144525"/>
</workbook>
</file>

<file path=xl/calcChain.xml><?xml version="1.0" encoding="utf-8"?>
<calcChain xmlns="http://schemas.openxmlformats.org/spreadsheetml/2006/main">
  <c r="K8" i="154" l="1"/>
  <c r="K8" i="145" l="1"/>
  <c r="K8" i="144" l="1"/>
  <c r="K3" i="13" l="1"/>
  <c r="K3" i="131"/>
  <c r="K3" i="132"/>
  <c r="K3" i="133"/>
  <c r="K3" i="134"/>
  <c r="K3" i="135"/>
  <c r="K3" i="136"/>
  <c r="K3" i="137"/>
  <c r="K3" i="138"/>
  <c r="K3" i="139"/>
  <c r="K3" i="140"/>
  <c r="K3" i="141"/>
  <c r="K3" i="142"/>
  <c r="K3" i="143"/>
  <c r="K3" i="144"/>
  <c r="K3" i="145"/>
  <c r="K3" i="146"/>
  <c r="K3" i="147"/>
  <c r="K3" i="148"/>
  <c r="K3" i="149"/>
  <c r="K3" i="150"/>
  <c r="K3" i="151"/>
  <c r="K3" i="152"/>
  <c r="K3" i="153"/>
  <c r="K3" i="154"/>
  <c r="K3" i="155"/>
  <c r="K3" i="156"/>
  <c r="K3" i="157"/>
  <c r="K3" i="158"/>
  <c r="K3" i="159"/>
  <c r="K3" i="1"/>
  <c r="K8" i="140" l="1"/>
  <c r="K8" i="139" l="1"/>
  <c r="F8" i="137" l="1"/>
  <c r="F3" i="133" l="1"/>
  <c r="K8" i="133" l="1"/>
  <c r="P27" i="1" l="1"/>
  <c r="I26" i="13" l="1"/>
  <c r="I26" i="131"/>
  <c r="I26" i="132"/>
  <c r="I26" i="133"/>
  <c r="I26" i="134"/>
  <c r="I26" i="135"/>
  <c r="I26" i="136"/>
  <c r="I26" i="137"/>
  <c r="I26" i="138"/>
  <c r="I26" i="139"/>
  <c r="I26" i="140"/>
  <c r="I26" i="141"/>
  <c r="I26" i="142"/>
  <c r="I26" i="143"/>
  <c r="I26" i="144"/>
  <c r="I26" i="145"/>
  <c r="I26" i="146"/>
  <c r="I26" i="147"/>
  <c r="I26" i="148"/>
  <c r="I26" i="149"/>
  <c r="I26" i="150"/>
  <c r="I26" i="151"/>
  <c r="I26" i="152"/>
  <c r="I26" i="153"/>
  <c r="I26" i="154"/>
  <c r="I26" i="155"/>
  <c r="I26" i="156"/>
  <c r="I26" i="157"/>
  <c r="I26" i="158"/>
  <c r="I26" i="159"/>
  <c r="I26" i="1"/>
  <c r="I13" i="133"/>
  <c r="D26" i="13"/>
  <c r="D26" i="131"/>
  <c r="D26" i="132"/>
  <c r="D26" i="133"/>
  <c r="D26" i="134"/>
  <c r="D26" i="135"/>
  <c r="D26" i="136"/>
  <c r="D26" i="137"/>
  <c r="D26" i="138"/>
  <c r="D26" i="139"/>
  <c r="D26" i="140"/>
  <c r="D26" i="141"/>
  <c r="D26" i="142"/>
  <c r="D26" i="143"/>
  <c r="D26" i="144"/>
  <c r="D26" i="145"/>
  <c r="D26" i="146"/>
  <c r="D26" i="147"/>
  <c r="D26" i="148"/>
  <c r="D26" i="149"/>
  <c r="D26" i="150"/>
  <c r="D26" i="151"/>
  <c r="D26" i="152"/>
  <c r="D26" i="153"/>
  <c r="D26" i="154"/>
  <c r="D26" i="155"/>
  <c r="D26" i="156"/>
  <c r="D26" i="157"/>
  <c r="D26" i="158"/>
  <c r="D26" i="159"/>
  <c r="P27" i="13" l="1"/>
  <c r="P27" i="131"/>
  <c r="P27" i="132"/>
  <c r="P27" i="133"/>
  <c r="P27" i="134"/>
  <c r="P27" i="135"/>
  <c r="P27" i="136"/>
  <c r="P27" i="137"/>
  <c r="P27" i="138"/>
  <c r="P27" i="139"/>
  <c r="P27" i="140"/>
  <c r="P27" i="141"/>
  <c r="P27" i="142"/>
  <c r="P27" i="143"/>
  <c r="P27" i="144"/>
  <c r="P27" i="145"/>
  <c r="P27" i="146"/>
  <c r="P27" i="147"/>
  <c r="P27" i="148"/>
  <c r="P27" i="149"/>
  <c r="P27" i="150"/>
  <c r="P27" i="151"/>
  <c r="P27" i="152"/>
  <c r="P27" i="153"/>
  <c r="P27" i="154"/>
  <c r="P27" i="155"/>
  <c r="P27" i="156"/>
  <c r="P27" i="157"/>
  <c r="P27" i="158"/>
  <c r="P27" i="159"/>
  <c r="J12" i="13" l="1"/>
  <c r="J11" i="13"/>
  <c r="J10" i="13"/>
  <c r="J9" i="13"/>
  <c r="J8" i="13"/>
  <c r="J7" i="13"/>
  <c r="J6" i="13"/>
  <c r="J5" i="13"/>
  <c r="J4" i="13"/>
  <c r="J3" i="13"/>
  <c r="J12" i="131"/>
  <c r="J11" i="131"/>
  <c r="J10" i="131"/>
  <c r="J9" i="131"/>
  <c r="J8" i="131"/>
  <c r="J7" i="131"/>
  <c r="J6" i="131"/>
  <c r="J5" i="131"/>
  <c r="J4" i="131"/>
  <c r="J3" i="131"/>
  <c r="J12" i="132"/>
  <c r="J11" i="132"/>
  <c r="J10" i="132"/>
  <c r="J9" i="132"/>
  <c r="J8" i="132"/>
  <c r="J7" i="132"/>
  <c r="J6" i="132"/>
  <c r="J5" i="132"/>
  <c r="J4" i="132"/>
  <c r="J3" i="132"/>
  <c r="J12" i="133"/>
  <c r="J11" i="133"/>
  <c r="J10" i="133"/>
  <c r="J9" i="133"/>
  <c r="J8" i="133"/>
  <c r="J7" i="133"/>
  <c r="J6" i="133"/>
  <c r="J5" i="133"/>
  <c r="J4" i="133"/>
  <c r="J3" i="133"/>
  <c r="J12" i="134"/>
  <c r="J11" i="134"/>
  <c r="J10" i="134"/>
  <c r="J9" i="134"/>
  <c r="J8" i="134"/>
  <c r="J7" i="134"/>
  <c r="J6" i="134"/>
  <c r="J5" i="134"/>
  <c r="J4" i="134"/>
  <c r="J3" i="134"/>
  <c r="J12" i="135"/>
  <c r="J11" i="135"/>
  <c r="J10" i="135"/>
  <c r="J9" i="135"/>
  <c r="J8" i="135"/>
  <c r="J7" i="135"/>
  <c r="J6" i="135"/>
  <c r="J5" i="135"/>
  <c r="J4" i="135"/>
  <c r="J3" i="135"/>
  <c r="J12" i="136"/>
  <c r="J11" i="136"/>
  <c r="J10" i="136"/>
  <c r="J9" i="136"/>
  <c r="J8" i="136"/>
  <c r="J7" i="136"/>
  <c r="J6" i="136"/>
  <c r="J5" i="136"/>
  <c r="J4" i="136"/>
  <c r="J3" i="136"/>
  <c r="J12" i="137"/>
  <c r="J11" i="137"/>
  <c r="J10" i="137"/>
  <c r="J9" i="137"/>
  <c r="J8" i="137"/>
  <c r="J7" i="137"/>
  <c r="J6" i="137"/>
  <c r="J5" i="137"/>
  <c r="J4" i="137"/>
  <c r="J3" i="137"/>
  <c r="J12" i="138"/>
  <c r="J11" i="138"/>
  <c r="J10" i="138"/>
  <c r="J9" i="138"/>
  <c r="J8" i="138"/>
  <c r="J7" i="138"/>
  <c r="J6" i="138"/>
  <c r="J5" i="138"/>
  <c r="J4" i="138"/>
  <c r="J3" i="138"/>
  <c r="J12" i="139"/>
  <c r="J11" i="139"/>
  <c r="J10" i="139"/>
  <c r="J9" i="139"/>
  <c r="J8" i="139"/>
  <c r="J7" i="139"/>
  <c r="J6" i="139"/>
  <c r="J5" i="139"/>
  <c r="J4" i="139"/>
  <c r="J3" i="139"/>
  <c r="J12" i="140"/>
  <c r="J11" i="140"/>
  <c r="J10" i="140"/>
  <c r="J9" i="140"/>
  <c r="J8" i="140"/>
  <c r="J7" i="140"/>
  <c r="J6" i="140"/>
  <c r="J5" i="140"/>
  <c r="J4" i="140"/>
  <c r="J3" i="140"/>
  <c r="J12" i="141"/>
  <c r="J11" i="141"/>
  <c r="J10" i="141"/>
  <c r="J9" i="141"/>
  <c r="J8" i="141"/>
  <c r="J7" i="141"/>
  <c r="J6" i="141"/>
  <c r="J5" i="141"/>
  <c r="J4" i="141"/>
  <c r="J3" i="141"/>
  <c r="J12" i="142"/>
  <c r="J11" i="142"/>
  <c r="J10" i="142"/>
  <c r="J9" i="142"/>
  <c r="J8" i="142"/>
  <c r="J7" i="142"/>
  <c r="J6" i="142"/>
  <c r="J5" i="142"/>
  <c r="J4" i="142"/>
  <c r="J3" i="142"/>
  <c r="J12" i="143"/>
  <c r="J11" i="143"/>
  <c r="J10" i="143"/>
  <c r="J9" i="143"/>
  <c r="J8" i="143"/>
  <c r="J7" i="143"/>
  <c r="J6" i="143"/>
  <c r="J5" i="143"/>
  <c r="J4" i="143"/>
  <c r="J3" i="143"/>
  <c r="J12" i="144"/>
  <c r="J11" i="144"/>
  <c r="J10" i="144"/>
  <c r="J9" i="144"/>
  <c r="J8" i="144"/>
  <c r="J7" i="144"/>
  <c r="J6" i="144"/>
  <c r="J5" i="144"/>
  <c r="J4" i="144"/>
  <c r="J3" i="144"/>
  <c r="J12" i="145"/>
  <c r="J11" i="145"/>
  <c r="J10" i="145"/>
  <c r="J9" i="145"/>
  <c r="J8" i="145"/>
  <c r="J7" i="145"/>
  <c r="J6" i="145"/>
  <c r="J5" i="145"/>
  <c r="J4" i="145"/>
  <c r="J3" i="145"/>
  <c r="J12" i="146"/>
  <c r="J11" i="146"/>
  <c r="J10" i="146"/>
  <c r="J9" i="146"/>
  <c r="J8" i="146"/>
  <c r="J7" i="146"/>
  <c r="J6" i="146"/>
  <c r="J5" i="146"/>
  <c r="J4" i="146"/>
  <c r="J3" i="146"/>
  <c r="J12" i="147"/>
  <c r="J11" i="147"/>
  <c r="J10" i="147"/>
  <c r="J9" i="147"/>
  <c r="J8" i="147"/>
  <c r="J7" i="147"/>
  <c r="J6" i="147"/>
  <c r="J5" i="147"/>
  <c r="J4" i="147"/>
  <c r="J3" i="147"/>
  <c r="J12" i="148"/>
  <c r="J11" i="148"/>
  <c r="J10" i="148"/>
  <c r="J9" i="148"/>
  <c r="J8" i="148"/>
  <c r="J7" i="148"/>
  <c r="J6" i="148"/>
  <c r="J5" i="148"/>
  <c r="J4" i="148"/>
  <c r="J3" i="148"/>
  <c r="J12" i="149"/>
  <c r="J11" i="149"/>
  <c r="J10" i="149"/>
  <c r="J9" i="149"/>
  <c r="J8" i="149"/>
  <c r="J7" i="149"/>
  <c r="J6" i="149"/>
  <c r="J5" i="149"/>
  <c r="J4" i="149"/>
  <c r="J3" i="149"/>
  <c r="J12" i="150"/>
  <c r="J11" i="150"/>
  <c r="J10" i="150"/>
  <c r="J9" i="150"/>
  <c r="J8" i="150"/>
  <c r="J7" i="150"/>
  <c r="J6" i="150"/>
  <c r="J5" i="150"/>
  <c r="J4" i="150"/>
  <c r="J3" i="150"/>
  <c r="J12" i="151"/>
  <c r="J11" i="151"/>
  <c r="J10" i="151"/>
  <c r="J9" i="151"/>
  <c r="J8" i="151"/>
  <c r="J7" i="151"/>
  <c r="J6" i="151"/>
  <c r="J5" i="151"/>
  <c r="J4" i="151"/>
  <c r="J3" i="151"/>
  <c r="J12" i="152"/>
  <c r="J11" i="152"/>
  <c r="J10" i="152"/>
  <c r="J9" i="152"/>
  <c r="J8" i="152"/>
  <c r="J7" i="152"/>
  <c r="J6" i="152"/>
  <c r="J5" i="152"/>
  <c r="J4" i="152"/>
  <c r="J3" i="152"/>
  <c r="J12" i="153"/>
  <c r="J11" i="153"/>
  <c r="J10" i="153"/>
  <c r="J9" i="153"/>
  <c r="J8" i="153"/>
  <c r="J7" i="153"/>
  <c r="J6" i="153"/>
  <c r="J5" i="153"/>
  <c r="J4" i="153"/>
  <c r="J3" i="153"/>
  <c r="J12" i="154"/>
  <c r="J11" i="154"/>
  <c r="J10" i="154"/>
  <c r="J9" i="154"/>
  <c r="J8" i="154"/>
  <c r="J7" i="154"/>
  <c r="J6" i="154"/>
  <c r="J5" i="154"/>
  <c r="J4" i="154"/>
  <c r="J3" i="154"/>
  <c r="J12" i="155"/>
  <c r="J11" i="155"/>
  <c r="J10" i="155"/>
  <c r="J9" i="155"/>
  <c r="J8" i="155"/>
  <c r="J7" i="155"/>
  <c r="J6" i="155"/>
  <c r="J5" i="155"/>
  <c r="J4" i="155"/>
  <c r="J3" i="155"/>
  <c r="J12" i="156"/>
  <c r="J11" i="156"/>
  <c r="J10" i="156"/>
  <c r="J9" i="156"/>
  <c r="J8" i="156"/>
  <c r="J7" i="156"/>
  <c r="J6" i="156"/>
  <c r="J5" i="156"/>
  <c r="J4" i="156"/>
  <c r="J3" i="156"/>
  <c r="J12" i="157"/>
  <c r="J11" i="157"/>
  <c r="J10" i="157"/>
  <c r="J9" i="157"/>
  <c r="J8" i="157"/>
  <c r="J7" i="157"/>
  <c r="J6" i="157"/>
  <c r="J5" i="157"/>
  <c r="J4" i="157"/>
  <c r="J3" i="157"/>
  <c r="J12" i="158"/>
  <c r="J11" i="158"/>
  <c r="J10" i="158"/>
  <c r="J9" i="158"/>
  <c r="J8" i="158"/>
  <c r="J7" i="158"/>
  <c r="J6" i="158"/>
  <c r="J5" i="158"/>
  <c r="J4" i="158"/>
  <c r="J3" i="158"/>
  <c r="J12" i="159"/>
  <c r="J11" i="159"/>
  <c r="J10" i="159"/>
  <c r="J9" i="159"/>
  <c r="J8" i="159"/>
  <c r="J7" i="159"/>
  <c r="J6" i="159"/>
  <c r="J5" i="159"/>
  <c r="J4" i="159"/>
  <c r="J3" i="159"/>
  <c r="J12" i="1"/>
  <c r="J11" i="1"/>
  <c r="J10" i="1"/>
  <c r="J9" i="1"/>
  <c r="J8" i="1"/>
  <c r="J7" i="1"/>
  <c r="J6" i="1"/>
  <c r="J5" i="1"/>
  <c r="J4" i="1"/>
  <c r="J3" i="1"/>
  <c r="E13" i="13"/>
  <c r="E12" i="13"/>
  <c r="E11" i="13"/>
  <c r="E10" i="13"/>
  <c r="E9" i="13"/>
  <c r="E8" i="13"/>
  <c r="E7" i="13"/>
  <c r="E6" i="13"/>
  <c r="E5" i="13"/>
  <c r="E4" i="13"/>
  <c r="E13" i="131"/>
  <c r="E12" i="131"/>
  <c r="E11" i="131"/>
  <c r="E10" i="131"/>
  <c r="E9" i="131"/>
  <c r="E8" i="131"/>
  <c r="E7" i="131"/>
  <c r="E6" i="131"/>
  <c r="E5" i="131"/>
  <c r="E4" i="131"/>
  <c r="E13" i="132"/>
  <c r="E12" i="132"/>
  <c r="E11" i="132"/>
  <c r="E10" i="132"/>
  <c r="E9" i="132"/>
  <c r="E8" i="132"/>
  <c r="E7" i="132"/>
  <c r="E6" i="132"/>
  <c r="E5" i="132"/>
  <c r="E4" i="132"/>
  <c r="E13" i="133"/>
  <c r="E12" i="133"/>
  <c r="E11" i="133"/>
  <c r="E10" i="133"/>
  <c r="E9" i="133"/>
  <c r="E8" i="133"/>
  <c r="E7" i="133"/>
  <c r="E6" i="133"/>
  <c r="E5" i="133"/>
  <c r="E4" i="133"/>
  <c r="E13" i="134"/>
  <c r="E12" i="134"/>
  <c r="E11" i="134"/>
  <c r="E10" i="134"/>
  <c r="E9" i="134"/>
  <c r="E8" i="134"/>
  <c r="E7" i="134"/>
  <c r="E6" i="134"/>
  <c r="E5" i="134"/>
  <c r="E4" i="134"/>
  <c r="E13" i="135"/>
  <c r="E12" i="135"/>
  <c r="E11" i="135"/>
  <c r="E10" i="135"/>
  <c r="E9" i="135"/>
  <c r="E8" i="135"/>
  <c r="E7" i="135"/>
  <c r="E6" i="135"/>
  <c r="E5" i="135"/>
  <c r="E4" i="135"/>
  <c r="E13" i="136"/>
  <c r="E12" i="136"/>
  <c r="E11" i="136"/>
  <c r="E10" i="136"/>
  <c r="E9" i="136"/>
  <c r="E8" i="136"/>
  <c r="E7" i="136"/>
  <c r="E6" i="136"/>
  <c r="E5" i="136"/>
  <c r="E4" i="136"/>
  <c r="E13" i="137"/>
  <c r="E12" i="137"/>
  <c r="E11" i="137"/>
  <c r="E10" i="137"/>
  <c r="E9" i="137"/>
  <c r="E8" i="137"/>
  <c r="E7" i="137"/>
  <c r="E6" i="137"/>
  <c r="E5" i="137"/>
  <c r="E4" i="137"/>
  <c r="E13" i="138"/>
  <c r="E12" i="138"/>
  <c r="E11" i="138"/>
  <c r="E10" i="138"/>
  <c r="E9" i="138"/>
  <c r="E8" i="138"/>
  <c r="E7" i="138"/>
  <c r="E6" i="138"/>
  <c r="E5" i="138"/>
  <c r="E4" i="138"/>
  <c r="E13" i="139"/>
  <c r="E12" i="139"/>
  <c r="E11" i="139"/>
  <c r="E10" i="139"/>
  <c r="E9" i="139"/>
  <c r="E8" i="139"/>
  <c r="E7" i="139"/>
  <c r="E6" i="139"/>
  <c r="E5" i="139"/>
  <c r="E4" i="139"/>
  <c r="E13" i="140"/>
  <c r="E12" i="140"/>
  <c r="E11" i="140"/>
  <c r="E10" i="140"/>
  <c r="E9" i="140"/>
  <c r="E8" i="140"/>
  <c r="E7" i="140"/>
  <c r="E6" i="140"/>
  <c r="E5" i="140"/>
  <c r="E4" i="140"/>
  <c r="E13" i="141"/>
  <c r="E12" i="141"/>
  <c r="E11" i="141"/>
  <c r="E10" i="141"/>
  <c r="E9" i="141"/>
  <c r="E8" i="141"/>
  <c r="E7" i="141"/>
  <c r="E6" i="141"/>
  <c r="E5" i="141"/>
  <c r="E4" i="141"/>
  <c r="E13" i="142"/>
  <c r="E12" i="142"/>
  <c r="E11" i="142"/>
  <c r="E10" i="142"/>
  <c r="E9" i="142"/>
  <c r="E8" i="142"/>
  <c r="E7" i="142"/>
  <c r="E6" i="142"/>
  <c r="E5" i="142"/>
  <c r="E4" i="142"/>
  <c r="E13" i="143"/>
  <c r="E12" i="143"/>
  <c r="E11" i="143"/>
  <c r="E10" i="143"/>
  <c r="E9" i="143"/>
  <c r="E8" i="143"/>
  <c r="E7" i="143"/>
  <c r="E6" i="143"/>
  <c r="E5" i="143"/>
  <c r="E4" i="143"/>
  <c r="E13" i="144"/>
  <c r="E12" i="144"/>
  <c r="E11" i="144"/>
  <c r="E10" i="144"/>
  <c r="E9" i="144"/>
  <c r="E8" i="144"/>
  <c r="E7" i="144"/>
  <c r="E6" i="144"/>
  <c r="E5" i="144"/>
  <c r="E4" i="144"/>
  <c r="E13" i="145"/>
  <c r="E12" i="145"/>
  <c r="E11" i="145"/>
  <c r="E10" i="145"/>
  <c r="E9" i="145"/>
  <c r="E8" i="145"/>
  <c r="E7" i="145"/>
  <c r="E6" i="145"/>
  <c r="E5" i="145"/>
  <c r="E4" i="145"/>
  <c r="E13" i="146"/>
  <c r="E12" i="146"/>
  <c r="E11" i="146"/>
  <c r="E10" i="146"/>
  <c r="E9" i="146"/>
  <c r="E8" i="146"/>
  <c r="E7" i="146"/>
  <c r="E6" i="146"/>
  <c r="E5" i="146"/>
  <c r="E4" i="146"/>
  <c r="E13" i="147"/>
  <c r="E12" i="147"/>
  <c r="E11" i="147"/>
  <c r="E10" i="147"/>
  <c r="E9" i="147"/>
  <c r="E8" i="147"/>
  <c r="E7" i="147"/>
  <c r="E6" i="147"/>
  <c r="E5" i="147"/>
  <c r="E4" i="147"/>
  <c r="E13" i="148"/>
  <c r="E12" i="148"/>
  <c r="E11" i="148"/>
  <c r="E10" i="148"/>
  <c r="E9" i="148"/>
  <c r="E8" i="148"/>
  <c r="E7" i="148"/>
  <c r="E6" i="148"/>
  <c r="E5" i="148"/>
  <c r="E4" i="148"/>
  <c r="E13" i="149"/>
  <c r="E12" i="149"/>
  <c r="E11" i="149"/>
  <c r="E10" i="149"/>
  <c r="E9" i="149"/>
  <c r="E8" i="149"/>
  <c r="E7" i="149"/>
  <c r="E6" i="149"/>
  <c r="E5" i="149"/>
  <c r="E4" i="149"/>
  <c r="E13" i="150"/>
  <c r="E12" i="150"/>
  <c r="E11" i="150"/>
  <c r="E10" i="150"/>
  <c r="E9" i="150"/>
  <c r="E8" i="150"/>
  <c r="E7" i="150"/>
  <c r="E6" i="150"/>
  <c r="E5" i="150"/>
  <c r="E4" i="150"/>
  <c r="E13" i="151"/>
  <c r="E12" i="151"/>
  <c r="E11" i="151"/>
  <c r="E10" i="151"/>
  <c r="E9" i="151"/>
  <c r="E8" i="151"/>
  <c r="E7" i="151"/>
  <c r="E6" i="151"/>
  <c r="E5" i="151"/>
  <c r="E4" i="151"/>
  <c r="E13" i="152"/>
  <c r="E12" i="152"/>
  <c r="E11" i="152"/>
  <c r="E10" i="152"/>
  <c r="E9" i="152"/>
  <c r="E8" i="152"/>
  <c r="E7" i="152"/>
  <c r="E6" i="152"/>
  <c r="E5" i="152"/>
  <c r="E4" i="152"/>
  <c r="E13" i="153"/>
  <c r="E12" i="153"/>
  <c r="E11" i="153"/>
  <c r="E10" i="153"/>
  <c r="E9" i="153"/>
  <c r="E8" i="153"/>
  <c r="E7" i="153"/>
  <c r="E6" i="153"/>
  <c r="E5" i="153"/>
  <c r="E4" i="153"/>
  <c r="E13" i="154"/>
  <c r="E12" i="154"/>
  <c r="E11" i="154"/>
  <c r="E10" i="154"/>
  <c r="E9" i="154"/>
  <c r="E8" i="154"/>
  <c r="E7" i="154"/>
  <c r="E6" i="154"/>
  <c r="E5" i="154"/>
  <c r="E4" i="154"/>
  <c r="E13" i="155"/>
  <c r="E12" i="155"/>
  <c r="E11" i="155"/>
  <c r="E10" i="155"/>
  <c r="E9" i="155"/>
  <c r="E8" i="155"/>
  <c r="E7" i="155"/>
  <c r="E6" i="155"/>
  <c r="E5" i="155"/>
  <c r="E4" i="155"/>
  <c r="E13" i="156"/>
  <c r="E12" i="156"/>
  <c r="E11" i="156"/>
  <c r="E10" i="156"/>
  <c r="E9" i="156"/>
  <c r="E8" i="156"/>
  <c r="E7" i="156"/>
  <c r="E6" i="156"/>
  <c r="E5" i="156"/>
  <c r="E4" i="156"/>
  <c r="E13" i="157"/>
  <c r="E12" i="157"/>
  <c r="E11" i="157"/>
  <c r="E10" i="157"/>
  <c r="E9" i="157"/>
  <c r="E8" i="157"/>
  <c r="E7" i="157"/>
  <c r="E6" i="157"/>
  <c r="E5" i="157"/>
  <c r="E4" i="157"/>
  <c r="E13" i="158"/>
  <c r="E12" i="158"/>
  <c r="E11" i="158"/>
  <c r="E10" i="158"/>
  <c r="E9" i="158"/>
  <c r="E8" i="158"/>
  <c r="E7" i="158"/>
  <c r="E6" i="158"/>
  <c r="E5" i="158"/>
  <c r="E4" i="158"/>
  <c r="E13" i="159"/>
  <c r="E12" i="159"/>
  <c r="E11" i="159"/>
  <c r="E10" i="159"/>
  <c r="E9" i="159"/>
  <c r="E8" i="159"/>
  <c r="E7" i="159"/>
  <c r="E6" i="159"/>
  <c r="E5" i="159"/>
  <c r="E4" i="159"/>
  <c r="E13" i="1"/>
  <c r="E12" i="1"/>
  <c r="E11" i="1"/>
  <c r="E10" i="1"/>
  <c r="E9" i="1"/>
  <c r="E8" i="1"/>
  <c r="E7" i="1"/>
  <c r="E6" i="1"/>
  <c r="E5" i="1"/>
  <c r="E4" i="1"/>
  <c r="Q20" i="13" l="1"/>
  <c r="Q19" i="13"/>
  <c r="Q20" i="131"/>
  <c r="Q19" i="131"/>
  <c r="Q20" i="132"/>
  <c r="Q19" i="132"/>
  <c r="Q20" i="133"/>
  <c r="Q19" i="133"/>
  <c r="Q20" i="134"/>
  <c r="Q19" i="134"/>
  <c r="Q20" i="135"/>
  <c r="Q19" i="135"/>
  <c r="Q20" i="136"/>
  <c r="Q19" i="136"/>
  <c r="Q20" i="137"/>
  <c r="Q19" i="137"/>
  <c r="Q20" i="138"/>
  <c r="Q19" i="138"/>
  <c r="Q20" i="139"/>
  <c r="Q19" i="139"/>
  <c r="Q20" i="140"/>
  <c r="Q19" i="140"/>
  <c r="Q20" i="141"/>
  <c r="Q19" i="141"/>
  <c r="Q20" i="142"/>
  <c r="Q19" i="142"/>
  <c r="Q20" i="143"/>
  <c r="Q19" i="143"/>
  <c r="Q20" i="144"/>
  <c r="Q19" i="144"/>
  <c r="Q20" i="145"/>
  <c r="Q19" i="145"/>
  <c r="Q20" i="146"/>
  <c r="Q19" i="146"/>
  <c r="Q20" i="147"/>
  <c r="Q19" i="147"/>
  <c r="Q20" i="148"/>
  <c r="Q19" i="148"/>
  <c r="Q20" i="149"/>
  <c r="Q19" i="149"/>
  <c r="Q20" i="150"/>
  <c r="Q19" i="150"/>
  <c r="Q20" i="151"/>
  <c r="Q19" i="151"/>
  <c r="Q20" i="152"/>
  <c r="Q19" i="152"/>
  <c r="Q20" i="153"/>
  <c r="Q19" i="153"/>
  <c r="Q20" i="154"/>
  <c r="Q19" i="154"/>
  <c r="Q20" i="155"/>
  <c r="Q19" i="155"/>
  <c r="Q20" i="156"/>
  <c r="Q19" i="156"/>
  <c r="Q20" i="157"/>
  <c r="Q19" i="157"/>
  <c r="Q20" i="158"/>
  <c r="Q19" i="158"/>
  <c r="Q20" i="159"/>
  <c r="Q19" i="159"/>
  <c r="Q28" i="144" l="1"/>
  <c r="Q28" i="150"/>
  <c r="Q28" i="138"/>
  <c r="Q28" i="136"/>
  <c r="Q28" i="157"/>
  <c r="Q28" i="147"/>
  <c r="Q28" i="158"/>
  <c r="Q28" i="152"/>
  <c r="Q28" i="149"/>
  <c r="Q28" i="145"/>
  <c r="Q28" i="141"/>
  <c r="Q28" i="137"/>
  <c r="Q28" i="155"/>
  <c r="Q28" i="146"/>
  <c r="Q28" i="142"/>
  <c r="Q28" i="134"/>
  <c r="Q28" i="13"/>
  <c r="Q28" i="139"/>
  <c r="Q28" i="131"/>
  <c r="Q28" i="153"/>
  <c r="Q28" i="133"/>
  <c r="Q28" i="156"/>
  <c r="Q28" i="159"/>
  <c r="Q28" i="151"/>
  <c r="Q28" i="143"/>
  <c r="Q28" i="135"/>
  <c r="Q28" i="154"/>
  <c r="Q28" i="148"/>
  <c r="Q28" i="140"/>
  <c r="Q28" i="132"/>
  <c r="Q31" i="159"/>
  <c r="Q31" i="158"/>
  <c r="Q31" i="157"/>
  <c r="Q31" i="156"/>
  <c r="Q31" i="155"/>
  <c r="Q31" i="154"/>
  <c r="Q31" i="153"/>
  <c r="Q31" i="152"/>
  <c r="Q31" i="151"/>
  <c r="Q31" i="150"/>
  <c r="Q31" i="149"/>
  <c r="Q31" i="148"/>
  <c r="Q31" i="147"/>
  <c r="Q31" i="146"/>
  <c r="Q31" i="145"/>
  <c r="Q31" i="144"/>
  <c r="Q31" i="143"/>
  <c r="Q31" i="142"/>
  <c r="Q31" i="141"/>
  <c r="Q31" i="140"/>
  <c r="Q31" i="139"/>
  <c r="Q31" i="138"/>
  <c r="Q31" i="137"/>
  <c r="Q31" i="136"/>
  <c r="Q31" i="135"/>
  <c r="Q31" i="134"/>
  <c r="Q31" i="133"/>
  <c r="Q31" i="132"/>
  <c r="Q31" i="131"/>
  <c r="Q31" i="13"/>
  <c r="Q31" i="1"/>
  <c r="I24" i="159" l="1"/>
  <c r="D24" i="159"/>
  <c r="I11" i="159"/>
  <c r="I13" i="159" s="1"/>
  <c r="D11" i="159"/>
  <c r="D13" i="159" s="1"/>
  <c r="I24" i="158"/>
  <c r="D24" i="158"/>
  <c r="I11" i="158"/>
  <c r="I13" i="158" s="1"/>
  <c r="D11" i="158"/>
  <c r="D13" i="158" s="1"/>
  <c r="I24" i="157"/>
  <c r="D24" i="157"/>
  <c r="I11" i="157"/>
  <c r="I13" i="157" s="1"/>
  <c r="D11" i="157"/>
  <c r="D13" i="157" s="1"/>
  <c r="I24" i="156"/>
  <c r="D24" i="156"/>
  <c r="I11" i="156"/>
  <c r="I13" i="156" s="1"/>
  <c r="D11" i="156"/>
  <c r="D13" i="156" s="1"/>
  <c r="I24" i="155"/>
  <c r="D24" i="155"/>
  <c r="I11" i="155"/>
  <c r="I13" i="155" s="1"/>
  <c r="D11" i="155"/>
  <c r="D13" i="155" s="1"/>
  <c r="I24" i="154"/>
  <c r="D24" i="154"/>
  <c r="I11" i="154"/>
  <c r="I13" i="154" s="1"/>
  <c r="D11" i="154"/>
  <c r="D13" i="154" s="1"/>
  <c r="I24" i="153"/>
  <c r="D24" i="153"/>
  <c r="I11" i="153"/>
  <c r="I13" i="153" s="1"/>
  <c r="D11" i="153"/>
  <c r="D13" i="153" s="1"/>
  <c r="I24" i="152"/>
  <c r="D24" i="152"/>
  <c r="I11" i="152"/>
  <c r="I13" i="152" s="1"/>
  <c r="D11" i="152"/>
  <c r="D13" i="152" s="1"/>
  <c r="I24" i="151"/>
  <c r="D24" i="151"/>
  <c r="I11" i="151"/>
  <c r="I13" i="151" s="1"/>
  <c r="D11" i="151"/>
  <c r="D13" i="151" s="1"/>
  <c r="I24" i="150"/>
  <c r="D24" i="150"/>
  <c r="I11" i="150"/>
  <c r="I13" i="150" s="1"/>
  <c r="D11" i="150"/>
  <c r="D13" i="150" s="1"/>
  <c r="I24" i="149"/>
  <c r="D24" i="149"/>
  <c r="I11" i="149"/>
  <c r="I13" i="149" s="1"/>
  <c r="D11" i="149"/>
  <c r="D13" i="149" s="1"/>
  <c r="I24" i="148"/>
  <c r="D24" i="148"/>
  <c r="I11" i="148"/>
  <c r="I13" i="148" s="1"/>
  <c r="D11" i="148"/>
  <c r="D13" i="148" s="1"/>
  <c r="I24" i="147"/>
  <c r="D24" i="147"/>
  <c r="I11" i="147"/>
  <c r="I13" i="147" s="1"/>
  <c r="D11" i="147"/>
  <c r="D13" i="147" s="1"/>
  <c r="I24" i="146"/>
  <c r="D24" i="146"/>
  <c r="I11" i="146"/>
  <c r="I13" i="146" s="1"/>
  <c r="D11" i="146"/>
  <c r="D13" i="146" s="1"/>
  <c r="I24" i="145"/>
  <c r="D24" i="145"/>
  <c r="I11" i="145"/>
  <c r="I13" i="145" s="1"/>
  <c r="D11" i="145"/>
  <c r="D13" i="145" s="1"/>
  <c r="I24" i="144"/>
  <c r="D24" i="144"/>
  <c r="I11" i="144"/>
  <c r="I13" i="144" s="1"/>
  <c r="D11" i="144"/>
  <c r="D13" i="144" s="1"/>
  <c r="I24" i="143"/>
  <c r="D24" i="143"/>
  <c r="I11" i="143"/>
  <c r="I13" i="143" s="1"/>
  <c r="D11" i="143"/>
  <c r="D13" i="143" s="1"/>
  <c r="I24" i="142"/>
  <c r="D24" i="142"/>
  <c r="I11" i="142"/>
  <c r="I13" i="142" s="1"/>
  <c r="D11" i="142"/>
  <c r="D13" i="142" s="1"/>
  <c r="I24" i="141"/>
  <c r="D24" i="141"/>
  <c r="I11" i="141"/>
  <c r="I13" i="141" s="1"/>
  <c r="D11" i="141"/>
  <c r="D13" i="141" s="1"/>
  <c r="I24" i="140"/>
  <c r="D24" i="140"/>
  <c r="I11" i="140"/>
  <c r="I13" i="140" s="1"/>
  <c r="D11" i="140"/>
  <c r="D13" i="140" s="1"/>
  <c r="I24" i="139"/>
  <c r="D24" i="139"/>
  <c r="I11" i="139"/>
  <c r="I13" i="139" s="1"/>
  <c r="D11" i="139"/>
  <c r="D13" i="139" s="1"/>
  <c r="I24" i="138"/>
  <c r="D24" i="138"/>
  <c r="I11" i="138"/>
  <c r="I13" i="138" s="1"/>
  <c r="D11" i="138"/>
  <c r="D13" i="138" s="1"/>
  <c r="I24" i="137"/>
  <c r="D24" i="137"/>
  <c r="I11" i="137"/>
  <c r="I13" i="137" s="1"/>
  <c r="D11" i="137"/>
  <c r="D13" i="137" s="1"/>
  <c r="I24" i="136"/>
  <c r="D24" i="136"/>
  <c r="I11" i="136"/>
  <c r="I13" i="136" s="1"/>
  <c r="D11" i="136"/>
  <c r="D13" i="136" s="1"/>
  <c r="I24" i="135"/>
  <c r="D24" i="135"/>
  <c r="I11" i="135"/>
  <c r="I13" i="135" s="1"/>
  <c r="D11" i="135"/>
  <c r="D13" i="135" s="1"/>
  <c r="I24" i="134"/>
  <c r="D24" i="134"/>
  <c r="I11" i="134"/>
  <c r="I13" i="134" s="1"/>
  <c r="D11" i="134"/>
  <c r="D13" i="134" s="1"/>
  <c r="I24" i="133"/>
  <c r="D24" i="133"/>
  <c r="I11" i="133"/>
  <c r="D11" i="133"/>
  <c r="D13" i="133" s="1"/>
  <c r="I24" i="132"/>
  <c r="D24" i="132"/>
  <c r="I11" i="132"/>
  <c r="I13" i="132" s="1"/>
  <c r="D11" i="132"/>
  <c r="D13" i="132" s="1"/>
  <c r="I24" i="131"/>
  <c r="D24" i="131"/>
  <c r="I11" i="131"/>
  <c r="I13" i="131" s="1"/>
  <c r="D11" i="131"/>
  <c r="D13" i="131" s="1"/>
  <c r="I24" i="13"/>
  <c r="D24" i="13"/>
  <c r="I11" i="13"/>
  <c r="I13" i="13" s="1"/>
  <c r="D11" i="13"/>
  <c r="D13" i="13" s="1"/>
  <c r="I24" i="1"/>
  <c r="D24" i="1"/>
  <c r="D26" i="1" s="1"/>
  <c r="I11" i="1"/>
  <c r="I13" i="1" s="1"/>
  <c r="D11" i="1"/>
  <c r="D13" i="1" s="1"/>
  <c r="K26" i="13" l="1"/>
  <c r="F26" i="13"/>
  <c r="J24" i="13"/>
  <c r="E24" i="13"/>
  <c r="J23" i="13"/>
  <c r="E23" i="13"/>
  <c r="J22" i="13"/>
  <c r="E22" i="13"/>
  <c r="J21" i="13"/>
  <c r="E21" i="13"/>
  <c r="J19" i="13"/>
  <c r="E19" i="13"/>
  <c r="J18" i="13"/>
  <c r="E18" i="13"/>
  <c r="J17" i="13"/>
  <c r="E17" i="13"/>
  <c r="L14" i="13"/>
  <c r="K13" i="13"/>
  <c r="F13" i="13"/>
  <c r="J13" i="13"/>
  <c r="C13" i="13"/>
  <c r="C26" i="13" s="1"/>
  <c r="H26" i="13" s="1"/>
  <c r="K26" i="131"/>
  <c r="F26" i="131"/>
  <c r="J24" i="131"/>
  <c r="J23" i="131"/>
  <c r="E23" i="131"/>
  <c r="J22" i="131"/>
  <c r="E22" i="131"/>
  <c r="J21" i="131"/>
  <c r="E21" i="131"/>
  <c r="J19" i="131"/>
  <c r="E19" i="131"/>
  <c r="J18" i="131"/>
  <c r="E18" i="131"/>
  <c r="J17" i="131"/>
  <c r="E17" i="131"/>
  <c r="L14" i="131"/>
  <c r="K13" i="131"/>
  <c r="F13" i="131"/>
  <c r="J13" i="131"/>
  <c r="C13" i="131"/>
  <c r="H13" i="131" s="1"/>
  <c r="K26" i="132"/>
  <c r="F26" i="132"/>
  <c r="J24" i="132"/>
  <c r="J23" i="132"/>
  <c r="E23" i="132"/>
  <c r="J22" i="132"/>
  <c r="E22" i="132"/>
  <c r="J21" i="132"/>
  <c r="E21" i="132"/>
  <c r="J19" i="132"/>
  <c r="E19" i="132"/>
  <c r="J18" i="132"/>
  <c r="E18" i="132"/>
  <c r="J17" i="132"/>
  <c r="E17" i="132"/>
  <c r="L14" i="132"/>
  <c r="K13" i="132"/>
  <c r="F13" i="132"/>
  <c r="J13" i="132"/>
  <c r="C13" i="132"/>
  <c r="C26" i="132" s="1"/>
  <c r="H26" i="132" s="1"/>
  <c r="K26" i="133"/>
  <c r="F26" i="133"/>
  <c r="J24" i="133"/>
  <c r="J23" i="133"/>
  <c r="E23" i="133"/>
  <c r="J22" i="133"/>
  <c r="E22" i="133"/>
  <c r="J21" i="133"/>
  <c r="E21" i="133"/>
  <c r="J19" i="133"/>
  <c r="E19" i="133"/>
  <c r="J18" i="133"/>
  <c r="E18" i="133"/>
  <c r="J17" i="133"/>
  <c r="E17" i="133"/>
  <c r="L14" i="133"/>
  <c r="K13" i="133"/>
  <c r="F13" i="133"/>
  <c r="J13" i="133"/>
  <c r="C13" i="133"/>
  <c r="N14" i="133" s="1"/>
  <c r="K26" i="134"/>
  <c r="F26" i="134"/>
  <c r="J24" i="134"/>
  <c r="J23" i="134"/>
  <c r="E23" i="134"/>
  <c r="J22" i="134"/>
  <c r="E22" i="134"/>
  <c r="J21" i="134"/>
  <c r="E21" i="134"/>
  <c r="J19" i="134"/>
  <c r="E19" i="134"/>
  <c r="J18" i="134"/>
  <c r="E18" i="134"/>
  <c r="J17" i="134"/>
  <c r="E17" i="134"/>
  <c r="L14" i="134"/>
  <c r="K13" i="134"/>
  <c r="F13" i="134"/>
  <c r="J13" i="134"/>
  <c r="C13" i="134"/>
  <c r="N14" i="134" s="1"/>
  <c r="K26" i="135"/>
  <c r="F26" i="135"/>
  <c r="J24" i="135"/>
  <c r="J23" i="135"/>
  <c r="E23" i="135"/>
  <c r="J22" i="135"/>
  <c r="E22" i="135"/>
  <c r="J21" i="135"/>
  <c r="E21" i="135"/>
  <c r="J19" i="135"/>
  <c r="E19" i="135"/>
  <c r="J18" i="135"/>
  <c r="E18" i="135"/>
  <c r="J17" i="135"/>
  <c r="E17" i="135"/>
  <c r="L14" i="135"/>
  <c r="K13" i="135"/>
  <c r="F13" i="135"/>
  <c r="J13" i="135"/>
  <c r="C13" i="135"/>
  <c r="N14" i="135" s="1"/>
  <c r="K26" i="136"/>
  <c r="F26" i="136"/>
  <c r="J24" i="136"/>
  <c r="J23" i="136"/>
  <c r="E23" i="136"/>
  <c r="J22" i="136"/>
  <c r="E22" i="136"/>
  <c r="J21" i="136"/>
  <c r="E21" i="136"/>
  <c r="J19" i="136"/>
  <c r="E19" i="136"/>
  <c r="J18" i="136"/>
  <c r="E18" i="136"/>
  <c r="J17" i="136"/>
  <c r="E17" i="136"/>
  <c r="I16" i="136"/>
  <c r="D16" i="136"/>
  <c r="L14" i="136"/>
  <c r="K13" i="136"/>
  <c r="F13" i="136"/>
  <c r="J13" i="136"/>
  <c r="C13" i="136"/>
  <c r="C26" i="136" s="1"/>
  <c r="H26" i="136" s="1"/>
  <c r="K26" i="137"/>
  <c r="F26" i="137"/>
  <c r="J24" i="137"/>
  <c r="J23" i="137"/>
  <c r="E23" i="137"/>
  <c r="J22" i="137"/>
  <c r="E22" i="137"/>
  <c r="J21" i="137"/>
  <c r="E21" i="137"/>
  <c r="J19" i="137"/>
  <c r="E19" i="137"/>
  <c r="J18" i="137"/>
  <c r="E18" i="137"/>
  <c r="J17" i="137"/>
  <c r="E17" i="137"/>
  <c r="L14" i="137"/>
  <c r="K13" i="137"/>
  <c r="F13" i="137"/>
  <c r="J13" i="137"/>
  <c r="C13" i="137"/>
  <c r="C26" i="137" s="1"/>
  <c r="H26" i="137" s="1"/>
  <c r="K26" i="138"/>
  <c r="F26" i="138"/>
  <c r="J24" i="138"/>
  <c r="J23" i="138"/>
  <c r="E23" i="138"/>
  <c r="J22" i="138"/>
  <c r="E22" i="138"/>
  <c r="J21" i="138"/>
  <c r="E21" i="138"/>
  <c r="J19" i="138"/>
  <c r="E19" i="138"/>
  <c r="J18" i="138"/>
  <c r="E18" i="138"/>
  <c r="J17" i="138"/>
  <c r="E17" i="138"/>
  <c r="L14" i="138"/>
  <c r="K13" i="138"/>
  <c r="F13" i="138"/>
  <c r="J13" i="138"/>
  <c r="C13" i="138"/>
  <c r="C26" i="138" s="1"/>
  <c r="H26" i="138" s="1"/>
  <c r="K26" i="139"/>
  <c r="F26" i="139"/>
  <c r="J24" i="139"/>
  <c r="J23" i="139"/>
  <c r="E23" i="139"/>
  <c r="J22" i="139"/>
  <c r="E22" i="139"/>
  <c r="J21" i="139"/>
  <c r="E21" i="139"/>
  <c r="J19" i="139"/>
  <c r="E19" i="139"/>
  <c r="J18" i="139"/>
  <c r="E18" i="139"/>
  <c r="J17" i="139"/>
  <c r="E17" i="139"/>
  <c r="L14" i="139"/>
  <c r="K13" i="139"/>
  <c r="F13" i="139"/>
  <c r="J13" i="139"/>
  <c r="C13" i="139"/>
  <c r="N14" i="139" s="1"/>
  <c r="K26" i="140"/>
  <c r="F26" i="140"/>
  <c r="J24" i="140"/>
  <c r="J23" i="140"/>
  <c r="E23" i="140"/>
  <c r="J22" i="140"/>
  <c r="E22" i="140"/>
  <c r="J21" i="140"/>
  <c r="E21" i="140"/>
  <c r="J19" i="140"/>
  <c r="E19" i="140"/>
  <c r="J18" i="140"/>
  <c r="E18" i="140"/>
  <c r="J17" i="140"/>
  <c r="E17" i="140"/>
  <c r="L14" i="140"/>
  <c r="K13" i="140"/>
  <c r="F13" i="140"/>
  <c r="J13" i="140"/>
  <c r="C13" i="140"/>
  <c r="H13" i="140" s="1"/>
  <c r="K26" i="141"/>
  <c r="F26" i="141"/>
  <c r="J24" i="141"/>
  <c r="J23" i="141"/>
  <c r="E23" i="141"/>
  <c r="J22" i="141"/>
  <c r="E22" i="141"/>
  <c r="J21" i="141"/>
  <c r="E21" i="141"/>
  <c r="J19" i="141"/>
  <c r="E19" i="141"/>
  <c r="J18" i="141"/>
  <c r="E18" i="141"/>
  <c r="J17" i="141"/>
  <c r="E17" i="141"/>
  <c r="L14" i="141"/>
  <c r="K13" i="141"/>
  <c r="F13" i="141"/>
  <c r="J13" i="141"/>
  <c r="C13" i="141"/>
  <c r="N14" i="141" s="1"/>
  <c r="K26" i="142"/>
  <c r="F26" i="142"/>
  <c r="J24" i="142"/>
  <c r="J23" i="142"/>
  <c r="E23" i="142"/>
  <c r="J22" i="142"/>
  <c r="E22" i="142"/>
  <c r="J21" i="142"/>
  <c r="E21" i="142"/>
  <c r="J19" i="142"/>
  <c r="E19" i="142"/>
  <c r="J18" i="142"/>
  <c r="E18" i="142"/>
  <c r="J17" i="142"/>
  <c r="E17" i="142"/>
  <c r="L14" i="142"/>
  <c r="K13" i="142"/>
  <c r="F13" i="142"/>
  <c r="J13" i="142"/>
  <c r="C13" i="142"/>
  <c r="C26" i="142" s="1"/>
  <c r="H26" i="142" s="1"/>
  <c r="K26" i="143"/>
  <c r="F26" i="143"/>
  <c r="J24" i="143"/>
  <c r="J23" i="143"/>
  <c r="E23" i="143"/>
  <c r="J22" i="143"/>
  <c r="E22" i="143"/>
  <c r="J21" i="143"/>
  <c r="E21" i="143"/>
  <c r="J19" i="143"/>
  <c r="E19" i="143"/>
  <c r="J18" i="143"/>
  <c r="E18" i="143"/>
  <c r="J17" i="143"/>
  <c r="E17" i="143"/>
  <c r="L14" i="143"/>
  <c r="K13" i="143"/>
  <c r="F13" i="143"/>
  <c r="J13" i="143"/>
  <c r="C13" i="143"/>
  <c r="H13" i="143" s="1"/>
  <c r="K26" i="144"/>
  <c r="F26" i="144"/>
  <c r="J24" i="144"/>
  <c r="J23" i="144"/>
  <c r="E23" i="144"/>
  <c r="J22" i="144"/>
  <c r="E22" i="144"/>
  <c r="J21" i="144"/>
  <c r="E21" i="144"/>
  <c r="J19" i="144"/>
  <c r="E19" i="144"/>
  <c r="J18" i="144"/>
  <c r="E18" i="144"/>
  <c r="J17" i="144"/>
  <c r="E17" i="144"/>
  <c r="L14" i="144"/>
  <c r="K13" i="144"/>
  <c r="F13" i="144"/>
  <c r="J13" i="144"/>
  <c r="C13" i="144"/>
  <c r="C26" i="144" s="1"/>
  <c r="H26" i="144" s="1"/>
  <c r="K26" i="145"/>
  <c r="F26" i="145"/>
  <c r="J24" i="145"/>
  <c r="J23" i="145"/>
  <c r="E23" i="145"/>
  <c r="J22" i="145"/>
  <c r="E22" i="145"/>
  <c r="J21" i="145"/>
  <c r="E21" i="145"/>
  <c r="J19" i="145"/>
  <c r="E19" i="145"/>
  <c r="J18" i="145"/>
  <c r="E18" i="145"/>
  <c r="J17" i="145"/>
  <c r="E17" i="145"/>
  <c r="L14" i="145"/>
  <c r="K13" i="145"/>
  <c r="F13" i="145"/>
  <c r="J13" i="145"/>
  <c r="C13" i="145"/>
  <c r="C26" i="145" s="1"/>
  <c r="H26" i="145" s="1"/>
  <c r="K26" i="146"/>
  <c r="F26" i="146"/>
  <c r="J24" i="146"/>
  <c r="J23" i="146"/>
  <c r="E23" i="146"/>
  <c r="J22" i="146"/>
  <c r="E22" i="146"/>
  <c r="J21" i="146"/>
  <c r="E21" i="146"/>
  <c r="J19" i="146"/>
  <c r="E19" i="146"/>
  <c r="J18" i="146"/>
  <c r="E18" i="146"/>
  <c r="J17" i="146"/>
  <c r="E17" i="146"/>
  <c r="L14" i="146"/>
  <c r="K13" i="146"/>
  <c r="F13" i="146"/>
  <c r="J13" i="146"/>
  <c r="C13" i="146"/>
  <c r="H13" i="146" s="1"/>
  <c r="K26" i="147"/>
  <c r="F26" i="147"/>
  <c r="J24" i="147"/>
  <c r="J23" i="147"/>
  <c r="E23" i="147"/>
  <c r="J22" i="147"/>
  <c r="E22" i="147"/>
  <c r="J21" i="147"/>
  <c r="E21" i="147"/>
  <c r="J19" i="147"/>
  <c r="E19" i="147"/>
  <c r="J18" i="147"/>
  <c r="E18" i="147"/>
  <c r="J17" i="147"/>
  <c r="E17" i="147"/>
  <c r="L14" i="147"/>
  <c r="K13" i="147"/>
  <c r="F13" i="147"/>
  <c r="J13" i="147"/>
  <c r="C13" i="147"/>
  <c r="C26" i="147" s="1"/>
  <c r="H26" i="147" s="1"/>
  <c r="K26" i="148"/>
  <c r="F26" i="148"/>
  <c r="J24" i="148"/>
  <c r="J23" i="148"/>
  <c r="E23" i="148"/>
  <c r="J22" i="148"/>
  <c r="E22" i="148"/>
  <c r="J21" i="148"/>
  <c r="E21" i="148"/>
  <c r="J19" i="148"/>
  <c r="E19" i="148"/>
  <c r="J18" i="148"/>
  <c r="E18" i="148"/>
  <c r="J17" i="148"/>
  <c r="E17" i="148"/>
  <c r="L14" i="148"/>
  <c r="K13" i="148"/>
  <c r="F13" i="148"/>
  <c r="J13" i="148"/>
  <c r="C13" i="148"/>
  <c r="N14" i="148" s="1"/>
  <c r="K26" i="149"/>
  <c r="F26" i="149"/>
  <c r="J24" i="149"/>
  <c r="J23" i="149"/>
  <c r="E23" i="149"/>
  <c r="J22" i="149"/>
  <c r="E22" i="149"/>
  <c r="J21" i="149"/>
  <c r="E21" i="149"/>
  <c r="J19" i="149"/>
  <c r="E19" i="149"/>
  <c r="J18" i="149"/>
  <c r="E18" i="149"/>
  <c r="J17" i="149"/>
  <c r="E17" i="149"/>
  <c r="L14" i="149"/>
  <c r="K13" i="149"/>
  <c r="F13" i="149"/>
  <c r="J13" i="149"/>
  <c r="C13" i="149"/>
  <c r="H13" i="149" s="1"/>
  <c r="K26" i="150"/>
  <c r="F26" i="150"/>
  <c r="J24" i="150"/>
  <c r="J23" i="150"/>
  <c r="E23" i="150"/>
  <c r="J22" i="150"/>
  <c r="E22" i="150"/>
  <c r="J21" i="150"/>
  <c r="E21" i="150"/>
  <c r="J19" i="150"/>
  <c r="E19" i="150"/>
  <c r="J18" i="150"/>
  <c r="E18" i="150"/>
  <c r="J17" i="150"/>
  <c r="E17" i="150"/>
  <c r="L14" i="150"/>
  <c r="K13" i="150"/>
  <c r="F13" i="150"/>
  <c r="J13" i="150"/>
  <c r="C13" i="150"/>
  <c r="C26" i="150" s="1"/>
  <c r="H26" i="150" s="1"/>
  <c r="K26" i="151"/>
  <c r="F26" i="151"/>
  <c r="J24" i="151"/>
  <c r="J23" i="151"/>
  <c r="E23" i="151"/>
  <c r="J22" i="151"/>
  <c r="E22" i="151"/>
  <c r="J21" i="151"/>
  <c r="E21" i="151"/>
  <c r="J19" i="151"/>
  <c r="E19" i="151"/>
  <c r="J18" i="151"/>
  <c r="E18" i="151"/>
  <c r="J17" i="151"/>
  <c r="E17" i="151"/>
  <c r="L14" i="151"/>
  <c r="K13" i="151"/>
  <c r="F13" i="151"/>
  <c r="J13" i="151"/>
  <c r="C13" i="151"/>
  <c r="C26" i="151" s="1"/>
  <c r="H26" i="151" s="1"/>
  <c r="K26" i="152"/>
  <c r="F26" i="152"/>
  <c r="J24" i="152"/>
  <c r="J23" i="152"/>
  <c r="E23" i="152"/>
  <c r="J22" i="152"/>
  <c r="E22" i="152"/>
  <c r="J21" i="152"/>
  <c r="E21" i="152"/>
  <c r="J19" i="152"/>
  <c r="E19" i="152"/>
  <c r="J18" i="152"/>
  <c r="E18" i="152"/>
  <c r="J17" i="152"/>
  <c r="E17" i="152"/>
  <c r="L14" i="152"/>
  <c r="K13" i="152"/>
  <c r="F13" i="152"/>
  <c r="J13" i="152"/>
  <c r="C13" i="152"/>
  <c r="C26" i="152" s="1"/>
  <c r="H26" i="152" s="1"/>
  <c r="K26" i="153"/>
  <c r="F26" i="153"/>
  <c r="J24" i="153"/>
  <c r="J23" i="153"/>
  <c r="E23" i="153"/>
  <c r="J22" i="153"/>
  <c r="E22" i="153"/>
  <c r="J21" i="153"/>
  <c r="E21" i="153"/>
  <c r="J19" i="153"/>
  <c r="E19" i="153"/>
  <c r="J18" i="153"/>
  <c r="E18" i="153"/>
  <c r="J17" i="153"/>
  <c r="E17" i="153"/>
  <c r="L14" i="153"/>
  <c r="K13" i="153"/>
  <c r="F13" i="153"/>
  <c r="J13" i="153"/>
  <c r="C13" i="153"/>
  <c r="C26" i="153" s="1"/>
  <c r="H26" i="153" s="1"/>
  <c r="K26" i="154"/>
  <c r="F26" i="154"/>
  <c r="J24" i="154"/>
  <c r="J23" i="154"/>
  <c r="E23" i="154"/>
  <c r="J22" i="154"/>
  <c r="E22" i="154"/>
  <c r="J21" i="154"/>
  <c r="E21" i="154"/>
  <c r="J19" i="154"/>
  <c r="E19" i="154"/>
  <c r="J18" i="154"/>
  <c r="E18" i="154"/>
  <c r="J17" i="154"/>
  <c r="E17" i="154"/>
  <c r="L14" i="154"/>
  <c r="K13" i="154"/>
  <c r="F13" i="154"/>
  <c r="J13" i="154"/>
  <c r="C13" i="154"/>
  <c r="N14" i="154" s="1"/>
  <c r="K26" i="155"/>
  <c r="F26" i="155"/>
  <c r="J24" i="155"/>
  <c r="J23" i="155"/>
  <c r="E23" i="155"/>
  <c r="J22" i="155"/>
  <c r="E22" i="155"/>
  <c r="J21" i="155"/>
  <c r="E21" i="155"/>
  <c r="J19" i="155"/>
  <c r="E19" i="155"/>
  <c r="J18" i="155"/>
  <c r="E18" i="155"/>
  <c r="J17" i="155"/>
  <c r="E17" i="155"/>
  <c r="L14" i="155"/>
  <c r="K13" i="155"/>
  <c r="F13" i="155"/>
  <c r="J13" i="155"/>
  <c r="C13" i="155"/>
  <c r="C26" i="155" s="1"/>
  <c r="H26" i="155" s="1"/>
  <c r="K26" i="156"/>
  <c r="F26" i="156"/>
  <c r="J24" i="156"/>
  <c r="J23" i="156"/>
  <c r="E23" i="156"/>
  <c r="J22" i="156"/>
  <c r="E22" i="156"/>
  <c r="J21" i="156"/>
  <c r="E21" i="156"/>
  <c r="J19" i="156"/>
  <c r="E19" i="156"/>
  <c r="J18" i="156"/>
  <c r="E18" i="156"/>
  <c r="J17" i="156"/>
  <c r="E17" i="156"/>
  <c r="L14" i="156"/>
  <c r="K13" i="156"/>
  <c r="F13" i="156"/>
  <c r="J13" i="156"/>
  <c r="C13" i="156"/>
  <c r="C26" i="156" s="1"/>
  <c r="H26" i="156" s="1"/>
  <c r="K26" i="157"/>
  <c r="F26" i="157"/>
  <c r="J24" i="157"/>
  <c r="J23" i="157"/>
  <c r="E23" i="157"/>
  <c r="J22" i="157"/>
  <c r="E22" i="157"/>
  <c r="J21" i="157"/>
  <c r="E21" i="157"/>
  <c r="J19" i="157"/>
  <c r="E19" i="157"/>
  <c r="J18" i="157"/>
  <c r="E18" i="157"/>
  <c r="J17" i="157"/>
  <c r="E17" i="157"/>
  <c r="L14" i="157"/>
  <c r="K13" i="157"/>
  <c r="F13" i="157"/>
  <c r="J13" i="157"/>
  <c r="C13" i="157"/>
  <c r="H13" i="157" s="1"/>
  <c r="K26" i="158"/>
  <c r="F26" i="158"/>
  <c r="J24" i="158"/>
  <c r="J23" i="158"/>
  <c r="E23" i="158"/>
  <c r="J22" i="158"/>
  <c r="E22" i="158"/>
  <c r="J21" i="158"/>
  <c r="E21" i="158"/>
  <c r="J19" i="158"/>
  <c r="E19" i="158"/>
  <c r="J18" i="158"/>
  <c r="E18" i="158"/>
  <c r="J17" i="158"/>
  <c r="E17" i="158"/>
  <c r="L14" i="158"/>
  <c r="K13" i="158"/>
  <c r="F13" i="158"/>
  <c r="J13" i="158"/>
  <c r="C13" i="158"/>
  <c r="H13" i="158" s="1"/>
  <c r="K26" i="159"/>
  <c r="F26" i="159"/>
  <c r="F14" i="13" l="1"/>
  <c r="F14" i="131"/>
  <c r="F27" i="132"/>
  <c r="K14" i="131"/>
  <c r="F27" i="131"/>
  <c r="K27" i="131"/>
  <c r="K14" i="13"/>
  <c r="K27" i="13"/>
  <c r="F27" i="13"/>
  <c r="H13" i="13"/>
  <c r="N14" i="13"/>
  <c r="N14" i="131"/>
  <c r="C26" i="131"/>
  <c r="H26" i="131" s="1"/>
  <c r="H13" i="132"/>
  <c r="N14" i="132"/>
  <c r="H13" i="133"/>
  <c r="C26" i="133"/>
  <c r="H26" i="133" s="1"/>
  <c r="C26" i="134"/>
  <c r="H26" i="134" s="1"/>
  <c r="H13" i="134"/>
  <c r="C26" i="135"/>
  <c r="H26" i="135" s="1"/>
  <c r="H13" i="135"/>
  <c r="H13" i="136"/>
  <c r="N14" i="136"/>
  <c r="H13" i="137"/>
  <c r="N14" i="137"/>
  <c r="H13" i="138"/>
  <c r="N14" i="138"/>
  <c r="H13" i="139"/>
  <c r="C26" i="139"/>
  <c r="H26" i="139" s="1"/>
  <c r="N14" i="140"/>
  <c r="C26" i="140"/>
  <c r="H26" i="140" s="1"/>
  <c r="C26" i="141"/>
  <c r="H26" i="141" s="1"/>
  <c r="H13" i="141"/>
  <c r="H13" i="142"/>
  <c r="N14" i="142"/>
  <c r="N14" i="143"/>
  <c r="C26" i="143"/>
  <c r="H26" i="143" s="1"/>
  <c r="H13" i="144"/>
  <c r="N14" i="144"/>
  <c r="H13" i="145"/>
  <c r="N14" i="145"/>
  <c r="N14" i="146"/>
  <c r="C26" i="146"/>
  <c r="H26" i="146" s="1"/>
  <c r="H13" i="147"/>
  <c r="N14" i="147"/>
  <c r="C26" i="148"/>
  <c r="H26" i="148" s="1"/>
  <c r="H13" i="148"/>
  <c r="N14" i="149"/>
  <c r="C26" i="149"/>
  <c r="H26" i="149" s="1"/>
  <c r="H13" i="150"/>
  <c r="N14" i="150"/>
  <c r="H13" i="151"/>
  <c r="N14" i="151"/>
  <c r="H13" i="152"/>
  <c r="N14" i="152"/>
  <c r="H13" i="153"/>
  <c r="N14" i="153"/>
  <c r="H13" i="154"/>
  <c r="C26" i="154"/>
  <c r="H26" i="154" s="1"/>
  <c r="H13" i="155"/>
  <c r="N14" i="155"/>
  <c r="H13" i="156"/>
  <c r="N14" i="156"/>
  <c r="N14" i="157"/>
  <c r="C26" i="157"/>
  <c r="H26" i="157" s="1"/>
  <c r="N14" i="158"/>
  <c r="C26" i="158"/>
  <c r="H26" i="158" s="1"/>
  <c r="F14" i="132" l="1"/>
  <c r="K14" i="132"/>
  <c r="K27" i="132"/>
  <c r="F14" i="133" l="1"/>
  <c r="K14" i="133"/>
  <c r="F27" i="133"/>
  <c r="K27" i="133"/>
  <c r="F14" i="134" l="1"/>
  <c r="K14" i="134"/>
  <c r="K27" i="134"/>
  <c r="F27" i="134"/>
  <c r="Q13" i="159"/>
  <c r="Q12" i="159"/>
  <c r="Q11" i="159"/>
  <c r="O11" i="159"/>
  <c r="O12" i="159" s="1"/>
  <c r="Q10" i="159"/>
  <c r="Q9" i="159"/>
  <c r="O9" i="159"/>
  <c r="Q8" i="159"/>
  <c r="O8" i="159"/>
  <c r="Q7" i="159"/>
  <c r="O7" i="159"/>
  <c r="Q6" i="159"/>
  <c r="O6" i="159"/>
  <c r="Q5" i="159"/>
  <c r="O5" i="159"/>
  <c r="Q13" i="158"/>
  <c r="Q12" i="158"/>
  <c r="Q11" i="158"/>
  <c r="O11" i="158"/>
  <c r="O12" i="158" s="1"/>
  <c r="Q10" i="158"/>
  <c r="Q9" i="158"/>
  <c r="O9" i="158"/>
  <c r="Q8" i="158"/>
  <c r="O8" i="158"/>
  <c r="Q7" i="158"/>
  <c r="O7" i="158"/>
  <c r="Q6" i="158"/>
  <c r="O6" i="158"/>
  <c r="Q5" i="158"/>
  <c r="O5" i="158"/>
  <c r="Q13" i="157"/>
  <c r="Q12" i="157"/>
  <c r="Q11" i="157"/>
  <c r="O11" i="157"/>
  <c r="O12" i="157" s="1"/>
  <c r="Q10" i="157"/>
  <c r="Q9" i="157"/>
  <c r="O9" i="157"/>
  <c r="Q8" i="157"/>
  <c r="O8" i="157"/>
  <c r="Q7" i="157"/>
  <c r="O7" i="157"/>
  <c r="Q6" i="157"/>
  <c r="O6" i="157"/>
  <c r="Q5" i="157"/>
  <c r="O5" i="157"/>
  <c r="Q13" i="156"/>
  <c r="Q12" i="156"/>
  <c r="Q11" i="156"/>
  <c r="O11" i="156"/>
  <c r="O12" i="156" s="1"/>
  <c r="Q10" i="156"/>
  <c r="Q9" i="156"/>
  <c r="O9" i="156"/>
  <c r="Q8" i="156"/>
  <c r="O8" i="156"/>
  <c r="Q7" i="156"/>
  <c r="O7" i="156"/>
  <c r="Q6" i="156"/>
  <c r="O6" i="156"/>
  <c r="Q5" i="156"/>
  <c r="O5" i="156"/>
  <c r="Q13" i="155"/>
  <c r="Q12" i="155"/>
  <c r="Q11" i="155"/>
  <c r="O11" i="155"/>
  <c r="O12" i="155" s="1"/>
  <c r="Q10" i="155"/>
  <c r="Q9" i="155"/>
  <c r="O9" i="155"/>
  <c r="Q8" i="155"/>
  <c r="O8" i="155"/>
  <c r="Q7" i="155"/>
  <c r="O7" i="155"/>
  <c r="Q6" i="155"/>
  <c r="O6" i="155"/>
  <c r="Q5" i="155"/>
  <c r="O5" i="155"/>
  <c r="Q13" i="154"/>
  <c r="Q12" i="154"/>
  <c r="Q11" i="154"/>
  <c r="O11" i="154"/>
  <c r="O12" i="154" s="1"/>
  <c r="Q10" i="154"/>
  <c r="Q9" i="154"/>
  <c r="O9" i="154"/>
  <c r="Q8" i="154"/>
  <c r="O8" i="154"/>
  <c r="Q7" i="154"/>
  <c r="O7" i="154"/>
  <c r="Q6" i="154"/>
  <c r="O6" i="154"/>
  <c r="Q5" i="154"/>
  <c r="O5" i="154"/>
  <c r="Q13" i="153"/>
  <c r="Q12" i="153"/>
  <c r="Q11" i="153"/>
  <c r="O11" i="153"/>
  <c r="O12" i="153" s="1"/>
  <c r="Q10" i="153"/>
  <c r="Q9" i="153"/>
  <c r="O9" i="153"/>
  <c r="Q8" i="153"/>
  <c r="O8" i="153"/>
  <c r="Q7" i="153"/>
  <c r="O7" i="153"/>
  <c r="Q6" i="153"/>
  <c r="O6" i="153"/>
  <c r="Q5" i="153"/>
  <c r="O5" i="153"/>
  <c r="P14" i="152"/>
  <c r="Q13" i="152"/>
  <c r="Q12" i="152"/>
  <c r="P12" i="152"/>
  <c r="Q11" i="152"/>
  <c r="O11" i="152"/>
  <c r="O12" i="152" s="1"/>
  <c r="Q10" i="152"/>
  <c r="Q9" i="152"/>
  <c r="O9" i="152"/>
  <c r="Q8" i="152"/>
  <c r="O8" i="152"/>
  <c r="Q7" i="152"/>
  <c r="O7" i="152"/>
  <c r="Q6" i="152"/>
  <c r="O6" i="152"/>
  <c r="Q5" i="152"/>
  <c r="O5" i="152"/>
  <c r="Q13" i="151"/>
  <c r="Q12" i="151"/>
  <c r="Q11" i="151"/>
  <c r="O11" i="151"/>
  <c r="O12" i="151" s="1"/>
  <c r="Q10" i="151"/>
  <c r="Q9" i="151"/>
  <c r="O9" i="151"/>
  <c r="Q8" i="151"/>
  <c r="O8" i="151"/>
  <c r="Q7" i="151"/>
  <c r="O7" i="151"/>
  <c r="Q6" i="151"/>
  <c r="O6" i="151"/>
  <c r="Q5" i="151"/>
  <c r="O5" i="151"/>
  <c r="Q13" i="150"/>
  <c r="Q12" i="150"/>
  <c r="Q11" i="150"/>
  <c r="O11" i="150"/>
  <c r="O12" i="150" s="1"/>
  <c r="Q10" i="150"/>
  <c r="Q9" i="150"/>
  <c r="O9" i="150"/>
  <c r="Q8" i="150"/>
  <c r="O8" i="150"/>
  <c r="Q7" i="150"/>
  <c r="O7" i="150"/>
  <c r="Q6" i="150"/>
  <c r="O6" i="150"/>
  <c r="Q5" i="150"/>
  <c r="O5" i="150"/>
  <c r="Q13" i="149"/>
  <c r="Q12" i="149"/>
  <c r="Q11" i="149"/>
  <c r="O11" i="149"/>
  <c r="O12" i="149" s="1"/>
  <c r="Q10" i="149"/>
  <c r="Q9" i="149"/>
  <c r="O9" i="149"/>
  <c r="Q8" i="149"/>
  <c r="O8" i="149"/>
  <c r="Q7" i="149"/>
  <c r="O7" i="149"/>
  <c r="Q6" i="149"/>
  <c r="O6" i="149"/>
  <c r="Q5" i="149"/>
  <c r="O5" i="149"/>
  <c r="Q13" i="148"/>
  <c r="Q12" i="148"/>
  <c r="Q11" i="148"/>
  <c r="O11" i="148"/>
  <c r="O12" i="148" s="1"/>
  <c r="Q10" i="148"/>
  <c r="Q9" i="148"/>
  <c r="O9" i="148"/>
  <c r="Q8" i="148"/>
  <c r="O8" i="148"/>
  <c r="Q7" i="148"/>
  <c r="O7" i="148"/>
  <c r="Q6" i="148"/>
  <c r="O6" i="148"/>
  <c r="Q5" i="148"/>
  <c r="O5" i="148"/>
  <c r="Q13" i="147"/>
  <c r="Q12" i="147"/>
  <c r="Q11" i="147"/>
  <c r="P11" i="147"/>
  <c r="O11" i="147"/>
  <c r="O12" i="147" s="1"/>
  <c r="Q10" i="147"/>
  <c r="P10" i="147"/>
  <c r="Q9" i="147"/>
  <c r="O9" i="147"/>
  <c r="Q8" i="147"/>
  <c r="O8" i="147"/>
  <c r="Q7" i="147"/>
  <c r="O7" i="147"/>
  <c r="Q6" i="147"/>
  <c r="O6" i="147"/>
  <c r="Q5" i="147"/>
  <c r="O5" i="147"/>
  <c r="Q13" i="146"/>
  <c r="Q12" i="146"/>
  <c r="Q11" i="146"/>
  <c r="O11" i="146"/>
  <c r="O12" i="146" s="1"/>
  <c r="Q10" i="146"/>
  <c r="Q9" i="146"/>
  <c r="O9" i="146"/>
  <c r="Q8" i="146"/>
  <c r="O8" i="146"/>
  <c r="Q7" i="146"/>
  <c r="O7" i="146"/>
  <c r="Q6" i="146"/>
  <c r="O6" i="146"/>
  <c r="Q5" i="146"/>
  <c r="O5" i="146"/>
  <c r="Q13" i="145"/>
  <c r="Q12" i="145"/>
  <c r="Q11" i="145"/>
  <c r="O11" i="145"/>
  <c r="O12" i="145" s="1"/>
  <c r="Q10" i="145"/>
  <c r="Q9" i="145"/>
  <c r="O9" i="145"/>
  <c r="Q8" i="145"/>
  <c r="O8" i="145"/>
  <c r="Q7" i="145"/>
  <c r="O7" i="145"/>
  <c r="Q6" i="145"/>
  <c r="O6" i="145"/>
  <c r="Q5" i="145"/>
  <c r="O5" i="145"/>
  <c r="Q13" i="144"/>
  <c r="Q12" i="144"/>
  <c r="P12" i="144"/>
  <c r="Q11" i="144"/>
  <c r="O11" i="144"/>
  <c r="O12" i="144" s="1"/>
  <c r="Q10" i="144"/>
  <c r="Q9" i="144"/>
  <c r="O9" i="144"/>
  <c r="Q8" i="144"/>
  <c r="O8" i="144"/>
  <c r="Q7" i="144"/>
  <c r="O7" i="144"/>
  <c r="Q6" i="144"/>
  <c r="O6" i="144"/>
  <c r="Q5" i="144"/>
  <c r="O5" i="144"/>
  <c r="Q13" i="143"/>
  <c r="Q12" i="143"/>
  <c r="Q11" i="143"/>
  <c r="O11" i="143"/>
  <c r="O12" i="143" s="1"/>
  <c r="Q10" i="143"/>
  <c r="Q9" i="143"/>
  <c r="O9" i="143"/>
  <c r="Q8" i="143"/>
  <c r="O8" i="143"/>
  <c r="Q7" i="143"/>
  <c r="O7" i="143"/>
  <c r="Q6" i="143"/>
  <c r="O6" i="143"/>
  <c r="Q5" i="143"/>
  <c r="O5" i="143"/>
  <c r="Q13" i="142"/>
  <c r="Q12" i="142"/>
  <c r="Q11" i="142"/>
  <c r="O11" i="142"/>
  <c r="O12" i="142" s="1"/>
  <c r="Q10" i="142"/>
  <c r="Q9" i="142"/>
  <c r="O9" i="142"/>
  <c r="Q8" i="142"/>
  <c r="O8" i="142"/>
  <c r="Q7" i="142"/>
  <c r="O7" i="142"/>
  <c r="Q6" i="142"/>
  <c r="O6" i="142"/>
  <c r="Q5" i="142"/>
  <c r="O5" i="142"/>
  <c r="Q13" i="141"/>
  <c r="Q12" i="141"/>
  <c r="Q11" i="141"/>
  <c r="O11" i="141"/>
  <c r="O12" i="141" s="1"/>
  <c r="Q10" i="141"/>
  <c r="Q9" i="141"/>
  <c r="O9" i="141"/>
  <c r="Q8" i="141"/>
  <c r="O8" i="141"/>
  <c r="Q7" i="141"/>
  <c r="O7" i="141"/>
  <c r="Q6" i="141"/>
  <c r="O6" i="141"/>
  <c r="Q5" i="141"/>
  <c r="O5" i="141"/>
  <c r="Q13" i="140"/>
  <c r="Q12" i="140"/>
  <c r="Q11" i="140"/>
  <c r="O11" i="140"/>
  <c r="O12" i="140" s="1"/>
  <c r="Q10" i="140"/>
  <c r="Q9" i="140"/>
  <c r="O9" i="140"/>
  <c r="Q8" i="140"/>
  <c r="O8" i="140"/>
  <c r="Q7" i="140"/>
  <c r="O7" i="140"/>
  <c r="Q6" i="140"/>
  <c r="O6" i="140"/>
  <c r="Q5" i="140"/>
  <c r="O5" i="140"/>
  <c r="Q13" i="139"/>
  <c r="Q12" i="139"/>
  <c r="Q11" i="139"/>
  <c r="O11" i="139"/>
  <c r="O12" i="139" s="1"/>
  <c r="Q10" i="139"/>
  <c r="Q9" i="139"/>
  <c r="O9" i="139"/>
  <c r="Q8" i="139"/>
  <c r="O8" i="139"/>
  <c r="Q7" i="139"/>
  <c r="O7" i="139"/>
  <c r="Q6" i="139"/>
  <c r="O6" i="139"/>
  <c r="Q5" i="139"/>
  <c r="O5" i="139"/>
  <c r="Q13" i="138"/>
  <c r="Q12" i="138"/>
  <c r="Q11" i="138"/>
  <c r="O11" i="138"/>
  <c r="O12" i="138" s="1"/>
  <c r="Q10" i="138"/>
  <c r="Q9" i="138"/>
  <c r="O9" i="138"/>
  <c r="Q8" i="138"/>
  <c r="O8" i="138"/>
  <c r="Q7" i="138"/>
  <c r="O7" i="138"/>
  <c r="Q6" i="138"/>
  <c r="O6" i="138"/>
  <c r="Q5" i="138"/>
  <c r="O5" i="138"/>
  <c r="Q13" i="137"/>
  <c r="Q12" i="137"/>
  <c r="Q11" i="137"/>
  <c r="O11" i="137"/>
  <c r="O12" i="137" s="1"/>
  <c r="Q10" i="137"/>
  <c r="Q9" i="137"/>
  <c r="O9" i="137"/>
  <c r="Q8" i="137"/>
  <c r="O8" i="137"/>
  <c r="Q7" i="137"/>
  <c r="O7" i="137"/>
  <c r="Q6" i="137"/>
  <c r="O6" i="137"/>
  <c r="Q5" i="137"/>
  <c r="O5" i="137"/>
  <c r="Q13" i="136"/>
  <c r="Q12" i="136"/>
  <c r="Q11" i="136"/>
  <c r="O11" i="136"/>
  <c r="O12" i="136" s="1"/>
  <c r="Q10" i="136"/>
  <c r="Q9" i="136"/>
  <c r="O9" i="136"/>
  <c r="Q8" i="136"/>
  <c r="O8" i="136"/>
  <c r="Q7" i="136"/>
  <c r="O7" i="136"/>
  <c r="Q6" i="136"/>
  <c r="O6" i="136"/>
  <c r="Q5" i="136"/>
  <c r="O5" i="136"/>
  <c r="Q13" i="135"/>
  <c r="Q12" i="135"/>
  <c r="Q11" i="135"/>
  <c r="O11" i="135"/>
  <c r="O12" i="135" s="1"/>
  <c r="Q10" i="135"/>
  <c r="Q9" i="135"/>
  <c r="O9" i="135"/>
  <c r="Q8" i="135"/>
  <c r="O8" i="135"/>
  <c r="Q7" i="135"/>
  <c r="O7" i="135"/>
  <c r="Q6" i="135"/>
  <c r="O6" i="135"/>
  <c r="Q5" i="135"/>
  <c r="O5" i="135"/>
  <c r="Q13" i="134"/>
  <c r="Q12" i="134"/>
  <c r="Q11" i="134"/>
  <c r="O11" i="134"/>
  <c r="O12" i="134" s="1"/>
  <c r="Q10" i="134"/>
  <c r="Q9" i="134"/>
  <c r="O9" i="134"/>
  <c r="Q8" i="134"/>
  <c r="O8" i="134"/>
  <c r="Q7" i="134"/>
  <c r="O7" i="134"/>
  <c r="Q6" i="134"/>
  <c r="P6" i="134"/>
  <c r="O6" i="134"/>
  <c r="Q5" i="134"/>
  <c r="P5" i="134"/>
  <c r="O5" i="134"/>
  <c r="Q13" i="133"/>
  <c r="Q12" i="133"/>
  <c r="P12" i="133"/>
  <c r="Q11" i="133"/>
  <c r="O11" i="133"/>
  <c r="O12" i="133" s="1"/>
  <c r="Q10" i="133"/>
  <c r="Q9" i="133"/>
  <c r="O9" i="133"/>
  <c r="Q8" i="133"/>
  <c r="O8" i="133"/>
  <c r="Q7" i="133"/>
  <c r="O7" i="133"/>
  <c r="Q6" i="133"/>
  <c r="O6" i="133"/>
  <c r="Q5" i="133"/>
  <c r="O5" i="133"/>
  <c r="Q13" i="132"/>
  <c r="Q12" i="132"/>
  <c r="Q11" i="132"/>
  <c r="O11" i="132"/>
  <c r="O12" i="132" s="1"/>
  <c r="Q10" i="132"/>
  <c r="Q9" i="132"/>
  <c r="O9" i="132"/>
  <c r="Q8" i="132"/>
  <c r="O8" i="132"/>
  <c r="Q7" i="132"/>
  <c r="O7" i="132"/>
  <c r="Q6" i="132"/>
  <c r="O6" i="132"/>
  <c r="Q5" i="132"/>
  <c r="O5" i="132"/>
  <c r="Q13" i="131"/>
  <c r="Q12" i="131"/>
  <c r="Q11" i="131"/>
  <c r="O11" i="131"/>
  <c r="O12" i="131" s="1"/>
  <c r="Q10" i="131"/>
  <c r="Q9" i="131"/>
  <c r="O9" i="131"/>
  <c r="Q8" i="131"/>
  <c r="O8" i="131"/>
  <c r="Q7" i="131"/>
  <c r="O7" i="131"/>
  <c r="Q6" i="131"/>
  <c r="O6" i="131"/>
  <c r="Q5" i="131"/>
  <c r="O5" i="131"/>
  <c r="K13" i="159"/>
  <c r="F13" i="159"/>
  <c r="C13" i="159"/>
  <c r="J25" i="159"/>
  <c r="C12" i="159"/>
  <c r="P12" i="159"/>
  <c r="C11" i="159"/>
  <c r="C10" i="159"/>
  <c r="C9" i="159"/>
  <c r="H22" i="159" s="1"/>
  <c r="J21" i="159"/>
  <c r="C8" i="159"/>
  <c r="C21" i="159" s="1"/>
  <c r="C7" i="159"/>
  <c r="H20" i="159" s="1"/>
  <c r="J19" i="159"/>
  <c r="C6" i="159"/>
  <c r="C19" i="159" s="1"/>
  <c r="C5" i="159"/>
  <c r="H18" i="159" s="1"/>
  <c r="J17" i="159"/>
  <c r="C4" i="159"/>
  <c r="C17" i="159" s="1"/>
  <c r="F3" i="159"/>
  <c r="E3" i="159"/>
  <c r="D3" i="159"/>
  <c r="C3" i="159"/>
  <c r="C16" i="159" s="1"/>
  <c r="C12" i="158"/>
  <c r="C11" i="158"/>
  <c r="C24" i="158" s="1"/>
  <c r="H24" i="158" s="1"/>
  <c r="C10" i="158"/>
  <c r="C9" i="158"/>
  <c r="C8" i="158"/>
  <c r="C7" i="158"/>
  <c r="C6" i="158"/>
  <c r="C5" i="158"/>
  <c r="C4" i="158"/>
  <c r="F3" i="158"/>
  <c r="E3" i="158"/>
  <c r="D3" i="158"/>
  <c r="C3" i="158"/>
  <c r="C12" i="157"/>
  <c r="H12" i="157" s="1"/>
  <c r="C11" i="157"/>
  <c r="C24" i="157" s="1"/>
  <c r="H24" i="157" s="1"/>
  <c r="C10" i="157"/>
  <c r="C9" i="157"/>
  <c r="C8" i="157"/>
  <c r="C7" i="157"/>
  <c r="C6" i="157"/>
  <c r="C5" i="157"/>
  <c r="C4" i="157"/>
  <c r="F3" i="157"/>
  <c r="E3" i="157"/>
  <c r="D3" i="157"/>
  <c r="C3" i="157"/>
  <c r="C12" i="156"/>
  <c r="C11" i="156"/>
  <c r="C24" i="156" s="1"/>
  <c r="H24" i="156" s="1"/>
  <c r="C10" i="156"/>
  <c r="C9" i="156"/>
  <c r="C8" i="156"/>
  <c r="C7" i="156"/>
  <c r="C6" i="156"/>
  <c r="C5" i="156"/>
  <c r="C4" i="156"/>
  <c r="F3" i="156"/>
  <c r="E3" i="156"/>
  <c r="D3" i="156"/>
  <c r="C3" i="156"/>
  <c r="C12" i="155"/>
  <c r="C11" i="155"/>
  <c r="C24" i="155" s="1"/>
  <c r="H24" i="155" s="1"/>
  <c r="C10" i="155"/>
  <c r="C9" i="155"/>
  <c r="C8" i="155"/>
  <c r="C7" i="155"/>
  <c r="C6" i="155"/>
  <c r="C5" i="155"/>
  <c r="C4" i="155"/>
  <c r="F3" i="155"/>
  <c r="E3" i="155"/>
  <c r="D3" i="155"/>
  <c r="C3" i="155"/>
  <c r="C12" i="154"/>
  <c r="C11" i="154"/>
  <c r="C24" i="154" s="1"/>
  <c r="H24" i="154" s="1"/>
  <c r="C10" i="154"/>
  <c r="C9" i="154"/>
  <c r="C8" i="154"/>
  <c r="C7" i="154"/>
  <c r="C6" i="154"/>
  <c r="C5" i="154"/>
  <c r="C4" i="154"/>
  <c r="F3" i="154"/>
  <c r="E3" i="154"/>
  <c r="D3" i="154"/>
  <c r="C3" i="154"/>
  <c r="C12" i="153"/>
  <c r="C11" i="153"/>
  <c r="C24" i="153" s="1"/>
  <c r="H24" i="153" s="1"/>
  <c r="C10" i="153"/>
  <c r="C9" i="153"/>
  <c r="C8" i="153"/>
  <c r="C7" i="153"/>
  <c r="C6" i="153"/>
  <c r="C5" i="153"/>
  <c r="C4" i="153"/>
  <c r="F3" i="153"/>
  <c r="E3" i="153"/>
  <c r="D3" i="153"/>
  <c r="C3" i="153"/>
  <c r="C12" i="152"/>
  <c r="C11" i="152"/>
  <c r="C24" i="152" s="1"/>
  <c r="H24" i="152" s="1"/>
  <c r="C10" i="152"/>
  <c r="C9" i="152"/>
  <c r="C8" i="152"/>
  <c r="C7" i="152"/>
  <c r="C6" i="152"/>
  <c r="C5" i="152"/>
  <c r="C4" i="152"/>
  <c r="F3" i="152"/>
  <c r="E3" i="152"/>
  <c r="D3" i="152"/>
  <c r="C3" i="152"/>
  <c r="H12" i="151"/>
  <c r="C12" i="151"/>
  <c r="C11" i="151"/>
  <c r="C24" i="151" s="1"/>
  <c r="H24" i="151" s="1"/>
  <c r="C10" i="151"/>
  <c r="C9" i="151"/>
  <c r="C8" i="151"/>
  <c r="C7" i="151"/>
  <c r="C6" i="151"/>
  <c r="C5" i="151"/>
  <c r="C4" i="151"/>
  <c r="F3" i="151"/>
  <c r="E3" i="151"/>
  <c r="D3" i="151"/>
  <c r="C3" i="151"/>
  <c r="C12" i="150"/>
  <c r="C11" i="150"/>
  <c r="C24" i="150" s="1"/>
  <c r="H24" i="150" s="1"/>
  <c r="C10" i="150"/>
  <c r="C9" i="150"/>
  <c r="C8" i="150"/>
  <c r="C7" i="150"/>
  <c r="C6" i="150"/>
  <c r="C5" i="150"/>
  <c r="C4" i="150"/>
  <c r="F3" i="150"/>
  <c r="E3" i="150"/>
  <c r="D3" i="150"/>
  <c r="C3" i="150"/>
  <c r="C12" i="149"/>
  <c r="C11" i="149"/>
  <c r="C24" i="149" s="1"/>
  <c r="H24" i="149" s="1"/>
  <c r="C10" i="149"/>
  <c r="C9" i="149"/>
  <c r="C8" i="149"/>
  <c r="C7" i="149"/>
  <c r="C6" i="149"/>
  <c r="C5" i="149"/>
  <c r="C4" i="149"/>
  <c r="F3" i="149"/>
  <c r="E3" i="149"/>
  <c r="D3" i="149"/>
  <c r="C3" i="149"/>
  <c r="C12" i="148"/>
  <c r="C11" i="148"/>
  <c r="C24" i="148" s="1"/>
  <c r="H24" i="148" s="1"/>
  <c r="C10" i="148"/>
  <c r="C9" i="148"/>
  <c r="C8" i="148"/>
  <c r="C7" i="148"/>
  <c r="C6" i="148"/>
  <c r="C5" i="148"/>
  <c r="C4" i="148"/>
  <c r="F3" i="148"/>
  <c r="E3" i="148"/>
  <c r="D3" i="148"/>
  <c r="C3" i="148"/>
  <c r="C12" i="147"/>
  <c r="C11" i="147"/>
  <c r="C24" i="147" s="1"/>
  <c r="H24" i="147" s="1"/>
  <c r="C10" i="147"/>
  <c r="C9" i="147"/>
  <c r="C8" i="147"/>
  <c r="C7" i="147"/>
  <c r="C6" i="147"/>
  <c r="C5" i="147"/>
  <c r="C4" i="147"/>
  <c r="F3" i="147"/>
  <c r="E3" i="147"/>
  <c r="D3" i="147"/>
  <c r="C3" i="147"/>
  <c r="C12" i="146"/>
  <c r="C11" i="146"/>
  <c r="C24" i="146" s="1"/>
  <c r="H24" i="146" s="1"/>
  <c r="C10" i="146"/>
  <c r="C9" i="146"/>
  <c r="C8" i="146"/>
  <c r="C7" i="146"/>
  <c r="C6" i="146"/>
  <c r="C5" i="146"/>
  <c r="C4" i="146"/>
  <c r="F3" i="146"/>
  <c r="E3" i="146"/>
  <c r="D3" i="146"/>
  <c r="C3" i="146"/>
  <c r="C12" i="145"/>
  <c r="H12" i="145" s="1"/>
  <c r="C11" i="145"/>
  <c r="C24" i="145" s="1"/>
  <c r="H24" i="145" s="1"/>
  <c r="C10" i="145"/>
  <c r="C9" i="145"/>
  <c r="C8" i="145"/>
  <c r="C7" i="145"/>
  <c r="C6" i="145"/>
  <c r="C5" i="145"/>
  <c r="C4" i="145"/>
  <c r="F3" i="145"/>
  <c r="E3" i="145"/>
  <c r="D3" i="145"/>
  <c r="C3" i="145"/>
  <c r="C12" i="144"/>
  <c r="C11" i="144"/>
  <c r="C24" i="144" s="1"/>
  <c r="H24" i="144" s="1"/>
  <c r="C10" i="144"/>
  <c r="C9" i="144"/>
  <c r="C8" i="144"/>
  <c r="C7" i="144"/>
  <c r="C6" i="144"/>
  <c r="C5" i="144"/>
  <c r="C4" i="144"/>
  <c r="F3" i="144"/>
  <c r="E3" i="144"/>
  <c r="D3" i="144"/>
  <c r="C3" i="144"/>
  <c r="C12" i="143"/>
  <c r="C11" i="143"/>
  <c r="C24" i="143" s="1"/>
  <c r="H24" i="143" s="1"/>
  <c r="C10" i="143"/>
  <c r="C9" i="143"/>
  <c r="C8" i="143"/>
  <c r="C7" i="143"/>
  <c r="C6" i="143"/>
  <c r="C5" i="143"/>
  <c r="C4" i="143"/>
  <c r="F3" i="143"/>
  <c r="E3" i="143"/>
  <c r="D3" i="143"/>
  <c r="C3" i="143"/>
  <c r="C12" i="142"/>
  <c r="C11" i="142"/>
  <c r="C24" i="142" s="1"/>
  <c r="H24" i="142" s="1"/>
  <c r="C10" i="142"/>
  <c r="C9" i="142"/>
  <c r="C8" i="142"/>
  <c r="C7" i="142"/>
  <c r="C6" i="142"/>
  <c r="C5" i="142"/>
  <c r="C4" i="142"/>
  <c r="F3" i="142"/>
  <c r="E3" i="142"/>
  <c r="D3" i="142"/>
  <c r="C3" i="142"/>
  <c r="C12" i="141"/>
  <c r="C11" i="141"/>
  <c r="C24" i="141" s="1"/>
  <c r="H24" i="141" s="1"/>
  <c r="C10" i="141"/>
  <c r="C9" i="141"/>
  <c r="C8" i="141"/>
  <c r="C7" i="141"/>
  <c r="C6" i="141"/>
  <c r="C5" i="141"/>
  <c r="C4" i="141"/>
  <c r="F3" i="141"/>
  <c r="E3" i="141"/>
  <c r="D3" i="141"/>
  <c r="C3" i="141"/>
  <c r="C12" i="140"/>
  <c r="C11" i="140"/>
  <c r="C24" i="140" s="1"/>
  <c r="H24" i="140" s="1"/>
  <c r="C10" i="140"/>
  <c r="C9" i="140"/>
  <c r="C8" i="140"/>
  <c r="C7" i="140"/>
  <c r="C6" i="140"/>
  <c r="C5" i="140"/>
  <c r="C4" i="140"/>
  <c r="F3" i="140"/>
  <c r="E3" i="140"/>
  <c r="D3" i="140"/>
  <c r="C3" i="140"/>
  <c r="C12" i="139"/>
  <c r="C11" i="139"/>
  <c r="C24" i="139" s="1"/>
  <c r="H24" i="139" s="1"/>
  <c r="C10" i="139"/>
  <c r="C9" i="139"/>
  <c r="C8" i="139"/>
  <c r="C7" i="139"/>
  <c r="C6" i="139"/>
  <c r="C5" i="139"/>
  <c r="C4" i="139"/>
  <c r="F3" i="139"/>
  <c r="E3" i="139"/>
  <c r="D3" i="139"/>
  <c r="C3" i="139"/>
  <c r="C12" i="138"/>
  <c r="C11" i="138"/>
  <c r="C24" i="138" s="1"/>
  <c r="H24" i="138" s="1"/>
  <c r="C10" i="138"/>
  <c r="C9" i="138"/>
  <c r="N10" i="138" s="1"/>
  <c r="C8" i="138"/>
  <c r="C7" i="138"/>
  <c r="C6" i="138"/>
  <c r="C5" i="138"/>
  <c r="C4" i="138"/>
  <c r="F3" i="138"/>
  <c r="E3" i="138"/>
  <c r="D3" i="138"/>
  <c r="C3" i="138"/>
  <c r="C12" i="137"/>
  <c r="C11" i="137"/>
  <c r="C24" i="137" s="1"/>
  <c r="H24" i="137" s="1"/>
  <c r="C10" i="137"/>
  <c r="C9" i="137"/>
  <c r="C8" i="137"/>
  <c r="C7" i="137"/>
  <c r="C6" i="137"/>
  <c r="C5" i="137"/>
  <c r="C4" i="137"/>
  <c r="F3" i="137"/>
  <c r="E3" i="137"/>
  <c r="D3" i="137"/>
  <c r="C3" i="137"/>
  <c r="C12" i="136"/>
  <c r="C11" i="136"/>
  <c r="C24" i="136" s="1"/>
  <c r="H24" i="136" s="1"/>
  <c r="C10" i="136"/>
  <c r="C9" i="136"/>
  <c r="C8" i="136"/>
  <c r="C7" i="136"/>
  <c r="C6" i="136"/>
  <c r="C5" i="136"/>
  <c r="C4" i="136"/>
  <c r="F3" i="136"/>
  <c r="E3" i="136"/>
  <c r="C3" i="136"/>
  <c r="C12" i="135"/>
  <c r="C11" i="135"/>
  <c r="C24" i="135" s="1"/>
  <c r="H24" i="135" s="1"/>
  <c r="C10" i="135"/>
  <c r="C9" i="135"/>
  <c r="C8" i="135"/>
  <c r="C7" i="135"/>
  <c r="C6" i="135"/>
  <c r="C5" i="135"/>
  <c r="C4" i="135"/>
  <c r="F3" i="135"/>
  <c r="E3" i="135"/>
  <c r="D3" i="135"/>
  <c r="C3" i="135"/>
  <c r="C12" i="134"/>
  <c r="C11" i="134"/>
  <c r="C24" i="134" s="1"/>
  <c r="H24" i="134" s="1"/>
  <c r="C10" i="134"/>
  <c r="C9" i="134"/>
  <c r="C8" i="134"/>
  <c r="C7" i="134"/>
  <c r="C6" i="134"/>
  <c r="C5" i="134"/>
  <c r="N6" i="134" s="1"/>
  <c r="C4" i="134"/>
  <c r="F3" i="134"/>
  <c r="E3" i="134"/>
  <c r="D3" i="134"/>
  <c r="C3" i="134"/>
  <c r="C12" i="133"/>
  <c r="C11" i="133"/>
  <c r="C24" i="133" s="1"/>
  <c r="H24" i="133" s="1"/>
  <c r="C10" i="133"/>
  <c r="C9" i="133"/>
  <c r="C8" i="133"/>
  <c r="C7" i="133"/>
  <c r="C6" i="133"/>
  <c r="N7" i="133" s="1"/>
  <c r="C5" i="133"/>
  <c r="C4" i="133"/>
  <c r="N5" i="133" s="1"/>
  <c r="E3" i="133"/>
  <c r="D3" i="133"/>
  <c r="C3" i="133"/>
  <c r="C12" i="132"/>
  <c r="C11" i="132"/>
  <c r="C24" i="132" s="1"/>
  <c r="H24" i="132" s="1"/>
  <c r="C10" i="132"/>
  <c r="C9" i="132"/>
  <c r="C8" i="132"/>
  <c r="C7" i="132"/>
  <c r="N8" i="132" s="1"/>
  <c r="C6" i="132"/>
  <c r="C5" i="132"/>
  <c r="C4" i="132"/>
  <c r="F3" i="132"/>
  <c r="E3" i="132"/>
  <c r="D3" i="132"/>
  <c r="C3" i="132"/>
  <c r="C12" i="131"/>
  <c r="C11" i="131"/>
  <c r="C24" i="131" s="1"/>
  <c r="H24" i="131" s="1"/>
  <c r="C10" i="131"/>
  <c r="C9" i="131"/>
  <c r="C8" i="131"/>
  <c r="C7" i="131"/>
  <c r="C6" i="131"/>
  <c r="C5" i="131"/>
  <c r="H5" i="131" s="1"/>
  <c r="C4" i="131"/>
  <c r="F3" i="131"/>
  <c r="E3" i="131"/>
  <c r="D3" i="131"/>
  <c r="C3" i="131"/>
  <c r="P14" i="1"/>
  <c r="P13" i="1"/>
  <c r="P12" i="1"/>
  <c r="P11" i="1"/>
  <c r="P10" i="1"/>
  <c r="P9" i="1"/>
  <c r="P8" i="1"/>
  <c r="P7" i="1"/>
  <c r="P6" i="1"/>
  <c r="P5" i="1"/>
  <c r="N14" i="1"/>
  <c r="N13" i="1"/>
  <c r="N12" i="1"/>
  <c r="N11" i="1"/>
  <c r="N10" i="1"/>
  <c r="N9" i="1"/>
  <c r="N8" i="1"/>
  <c r="N7" i="1"/>
  <c r="N6" i="1"/>
  <c r="Q4" i="1"/>
  <c r="P4" i="1"/>
  <c r="O4" i="1"/>
  <c r="N5" i="1"/>
  <c r="N4" i="1"/>
  <c r="J26" i="1"/>
  <c r="J25" i="1"/>
  <c r="J24" i="1"/>
  <c r="J23" i="1"/>
  <c r="J22" i="1"/>
  <c r="J21" i="1"/>
  <c r="J20" i="1"/>
  <c r="J19" i="1"/>
  <c r="J18" i="1"/>
  <c r="J17" i="1"/>
  <c r="H26" i="1"/>
  <c r="H25" i="1"/>
  <c r="H24" i="1"/>
  <c r="H23" i="1"/>
  <c r="H22" i="1"/>
  <c r="H21" i="1"/>
  <c r="H20" i="1"/>
  <c r="H19" i="1"/>
  <c r="H18" i="1"/>
  <c r="H17" i="1"/>
  <c r="K16" i="1"/>
  <c r="J16" i="1"/>
  <c r="I16" i="1"/>
  <c r="H16" i="1"/>
  <c r="E26" i="1"/>
  <c r="E25" i="1"/>
  <c r="E24" i="1"/>
  <c r="E23" i="1"/>
  <c r="E22" i="1"/>
  <c r="E21" i="1"/>
  <c r="E20" i="1"/>
  <c r="E19" i="1"/>
  <c r="E18" i="1"/>
  <c r="E17" i="1"/>
  <c r="C26" i="1"/>
  <c r="C25" i="1"/>
  <c r="C24" i="1"/>
  <c r="C23" i="1"/>
  <c r="C22" i="1"/>
  <c r="C21" i="1"/>
  <c r="C20" i="1"/>
  <c r="C19" i="1"/>
  <c r="C18" i="1"/>
  <c r="C17" i="1"/>
  <c r="F16" i="1"/>
  <c r="E16" i="1"/>
  <c r="D16" i="1"/>
  <c r="C16" i="1"/>
  <c r="J13" i="1"/>
  <c r="H13" i="1"/>
  <c r="H12" i="1"/>
  <c r="H11" i="1"/>
  <c r="H10" i="1"/>
  <c r="H9" i="1"/>
  <c r="H8" i="1"/>
  <c r="H7" i="1"/>
  <c r="H6" i="1"/>
  <c r="H5" i="1"/>
  <c r="H4" i="1"/>
  <c r="I3" i="1"/>
  <c r="H3" i="1"/>
  <c r="P10" i="13"/>
  <c r="P9" i="13"/>
  <c r="P8" i="13"/>
  <c r="P5" i="13"/>
  <c r="E3" i="13"/>
  <c r="D3" i="13"/>
  <c r="C3" i="13"/>
  <c r="C12" i="13"/>
  <c r="C11" i="13"/>
  <c r="C10" i="13"/>
  <c r="C9" i="13"/>
  <c r="C8" i="13"/>
  <c r="C7" i="13"/>
  <c r="C6" i="13"/>
  <c r="C5" i="13"/>
  <c r="C4" i="13"/>
  <c r="Q14" i="156" l="1"/>
  <c r="Q14" i="159"/>
  <c r="H18" i="132"/>
  <c r="C18" i="132"/>
  <c r="E16" i="136"/>
  <c r="J16" i="136"/>
  <c r="F16" i="139"/>
  <c r="K16" i="139"/>
  <c r="C19" i="140"/>
  <c r="H19" i="140"/>
  <c r="H22" i="144"/>
  <c r="C22" i="144"/>
  <c r="C17" i="148"/>
  <c r="H17" i="148"/>
  <c r="C25" i="154"/>
  <c r="N13" i="154"/>
  <c r="H25" i="154"/>
  <c r="I16" i="156"/>
  <c r="D16" i="156"/>
  <c r="H21" i="13"/>
  <c r="C21" i="13"/>
  <c r="K16" i="13"/>
  <c r="F16" i="13"/>
  <c r="H18" i="131"/>
  <c r="C18" i="131"/>
  <c r="H11" i="131"/>
  <c r="H19" i="132"/>
  <c r="C19" i="132"/>
  <c r="I16" i="133"/>
  <c r="D16" i="133"/>
  <c r="H22" i="133"/>
  <c r="C22" i="133"/>
  <c r="H17" i="134"/>
  <c r="C17" i="134"/>
  <c r="C25" i="134"/>
  <c r="N13" i="134"/>
  <c r="H25" i="134"/>
  <c r="H20" i="135"/>
  <c r="C20" i="135"/>
  <c r="K16" i="136"/>
  <c r="F16" i="136"/>
  <c r="C19" i="137"/>
  <c r="H19" i="137"/>
  <c r="D16" i="138"/>
  <c r="I16" i="138"/>
  <c r="H22" i="138"/>
  <c r="C22" i="138"/>
  <c r="C17" i="139"/>
  <c r="H17" i="139"/>
  <c r="H12" i="139"/>
  <c r="H25" i="139"/>
  <c r="C25" i="139"/>
  <c r="N13" i="139"/>
  <c r="H20" i="140"/>
  <c r="C20" i="140"/>
  <c r="I16" i="141"/>
  <c r="D16" i="141"/>
  <c r="H22" i="141"/>
  <c r="C22" i="141"/>
  <c r="C17" i="142"/>
  <c r="H17" i="142"/>
  <c r="H25" i="142"/>
  <c r="C25" i="142"/>
  <c r="N13" i="142"/>
  <c r="H20" i="143"/>
  <c r="C20" i="143"/>
  <c r="J16" i="144"/>
  <c r="E16" i="144"/>
  <c r="C18" i="145"/>
  <c r="H18" i="145"/>
  <c r="H20" i="146"/>
  <c r="C20" i="146"/>
  <c r="E16" i="147"/>
  <c r="J16" i="147"/>
  <c r="H18" i="148"/>
  <c r="C18" i="148"/>
  <c r="H16" i="149"/>
  <c r="C16" i="149"/>
  <c r="C21" i="149"/>
  <c r="H21" i="149"/>
  <c r="K16" i="150"/>
  <c r="F16" i="150"/>
  <c r="H19" i="151"/>
  <c r="C19" i="151"/>
  <c r="C16" i="152"/>
  <c r="H16" i="152"/>
  <c r="H21" i="152"/>
  <c r="C21" i="152"/>
  <c r="F16" i="153"/>
  <c r="K16" i="153"/>
  <c r="H18" i="154"/>
  <c r="C18" i="154"/>
  <c r="H12" i="154"/>
  <c r="C20" i="155"/>
  <c r="H20" i="155"/>
  <c r="J16" i="156"/>
  <c r="E16" i="156"/>
  <c r="C18" i="157"/>
  <c r="H18" i="157"/>
  <c r="H7" i="158"/>
  <c r="C20" i="158"/>
  <c r="H20" i="158"/>
  <c r="N5" i="159"/>
  <c r="I16" i="147"/>
  <c r="D16" i="147"/>
  <c r="C20" i="152"/>
  <c r="H20" i="152"/>
  <c r="H20" i="132"/>
  <c r="C20" i="132"/>
  <c r="H18" i="134"/>
  <c r="C18" i="134"/>
  <c r="C17" i="136"/>
  <c r="H17" i="136"/>
  <c r="H20" i="137"/>
  <c r="C20" i="137"/>
  <c r="C18" i="139"/>
  <c r="H18" i="139"/>
  <c r="H21" i="140"/>
  <c r="C21" i="140"/>
  <c r="H16" i="143"/>
  <c r="C16" i="143"/>
  <c r="K16" i="144"/>
  <c r="F16" i="144"/>
  <c r="H19" i="145"/>
  <c r="C19" i="145"/>
  <c r="C16" i="146"/>
  <c r="H16" i="146"/>
  <c r="H21" i="146"/>
  <c r="C21" i="146"/>
  <c r="F16" i="147"/>
  <c r="K16" i="147"/>
  <c r="C19" i="148"/>
  <c r="H19" i="148"/>
  <c r="I16" i="149"/>
  <c r="D16" i="149"/>
  <c r="H22" i="149"/>
  <c r="C22" i="149"/>
  <c r="H17" i="150"/>
  <c r="C17" i="150"/>
  <c r="H12" i="150"/>
  <c r="C25" i="150"/>
  <c r="N13" i="150"/>
  <c r="H25" i="150"/>
  <c r="H20" i="151"/>
  <c r="C20" i="151"/>
  <c r="I16" i="152"/>
  <c r="D16" i="152"/>
  <c r="C22" i="152"/>
  <c r="H22" i="152"/>
  <c r="H17" i="153"/>
  <c r="C17" i="153"/>
  <c r="N13" i="153"/>
  <c r="H25" i="153"/>
  <c r="C25" i="153"/>
  <c r="H19" i="154"/>
  <c r="C19" i="154"/>
  <c r="H16" i="155"/>
  <c r="C16" i="155"/>
  <c r="H21" i="155"/>
  <c r="C21" i="155"/>
  <c r="K16" i="156"/>
  <c r="F16" i="156"/>
  <c r="H19" i="157"/>
  <c r="C19" i="157"/>
  <c r="C16" i="158"/>
  <c r="H16" i="158"/>
  <c r="H8" i="158"/>
  <c r="H21" i="158"/>
  <c r="C21" i="158"/>
  <c r="E16" i="13"/>
  <c r="J16" i="13"/>
  <c r="C21" i="133"/>
  <c r="H21" i="133"/>
  <c r="C18" i="137"/>
  <c r="H18" i="137"/>
  <c r="H21" i="141"/>
  <c r="C21" i="141"/>
  <c r="H17" i="145"/>
  <c r="C17" i="145"/>
  <c r="H20" i="149"/>
  <c r="C20" i="149"/>
  <c r="H25" i="157"/>
  <c r="C25" i="157"/>
  <c r="N13" i="157"/>
  <c r="J16" i="133"/>
  <c r="E16" i="133"/>
  <c r="H3" i="135"/>
  <c r="H16" i="135"/>
  <c r="C16" i="135"/>
  <c r="H21" i="135"/>
  <c r="C21" i="135"/>
  <c r="H25" i="136"/>
  <c r="C25" i="136"/>
  <c r="N13" i="136"/>
  <c r="E16" i="138"/>
  <c r="J16" i="138"/>
  <c r="C16" i="140"/>
  <c r="H16" i="140"/>
  <c r="E16" i="141"/>
  <c r="J16" i="141"/>
  <c r="C18" i="142"/>
  <c r="H18" i="142"/>
  <c r="H21" i="143"/>
  <c r="C21" i="143"/>
  <c r="H19" i="131"/>
  <c r="C19" i="131"/>
  <c r="C16" i="132"/>
  <c r="H16" i="132"/>
  <c r="H21" i="132"/>
  <c r="C21" i="132"/>
  <c r="F16" i="133"/>
  <c r="K16" i="133"/>
  <c r="H19" i="134"/>
  <c r="C19" i="134"/>
  <c r="I3" i="135"/>
  <c r="I16" i="135"/>
  <c r="D16" i="135"/>
  <c r="H22" i="135"/>
  <c r="C22" i="135"/>
  <c r="C18" i="136"/>
  <c r="H18" i="136"/>
  <c r="H16" i="137"/>
  <c r="C16" i="137"/>
  <c r="H21" i="137"/>
  <c r="C21" i="137"/>
  <c r="F16" i="138"/>
  <c r="K16" i="138"/>
  <c r="C19" i="139"/>
  <c r="H19" i="139"/>
  <c r="D16" i="140"/>
  <c r="I16" i="140"/>
  <c r="H22" i="140"/>
  <c r="C22" i="140"/>
  <c r="F16" i="141"/>
  <c r="K16" i="141"/>
  <c r="C19" i="142"/>
  <c r="H19" i="142"/>
  <c r="I16" i="143"/>
  <c r="D16" i="143"/>
  <c r="H22" i="143"/>
  <c r="C22" i="143"/>
  <c r="C17" i="144"/>
  <c r="H17" i="144"/>
  <c r="H25" i="144"/>
  <c r="C25" i="144"/>
  <c r="N13" i="144"/>
  <c r="H20" i="145"/>
  <c r="C20" i="145"/>
  <c r="D16" i="146"/>
  <c r="I16" i="146"/>
  <c r="H22" i="146"/>
  <c r="C22" i="146"/>
  <c r="H17" i="147"/>
  <c r="C17" i="147"/>
  <c r="N13" i="147"/>
  <c r="H25" i="147"/>
  <c r="C25" i="147"/>
  <c r="C20" i="148"/>
  <c r="H20" i="148"/>
  <c r="J16" i="149"/>
  <c r="E16" i="149"/>
  <c r="H18" i="150"/>
  <c r="C18" i="150"/>
  <c r="H16" i="151"/>
  <c r="C16" i="151"/>
  <c r="C21" i="151"/>
  <c r="H21" i="151"/>
  <c r="E16" i="152"/>
  <c r="J16" i="152"/>
  <c r="H18" i="153"/>
  <c r="C18" i="153"/>
  <c r="H12" i="153"/>
  <c r="C20" i="154"/>
  <c r="H20" i="154"/>
  <c r="I16" i="155"/>
  <c r="D16" i="155"/>
  <c r="H22" i="155"/>
  <c r="C22" i="155"/>
  <c r="C17" i="156"/>
  <c r="H17" i="156"/>
  <c r="H12" i="156"/>
  <c r="N13" i="156"/>
  <c r="C25" i="156"/>
  <c r="H25" i="156"/>
  <c r="C20" i="157"/>
  <c r="H20" i="157"/>
  <c r="I16" i="158"/>
  <c r="D16" i="158"/>
  <c r="H9" i="158"/>
  <c r="H22" i="158"/>
  <c r="C22" i="158"/>
  <c r="N9" i="159"/>
  <c r="H12" i="148"/>
  <c r="H25" i="148"/>
  <c r="C25" i="148"/>
  <c r="N13" i="148"/>
  <c r="N10" i="13"/>
  <c r="C22" i="13"/>
  <c r="H22" i="13"/>
  <c r="N12" i="13"/>
  <c r="H24" i="13"/>
  <c r="C24" i="13"/>
  <c r="H16" i="131"/>
  <c r="C16" i="131"/>
  <c r="H20" i="131"/>
  <c r="C20" i="131"/>
  <c r="D16" i="132"/>
  <c r="I16" i="132"/>
  <c r="C22" i="132"/>
  <c r="H22" i="132"/>
  <c r="H17" i="133"/>
  <c r="C17" i="133"/>
  <c r="H12" i="133"/>
  <c r="N13" i="133"/>
  <c r="H25" i="133"/>
  <c r="C25" i="133"/>
  <c r="H20" i="134"/>
  <c r="C20" i="134"/>
  <c r="J16" i="135"/>
  <c r="E16" i="135"/>
  <c r="C19" i="136"/>
  <c r="H19" i="136"/>
  <c r="I16" i="137"/>
  <c r="D16" i="137"/>
  <c r="H22" i="137"/>
  <c r="C22" i="137"/>
  <c r="C17" i="138"/>
  <c r="H17" i="138"/>
  <c r="H12" i="138"/>
  <c r="H25" i="138"/>
  <c r="C25" i="138"/>
  <c r="N13" i="138"/>
  <c r="H20" i="139"/>
  <c r="C20" i="139"/>
  <c r="E16" i="140"/>
  <c r="J16" i="140"/>
  <c r="C17" i="141"/>
  <c r="H17" i="141"/>
  <c r="H25" i="141"/>
  <c r="C25" i="141"/>
  <c r="N13" i="141"/>
  <c r="H20" i="142"/>
  <c r="C20" i="142"/>
  <c r="E16" i="143"/>
  <c r="J16" i="143"/>
  <c r="H18" i="144"/>
  <c r="C18" i="144"/>
  <c r="H16" i="145"/>
  <c r="C16" i="145"/>
  <c r="C21" i="145"/>
  <c r="H21" i="145"/>
  <c r="J16" i="146"/>
  <c r="E16" i="146"/>
  <c r="C18" i="147"/>
  <c r="H18" i="147"/>
  <c r="C16" i="148"/>
  <c r="H16" i="148"/>
  <c r="H21" i="148"/>
  <c r="C21" i="148"/>
  <c r="F16" i="149"/>
  <c r="K16" i="149"/>
  <c r="H19" i="150"/>
  <c r="C19" i="150"/>
  <c r="I16" i="151"/>
  <c r="D16" i="151"/>
  <c r="H22" i="151"/>
  <c r="C22" i="151"/>
  <c r="K16" i="152"/>
  <c r="F16" i="152"/>
  <c r="H19" i="153"/>
  <c r="C19" i="153"/>
  <c r="C16" i="154"/>
  <c r="H16" i="154"/>
  <c r="H21" i="154"/>
  <c r="C21" i="154"/>
  <c r="E16" i="155"/>
  <c r="J16" i="155"/>
  <c r="H18" i="156"/>
  <c r="C18" i="156"/>
  <c r="H16" i="157"/>
  <c r="C16" i="157"/>
  <c r="H21" i="157"/>
  <c r="C21" i="157"/>
  <c r="E16" i="158"/>
  <c r="J16" i="158"/>
  <c r="N12" i="138"/>
  <c r="C19" i="135"/>
  <c r="H19" i="135"/>
  <c r="H21" i="138"/>
  <c r="C21" i="138"/>
  <c r="H16" i="141"/>
  <c r="C16" i="141"/>
  <c r="D16" i="144"/>
  <c r="I16" i="144"/>
  <c r="C19" i="146"/>
  <c r="H19" i="146"/>
  <c r="E16" i="150"/>
  <c r="J16" i="150"/>
  <c r="J16" i="153"/>
  <c r="E16" i="153"/>
  <c r="H17" i="154"/>
  <c r="C17" i="154"/>
  <c r="H19" i="155"/>
  <c r="C19" i="155"/>
  <c r="C19" i="158"/>
  <c r="H19" i="158"/>
  <c r="N13" i="131"/>
  <c r="H25" i="131"/>
  <c r="C25" i="131"/>
  <c r="H17" i="13"/>
  <c r="C17" i="13"/>
  <c r="N13" i="13"/>
  <c r="H25" i="13"/>
  <c r="C25" i="13"/>
  <c r="I16" i="131"/>
  <c r="D16" i="131"/>
  <c r="C21" i="131"/>
  <c r="H21" i="131"/>
  <c r="E16" i="132"/>
  <c r="J16" i="132"/>
  <c r="H18" i="133"/>
  <c r="C18" i="133"/>
  <c r="C16" i="134"/>
  <c r="H16" i="134"/>
  <c r="H21" i="134"/>
  <c r="C21" i="134"/>
  <c r="F16" i="135"/>
  <c r="K16" i="135"/>
  <c r="H20" i="136"/>
  <c r="C20" i="136"/>
  <c r="E16" i="137"/>
  <c r="J16" i="137"/>
  <c r="C18" i="138"/>
  <c r="H18" i="138"/>
  <c r="H16" i="139"/>
  <c r="C16" i="139"/>
  <c r="H21" i="139"/>
  <c r="C21" i="139"/>
  <c r="F16" i="140"/>
  <c r="K16" i="140"/>
  <c r="C18" i="141"/>
  <c r="H18" i="141"/>
  <c r="C16" i="142"/>
  <c r="H16" i="142"/>
  <c r="H21" i="142"/>
  <c r="C21" i="142"/>
  <c r="F16" i="143"/>
  <c r="K16" i="143"/>
  <c r="C19" i="144"/>
  <c r="H19" i="144"/>
  <c r="I16" i="145"/>
  <c r="D16" i="145"/>
  <c r="H22" i="145"/>
  <c r="C22" i="145"/>
  <c r="K16" i="146"/>
  <c r="F16" i="146"/>
  <c r="H19" i="147"/>
  <c r="C19" i="147"/>
  <c r="I3" i="148"/>
  <c r="D16" i="148"/>
  <c r="I16" i="148"/>
  <c r="H22" i="148"/>
  <c r="C22" i="148"/>
  <c r="H17" i="149"/>
  <c r="C17" i="149"/>
  <c r="H12" i="149"/>
  <c r="N13" i="149"/>
  <c r="H25" i="149"/>
  <c r="C25" i="149"/>
  <c r="H20" i="150"/>
  <c r="C20" i="150"/>
  <c r="J16" i="151"/>
  <c r="E16" i="151"/>
  <c r="H17" i="152"/>
  <c r="C17" i="152"/>
  <c r="C25" i="152"/>
  <c r="N13" i="152"/>
  <c r="H25" i="152"/>
  <c r="C20" i="153"/>
  <c r="H20" i="153"/>
  <c r="I16" i="154"/>
  <c r="D16" i="154"/>
  <c r="C22" i="154"/>
  <c r="H22" i="154"/>
  <c r="F16" i="155"/>
  <c r="K16" i="155"/>
  <c r="C19" i="156"/>
  <c r="H19" i="156"/>
  <c r="I16" i="157"/>
  <c r="D16" i="157"/>
  <c r="H22" i="157"/>
  <c r="C22" i="157"/>
  <c r="K16" i="158"/>
  <c r="F16" i="158"/>
  <c r="N9" i="133"/>
  <c r="H16" i="133"/>
  <c r="C16" i="133"/>
  <c r="C19" i="143"/>
  <c r="H19" i="143"/>
  <c r="H22" i="147"/>
  <c r="C22" i="147"/>
  <c r="H22" i="156"/>
  <c r="C22" i="156"/>
  <c r="H3" i="13"/>
  <c r="C16" i="13"/>
  <c r="H16" i="13"/>
  <c r="D16" i="134"/>
  <c r="I16" i="134"/>
  <c r="C17" i="135"/>
  <c r="H17" i="135"/>
  <c r="H25" i="135"/>
  <c r="C25" i="135"/>
  <c r="N13" i="135"/>
  <c r="F16" i="137"/>
  <c r="K16" i="137"/>
  <c r="C19" i="138"/>
  <c r="H19" i="138"/>
  <c r="I16" i="139"/>
  <c r="D16" i="139"/>
  <c r="H22" i="139"/>
  <c r="C22" i="139"/>
  <c r="C17" i="140"/>
  <c r="H17" i="140"/>
  <c r="H25" i="140"/>
  <c r="C25" i="140"/>
  <c r="N13" i="140"/>
  <c r="C19" i="141"/>
  <c r="H19" i="141"/>
  <c r="D16" i="142"/>
  <c r="I16" i="142"/>
  <c r="H22" i="142"/>
  <c r="C22" i="142"/>
  <c r="C17" i="143"/>
  <c r="H17" i="143"/>
  <c r="H25" i="143"/>
  <c r="C25" i="143"/>
  <c r="N13" i="143"/>
  <c r="H20" i="144"/>
  <c r="C20" i="144"/>
  <c r="E16" i="145"/>
  <c r="J16" i="145"/>
  <c r="C17" i="146"/>
  <c r="H17" i="146"/>
  <c r="H25" i="146"/>
  <c r="C25" i="146"/>
  <c r="N13" i="146"/>
  <c r="H20" i="147"/>
  <c r="C20" i="147"/>
  <c r="E16" i="148"/>
  <c r="J16" i="148"/>
  <c r="H18" i="149"/>
  <c r="C18" i="149"/>
  <c r="C16" i="150"/>
  <c r="H16" i="150"/>
  <c r="H21" i="150"/>
  <c r="C21" i="150"/>
  <c r="F16" i="151"/>
  <c r="K16" i="151"/>
  <c r="H18" i="152"/>
  <c r="C18" i="152"/>
  <c r="H16" i="153"/>
  <c r="C16" i="153"/>
  <c r="C21" i="153"/>
  <c r="H21" i="153"/>
  <c r="E16" i="154"/>
  <c r="J16" i="154"/>
  <c r="H17" i="155"/>
  <c r="C17" i="155"/>
  <c r="H25" i="155"/>
  <c r="C25" i="155"/>
  <c r="N13" i="155"/>
  <c r="C20" i="156"/>
  <c r="H20" i="156"/>
  <c r="E16" i="157"/>
  <c r="J16" i="157"/>
  <c r="C17" i="158"/>
  <c r="H17" i="158"/>
  <c r="H25" i="158"/>
  <c r="C25" i="158"/>
  <c r="N13" i="158"/>
  <c r="N4" i="153"/>
  <c r="N7" i="159"/>
  <c r="N8" i="13"/>
  <c r="H20" i="13"/>
  <c r="C20" i="13"/>
  <c r="H4" i="131"/>
  <c r="H17" i="131"/>
  <c r="C17" i="131"/>
  <c r="K16" i="134"/>
  <c r="F16" i="134"/>
  <c r="C16" i="138"/>
  <c r="H16" i="138"/>
  <c r="F16" i="142"/>
  <c r="K16" i="142"/>
  <c r="N13" i="145"/>
  <c r="H25" i="145"/>
  <c r="C25" i="145"/>
  <c r="H18" i="151"/>
  <c r="C18" i="151"/>
  <c r="H17" i="157"/>
  <c r="C17" i="157"/>
  <c r="H18" i="13"/>
  <c r="C18" i="13"/>
  <c r="J16" i="131"/>
  <c r="E16" i="131"/>
  <c r="H22" i="131"/>
  <c r="C22" i="131"/>
  <c r="K16" i="132"/>
  <c r="F16" i="132"/>
  <c r="H19" i="133"/>
  <c r="C19" i="133"/>
  <c r="C22" i="134"/>
  <c r="H22" i="134"/>
  <c r="H21" i="136"/>
  <c r="C21" i="136"/>
  <c r="N7" i="13"/>
  <c r="H19" i="13"/>
  <c r="C19" i="13"/>
  <c r="I3" i="13"/>
  <c r="D16" i="13"/>
  <c r="I16" i="13"/>
  <c r="F16" i="131"/>
  <c r="K16" i="131"/>
  <c r="H17" i="132"/>
  <c r="C17" i="132"/>
  <c r="C25" i="132"/>
  <c r="N13" i="132"/>
  <c r="H25" i="132"/>
  <c r="H20" i="133"/>
  <c r="C20" i="133"/>
  <c r="J16" i="134"/>
  <c r="E16" i="134"/>
  <c r="C18" i="135"/>
  <c r="H18" i="135"/>
  <c r="C16" i="136"/>
  <c r="H16" i="136"/>
  <c r="H22" i="136"/>
  <c r="C22" i="136"/>
  <c r="C17" i="137"/>
  <c r="H17" i="137"/>
  <c r="H25" i="137"/>
  <c r="C25" i="137"/>
  <c r="N13" i="137"/>
  <c r="H20" i="138"/>
  <c r="C20" i="138"/>
  <c r="E16" i="139"/>
  <c r="J16" i="139"/>
  <c r="C18" i="140"/>
  <c r="H18" i="140"/>
  <c r="H12" i="140"/>
  <c r="H20" i="141"/>
  <c r="C20" i="141"/>
  <c r="E16" i="142"/>
  <c r="J16" i="142"/>
  <c r="C18" i="143"/>
  <c r="H18" i="143"/>
  <c r="C16" i="144"/>
  <c r="H16" i="144"/>
  <c r="H21" i="144"/>
  <c r="C21" i="144"/>
  <c r="K16" i="145"/>
  <c r="F16" i="145"/>
  <c r="H18" i="146"/>
  <c r="C18" i="146"/>
  <c r="H16" i="147"/>
  <c r="C16" i="147"/>
  <c r="H21" i="147"/>
  <c r="C21" i="147"/>
  <c r="K16" i="148"/>
  <c r="F16" i="148"/>
  <c r="H19" i="149"/>
  <c r="C19" i="149"/>
  <c r="D16" i="150"/>
  <c r="I16" i="150"/>
  <c r="C22" i="150"/>
  <c r="H22" i="150"/>
  <c r="H17" i="151"/>
  <c r="C17" i="151"/>
  <c r="N13" i="151"/>
  <c r="H25" i="151"/>
  <c r="C25" i="151"/>
  <c r="H19" i="152"/>
  <c r="C19" i="152"/>
  <c r="I16" i="153"/>
  <c r="D16" i="153"/>
  <c r="H22" i="153"/>
  <c r="C22" i="153"/>
  <c r="K16" i="154"/>
  <c r="F16" i="154"/>
  <c r="C18" i="155"/>
  <c r="H18" i="155"/>
  <c r="C16" i="156"/>
  <c r="H16" i="156"/>
  <c r="H21" i="156"/>
  <c r="C21" i="156"/>
  <c r="F16" i="157"/>
  <c r="K16" i="157"/>
  <c r="H5" i="158"/>
  <c r="H18" i="158"/>
  <c r="C18" i="158"/>
  <c r="N6" i="138"/>
  <c r="Q14" i="146"/>
  <c r="O14" i="132"/>
  <c r="E24" i="157"/>
  <c r="E24" i="149"/>
  <c r="E24" i="141"/>
  <c r="E24" i="133"/>
  <c r="E24" i="158"/>
  <c r="E24" i="150"/>
  <c r="E24" i="142"/>
  <c r="E24" i="134"/>
  <c r="E24" i="159"/>
  <c r="E24" i="151"/>
  <c r="E24" i="143"/>
  <c r="E24" i="135"/>
  <c r="E24" i="152"/>
  <c r="E24" i="144"/>
  <c r="E24" i="136"/>
  <c r="E24" i="153"/>
  <c r="E24" i="145"/>
  <c r="E24" i="137"/>
  <c r="E24" i="154"/>
  <c r="E24" i="146"/>
  <c r="E24" i="138"/>
  <c r="E24" i="155"/>
  <c r="E24" i="147"/>
  <c r="E24" i="139"/>
  <c r="E24" i="131"/>
  <c r="E24" i="156"/>
  <c r="E24" i="148"/>
  <c r="E24" i="140"/>
  <c r="E24" i="132"/>
  <c r="E26" i="133"/>
  <c r="J26" i="133" s="1"/>
  <c r="E26" i="141"/>
  <c r="J26" i="141" s="1"/>
  <c r="E26" i="149"/>
  <c r="J26" i="149" s="1"/>
  <c r="E26" i="157"/>
  <c r="J26" i="157" s="1"/>
  <c r="E26" i="138"/>
  <c r="J26" i="138" s="1"/>
  <c r="E26" i="146"/>
  <c r="J26" i="146" s="1"/>
  <c r="E26" i="154"/>
  <c r="J26" i="154" s="1"/>
  <c r="E26" i="135"/>
  <c r="J26" i="135" s="1"/>
  <c r="E26" i="143"/>
  <c r="J26" i="143" s="1"/>
  <c r="E26" i="151"/>
  <c r="J26" i="151" s="1"/>
  <c r="E26" i="132"/>
  <c r="J26" i="132" s="1"/>
  <c r="E26" i="140"/>
  <c r="J26" i="140" s="1"/>
  <c r="E26" i="148"/>
  <c r="J26" i="148" s="1"/>
  <c r="E26" i="156"/>
  <c r="J26" i="156" s="1"/>
  <c r="E26" i="137"/>
  <c r="J26" i="137" s="1"/>
  <c r="E26" i="145"/>
  <c r="J26" i="145" s="1"/>
  <c r="E26" i="153"/>
  <c r="J26" i="153" s="1"/>
  <c r="E26" i="134"/>
  <c r="J26" i="134" s="1"/>
  <c r="E26" i="142"/>
  <c r="J26" i="142" s="1"/>
  <c r="E26" i="150"/>
  <c r="J26" i="150" s="1"/>
  <c r="E26" i="158"/>
  <c r="J26" i="158" s="1"/>
  <c r="E26" i="13"/>
  <c r="J26" i="13" s="1"/>
  <c r="E26" i="131"/>
  <c r="J26" i="131" s="1"/>
  <c r="E26" i="139"/>
  <c r="J26" i="139" s="1"/>
  <c r="E26" i="147"/>
  <c r="J26" i="147" s="1"/>
  <c r="E26" i="155"/>
  <c r="J26" i="155" s="1"/>
  <c r="E26" i="159"/>
  <c r="J26" i="159" s="1"/>
  <c r="E26" i="136"/>
  <c r="J26" i="136" s="1"/>
  <c r="E26" i="144"/>
  <c r="J26" i="144" s="1"/>
  <c r="E26" i="152"/>
  <c r="J26" i="152" s="1"/>
  <c r="E20" i="131"/>
  <c r="J20" i="131"/>
  <c r="E20" i="132"/>
  <c r="J20" i="132"/>
  <c r="E20" i="148"/>
  <c r="J20" i="148"/>
  <c r="J20" i="143"/>
  <c r="E20" i="143"/>
  <c r="J20" i="135"/>
  <c r="E20" i="135"/>
  <c r="E20" i="140"/>
  <c r="J20" i="140"/>
  <c r="J20" i="142"/>
  <c r="E20" i="142"/>
  <c r="E20" i="147"/>
  <c r="J20" i="147"/>
  <c r="J20" i="151"/>
  <c r="E20" i="151"/>
  <c r="J20" i="153"/>
  <c r="E20" i="153"/>
  <c r="E20" i="155"/>
  <c r="J20" i="155"/>
  <c r="J20" i="141"/>
  <c r="E20" i="141"/>
  <c r="J20" i="152"/>
  <c r="E20" i="152"/>
  <c r="J20" i="154"/>
  <c r="E20" i="154"/>
  <c r="J20" i="134"/>
  <c r="E20" i="134"/>
  <c r="E20" i="139"/>
  <c r="J20" i="139"/>
  <c r="J20" i="146"/>
  <c r="E20" i="146"/>
  <c r="J20" i="150"/>
  <c r="E20" i="150"/>
  <c r="E20" i="156"/>
  <c r="J20" i="156"/>
  <c r="E20" i="13"/>
  <c r="J20" i="13"/>
  <c r="J20" i="145"/>
  <c r="E20" i="145"/>
  <c r="E20" i="158"/>
  <c r="J20" i="158"/>
  <c r="E20" i="133"/>
  <c r="J20" i="133"/>
  <c r="J20" i="138"/>
  <c r="E20" i="138"/>
  <c r="E20" i="149"/>
  <c r="J20" i="149"/>
  <c r="E20" i="157"/>
  <c r="J20" i="157"/>
  <c r="J20" i="136"/>
  <c r="E20" i="136"/>
  <c r="J20" i="137"/>
  <c r="E20" i="137"/>
  <c r="J20" i="144"/>
  <c r="E20" i="144"/>
  <c r="E25" i="134"/>
  <c r="J25" i="134"/>
  <c r="J25" i="137"/>
  <c r="E25" i="137"/>
  <c r="E25" i="141"/>
  <c r="J25" i="141"/>
  <c r="J25" i="144"/>
  <c r="E25" i="144"/>
  <c r="E25" i="133"/>
  <c r="J25" i="133"/>
  <c r="E25" i="146"/>
  <c r="J25" i="146"/>
  <c r="E25" i="155"/>
  <c r="J25" i="155"/>
  <c r="P13" i="13"/>
  <c r="J25" i="13"/>
  <c r="E25" i="13"/>
  <c r="J25" i="132"/>
  <c r="E25" i="132"/>
  <c r="J25" i="140"/>
  <c r="E25" i="140"/>
  <c r="J25" i="152"/>
  <c r="E25" i="152"/>
  <c r="J25" i="156"/>
  <c r="E25" i="156"/>
  <c r="J25" i="136"/>
  <c r="E25" i="136"/>
  <c r="J25" i="139"/>
  <c r="E25" i="139"/>
  <c r="E25" i="142"/>
  <c r="J25" i="142"/>
  <c r="J25" i="147"/>
  <c r="E25" i="147"/>
  <c r="E25" i="149"/>
  <c r="J25" i="149"/>
  <c r="E25" i="158"/>
  <c r="J25" i="158"/>
  <c r="E25" i="131"/>
  <c r="J25" i="131"/>
  <c r="J25" i="151"/>
  <c r="E25" i="151"/>
  <c r="J25" i="157"/>
  <c r="E25" i="157"/>
  <c r="E25" i="135"/>
  <c r="J25" i="135"/>
  <c r="E25" i="138"/>
  <c r="J25" i="138"/>
  <c r="J25" i="143"/>
  <c r="E25" i="143"/>
  <c r="E25" i="145"/>
  <c r="J25" i="145"/>
  <c r="J25" i="148"/>
  <c r="E25" i="148"/>
  <c r="E25" i="150"/>
  <c r="J25" i="150"/>
  <c r="E25" i="153"/>
  <c r="J25" i="153"/>
  <c r="E25" i="154"/>
  <c r="J25" i="154"/>
  <c r="P13" i="136"/>
  <c r="P13" i="154"/>
  <c r="N11" i="13"/>
  <c r="C23" i="13"/>
  <c r="H23" i="13"/>
  <c r="H23" i="131"/>
  <c r="C23" i="131"/>
  <c r="C23" i="141"/>
  <c r="H23" i="141"/>
  <c r="C23" i="146"/>
  <c r="H23" i="146"/>
  <c r="C23" i="137"/>
  <c r="H23" i="137"/>
  <c r="C23" i="138"/>
  <c r="H23" i="138"/>
  <c r="H23" i="139"/>
  <c r="C23" i="139"/>
  <c r="C23" i="140"/>
  <c r="H23" i="140"/>
  <c r="H23" i="147"/>
  <c r="C23" i="147"/>
  <c r="C23" i="148"/>
  <c r="H23" i="148"/>
  <c r="C23" i="149"/>
  <c r="H23" i="149"/>
  <c r="H23" i="150"/>
  <c r="C23" i="150"/>
  <c r="C23" i="151"/>
  <c r="H23" i="151"/>
  <c r="H23" i="152"/>
  <c r="C23" i="152"/>
  <c r="C23" i="154"/>
  <c r="H23" i="154"/>
  <c r="C23" i="132"/>
  <c r="H23" i="132"/>
  <c r="H23" i="133"/>
  <c r="C23" i="133"/>
  <c r="C23" i="153"/>
  <c r="H23" i="153"/>
  <c r="H23" i="155"/>
  <c r="C23" i="155"/>
  <c r="C23" i="156"/>
  <c r="H23" i="156"/>
  <c r="C23" i="157"/>
  <c r="H23" i="157"/>
  <c r="N11" i="146"/>
  <c r="C23" i="134"/>
  <c r="H23" i="134"/>
  <c r="H23" i="135"/>
  <c r="C23" i="135"/>
  <c r="C23" i="136"/>
  <c r="H23" i="136"/>
  <c r="C23" i="142"/>
  <c r="H23" i="142"/>
  <c r="C23" i="143"/>
  <c r="H23" i="143"/>
  <c r="C23" i="144"/>
  <c r="H23" i="144"/>
  <c r="H23" i="145"/>
  <c r="C23" i="145"/>
  <c r="C23" i="158"/>
  <c r="H23" i="158"/>
  <c r="K14" i="135"/>
  <c r="F14" i="135"/>
  <c r="K27" i="135"/>
  <c r="F27" i="135"/>
  <c r="O14" i="131"/>
  <c r="Q14" i="132"/>
  <c r="Q14" i="133"/>
  <c r="O14" i="133"/>
  <c r="Q14" i="134"/>
  <c r="O14" i="134"/>
  <c r="O14" i="135"/>
  <c r="Q14" i="135"/>
  <c r="Q14" i="136"/>
  <c r="Q14" i="137"/>
  <c r="Q14" i="138"/>
  <c r="Q14" i="139"/>
  <c r="Q14" i="140"/>
  <c r="Q14" i="141"/>
  <c r="Q14" i="142"/>
  <c r="Q14" i="143"/>
  <c r="Q14" i="144"/>
  <c r="Q14" i="145"/>
  <c r="Q14" i="147"/>
  <c r="Q14" i="148"/>
  <c r="Q14" i="149"/>
  <c r="Q14" i="150"/>
  <c r="Q14" i="151"/>
  <c r="Q14" i="152"/>
  <c r="Q14" i="153"/>
  <c r="Q14" i="154"/>
  <c r="Q14" i="155"/>
  <c r="Q14" i="157"/>
  <c r="Q14" i="158"/>
  <c r="Q14" i="131"/>
  <c r="N5" i="13"/>
  <c r="H8" i="13"/>
  <c r="P4" i="136"/>
  <c r="P10" i="137"/>
  <c r="P8" i="138"/>
  <c r="I3" i="140"/>
  <c r="O4" i="140"/>
  <c r="P11" i="13"/>
  <c r="N12" i="135"/>
  <c r="P7" i="138"/>
  <c r="P9" i="138"/>
  <c r="P10" i="140"/>
  <c r="Q4" i="152"/>
  <c r="N6" i="154"/>
  <c r="N8" i="154"/>
  <c r="N10" i="154"/>
  <c r="N12" i="154"/>
  <c r="N9" i="135"/>
  <c r="N11" i="135"/>
  <c r="N4" i="13"/>
  <c r="N6" i="132"/>
  <c r="N10" i="132"/>
  <c r="I3" i="139"/>
  <c r="O4" i="139"/>
  <c r="P11" i="139"/>
  <c r="P6" i="145"/>
  <c r="P8" i="145"/>
  <c r="P5" i="146"/>
  <c r="P7" i="146"/>
  <c r="P9" i="146"/>
  <c r="N11" i="147"/>
  <c r="H12" i="147"/>
  <c r="O4" i="155"/>
  <c r="H10" i="158"/>
  <c r="N12" i="136"/>
  <c r="N9" i="13"/>
  <c r="N5" i="135"/>
  <c r="N7" i="135"/>
  <c r="H12" i="146"/>
  <c r="N5" i="154"/>
  <c r="N7" i="154"/>
  <c r="N9" i="154"/>
  <c r="O4" i="134"/>
  <c r="P7" i="134"/>
  <c r="P9" i="134"/>
  <c r="P10" i="139"/>
  <c r="Q4" i="143"/>
  <c r="P14" i="144"/>
  <c r="P5" i="145"/>
  <c r="P7" i="145"/>
  <c r="P9" i="145"/>
  <c r="P6" i="146"/>
  <c r="P8" i="146"/>
  <c r="N12" i="147"/>
  <c r="P5" i="138"/>
  <c r="P6" i="138"/>
  <c r="P14" i="159"/>
  <c r="Q4" i="13"/>
  <c r="H12" i="152"/>
  <c r="P4" i="133"/>
  <c r="N6" i="133"/>
  <c r="N10" i="133"/>
  <c r="N10" i="134"/>
  <c r="N4" i="137"/>
  <c r="N12" i="139"/>
  <c r="P10" i="156"/>
  <c r="N6" i="159"/>
  <c r="N10" i="159"/>
  <c r="N8" i="133"/>
  <c r="N11" i="133"/>
  <c r="N8" i="134"/>
  <c r="O4" i="135"/>
  <c r="P8" i="136"/>
  <c r="N8" i="138"/>
  <c r="N4" i="145"/>
  <c r="O4" i="148"/>
  <c r="N8" i="159"/>
  <c r="H7" i="13"/>
  <c r="P14" i="13"/>
  <c r="P5" i="131"/>
  <c r="P6" i="131"/>
  <c r="P14" i="132"/>
  <c r="P6" i="133"/>
  <c r="H12" i="134"/>
  <c r="P5" i="136"/>
  <c r="P9" i="136"/>
  <c r="N11" i="138"/>
  <c r="P12" i="138"/>
  <c r="P4" i="145"/>
  <c r="N10" i="145"/>
  <c r="P4" i="146"/>
  <c r="N8" i="146"/>
  <c r="N12" i="146"/>
  <c r="P13" i="147"/>
  <c r="N5" i="149"/>
  <c r="N11" i="149"/>
  <c r="H5" i="13"/>
  <c r="O4" i="13"/>
  <c r="N6" i="13"/>
  <c r="P6" i="13"/>
  <c r="Q4" i="131"/>
  <c r="N8" i="131"/>
  <c r="H7" i="131"/>
  <c r="P9" i="131"/>
  <c r="N4" i="132"/>
  <c r="N5" i="132"/>
  <c r="N7" i="132"/>
  <c r="N9" i="132"/>
  <c r="N11" i="132"/>
  <c r="H12" i="132"/>
  <c r="O4" i="133"/>
  <c r="P5" i="133"/>
  <c r="P7" i="133"/>
  <c r="P9" i="133"/>
  <c r="P11" i="133"/>
  <c r="Q4" i="135"/>
  <c r="P6" i="135"/>
  <c r="P8" i="135"/>
  <c r="P10" i="135"/>
  <c r="H12" i="135"/>
  <c r="N7" i="137"/>
  <c r="N10" i="137"/>
  <c r="P11" i="137"/>
  <c r="P14" i="138"/>
  <c r="N4" i="139"/>
  <c r="N5" i="139"/>
  <c r="N7" i="139"/>
  <c r="N9" i="139"/>
  <c r="P12" i="139"/>
  <c r="P4" i="140"/>
  <c r="N6" i="140"/>
  <c r="N8" i="140"/>
  <c r="N10" i="140"/>
  <c r="N12" i="140"/>
  <c r="P4" i="141"/>
  <c r="N6" i="141"/>
  <c r="N8" i="141"/>
  <c r="N10" i="141"/>
  <c r="N12" i="141"/>
  <c r="H12" i="143"/>
  <c r="P13" i="148"/>
  <c r="P14" i="149"/>
  <c r="N4" i="150"/>
  <c r="N5" i="150"/>
  <c r="N7" i="150"/>
  <c r="N9" i="150"/>
  <c r="N11" i="150"/>
  <c r="P12" i="150"/>
  <c r="P4" i="151"/>
  <c r="N6" i="151"/>
  <c r="N8" i="151"/>
  <c r="N10" i="151"/>
  <c r="N12" i="151"/>
  <c r="P4" i="152"/>
  <c r="N9" i="152"/>
  <c r="P10" i="152"/>
  <c r="P14" i="156"/>
  <c r="N4" i="157"/>
  <c r="N5" i="157"/>
  <c r="N7" i="157"/>
  <c r="N9" i="157"/>
  <c r="N11" i="157"/>
  <c r="P12" i="157"/>
  <c r="N5" i="138"/>
  <c r="N7" i="138"/>
  <c r="N9" i="138"/>
  <c r="N11" i="139"/>
  <c r="H6" i="13"/>
  <c r="P4" i="13"/>
  <c r="P7" i="13"/>
  <c r="P12" i="13"/>
  <c r="N10" i="131"/>
  <c r="H9" i="131"/>
  <c r="P14" i="134"/>
  <c r="Q4" i="137"/>
  <c r="N6" i="137"/>
  <c r="P7" i="137"/>
  <c r="N12" i="137"/>
  <c r="H12" i="137"/>
  <c r="P13" i="138"/>
  <c r="P14" i="147"/>
  <c r="N4" i="148"/>
  <c r="N5" i="148"/>
  <c r="N7" i="148"/>
  <c r="N9" i="148"/>
  <c r="N11" i="148"/>
  <c r="P12" i="148"/>
  <c r="P13" i="149"/>
  <c r="P6" i="158"/>
  <c r="P8" i="158"/>
  <c r="P12" i="158"/>
  <c r="N14" i="159"/>
  <c r="P12" i="132"/>
  <c r="P8" i="134"/>
  <c r="P4" i="142"/>
  <c r="O4" i="131"/>
  <c r="P7" i="131"/>
  <c r="P10" i="131"/>
  <c r="Q4" i="133"/>
  <c r="P8" i="133"/>
  <c r="P10" i="133"/>
  <c r="I3" i="136"/>
  <c r="O4" i="136"/>
  <c r="P7" i="136"/>
  <c r="P14" i="136"/>
  <c r="N4" i="138"/>
  <c r="N12" i="144"/>
  <c r="N6" i="145"/>
  <c r="N8" i="145"/>
  <c r="N12" i="145"/>
  <c r="N6" i="146"/>
  <c r="N10" i="146"/>
  <c r="P14" i="148"/>
  <c r="N4" i="149"/>
  <c r="N7" i="149"/>
  <c r="N9" i="149"/>
  <c r="P12" i="149"/>
  <c r="Q4" i="154"/>
  <c r="P6" i="154"/>
  <c r="P8" i="154"/>
  <c r="P10" i="154"/>
  <c r="P13" i="156"/>
  <c r="P14" i="157"/>
  <c r="N4" i="158"/>
  <c r="N5" i="158"/>
  <c r="H4" i="158"/>
  <c r="N7" i="158"/>
  <c r="H6" i="158"/>
  <c r="K16" i="159"/>
  <c r="Q4" i="159"/>
  <c r="J18" i="159"/>
  <c r="P6" i="159"/>
  <c r="J20" i="159"/>
  <c r="P8" i="159"/>
  <c r="J22" i="159"/>
  <c r="P10" i="159"/>
  <c r="C25" i="159"/>
  <c r="N13" i="159"/>
  <c r="H25" i="159"/>
  <c r="H12" i="159"/>
  <c r="H4" i="13"/>
  <c r="P4" i="131"/>
  <c r="N9" i="131"/>
  <c r="H8" i="131"/>
  <c r="N12" i="131"/>
  <c r="Q4" i="132"/>
  <c r="P6" i="132"/>
  <c r="P8" i="132"/>
  <c r="P10" i="132"/>
  <c r="P13" i="132"/>
  <c r="Q4" i="134"/>
  <c r="P10" i="134"/>
  <c r="P13" i="134"/>
  <c r="H12" i="136"/>
  <c r="P13" i="139"/>
  <c r="N6" i="142"/>
  <c r="N8" i="142"/>
  <c r="N10" i="142"/>
  <c r="P14" i="142"/>
  <c r="I3" i="143"/>
  <c r="O4" i="143"/>
  <c r="P5" i="143"/>
  <c r="P7" i="143"/>
  <c r="P9" i="143"/>
  <c r="P11" i="143"/>
  <c r="Q4" i="144"/>
  <c r="P6" i="144"/>
  <c r="P8" i="144"/>
  <c r="P10" i="144"/>
  <c r="P14" i="146"/>
  <c r="N4" i="147"/>
  <c r="N5" i="147"/>
  <c r="N7" i="147"/>
  <c r="N9" i="147"/>
  <c r="P12" i="147"/>
  <c r="P13" i="150"/>
  <c r="N7" i="152"/>
  <c r="P8" i="152"/>
  <c r="O4" i="153"/>
  <c r="P5" i="153"/>
  <c r="P7" i="153"/>
  <c r="P9" i="153"/>
  <c r="P11" i="153"/>
  <c r="P5" i="155"/>
  <c r="P7" i="155"/>
  <c r="P9" i="155"/>
  <c r="P12" i="155"/>
  <c r="N4" i="156"/>
  <c r="N5" i="156"/>
  <c r="N7" i="156"/>
  <c r="N9" i="156"/>
  <c r="N11" i="156"/>
  <c r="P12" i="156"/>
  <c r="P13" i="157"/>
  <c r="P4" i="137"/>
  <c r="N5" i="131"/>
  <c r="N6" i="131"/>
  <c r="N7" i="131"/>
  <c r="H6" i="131"/>
  <c r="P8" i="131"/>
  <c r="N11" i="131"/>
  <c r="H10" i="131"/>
  <c r="O4" i="132"/>
  <c r="P5" i="132"/>
  <c r="P7" i="132"/>
  <c r="P9" i="132"/>
  <c r="N12" i="133"/>
  <c r="N4" i="134"/>
  <c r="N11" i="134"/>
  <c r="P12" i="134"/>
  <c r="P5" i="135"/>
  <c r="P7" i="135"/>
  <c r="P9" i="135"/>
  <c r="Q4" i="136"/>
  <c r="P10" i="136"/>
  <c r="N8" i="137"/>
  <c r="P9" i="137"/>
  <c r="P13" i="137"/>
  <c r="P4" i="138"/>
  <c r="P4" i="139"/>
  <c r="N6" i="139"/>
  <c r="N8" i="139"/>
  <c r="N10" i="139"/>
  <c r="P14" i="141"/>
  <c r="N4" i="142"/>
  <c r="N5" i="142"/>
  <c r="N7" i="142"/>
  <c r="N9" i="142"/>
  <c r="P13" i="142"/>
  <c r="P6" i="143"/>
  <c r="P8" i="143"/>
  <c r="P10" i="143"/>
  <c r="N11" i="144"/>
  <c r="N11" i="145"/>
  <c r="P13" i="145"/>
  <c r="P12" i="146"/>
  <c r="P13" i="146"/>
  <c r="P4" i="149"/>
  <c r="N6" i="149"/>
  <c r="N8" i="149"/>
  <c r="N10" i="149"/>
  <c r="N12" i="149"/>
  <c r="N6" i="150"/>
  <c r="N8" i="150"/>
  <c r="N10" i="150"/>
  <c r="N12" i="150"/>
  <c r="N11" i="152"/>
  <c r="P13" i="152"/>
  <c r="O4" i="154"/>
  <c r="N10" i="155"/>
  <c r="P11" i="155"/>
  <c r="N6" i="157"/>
  <c r="N8" i="157"/>
  <c r="N10" i="157"/>
  <c r="N12" i="157"/>
  <c r="P4" i="158"/>
  <c r="I16" i="159"/>
  <c r="O4" i="159"/>
  <c r="J23" i="159"/>
  <c r="P11" i="159"/>
  <c r="N4" i="131"/>
  <c r="P14" i="131"/>
  <c r="N5" i="134"/>
  <c r="N7" i="134"/>
  <c r="N9" i="134"/>
  <c r="N11" i="140"/>
  <c r="N5" i="145"/>
  <c r="N7" i="145"/>
  <c r="N9" i="145"/>
  <c r="P12" i="145"/>
  <c r="P14" i="145"/>
  <c r="N4" i="146"/>
  <c r="P4" i="150"/>
  <c r="P5" i="154"/>
  <c r="P7" i="154"/>
  <c r="P9" i="154"/>
  <c r="P5" i="159"/>
  <c r="P7" i="159"/>
  <c r="P9" i="159"/>
  <c r="P4" i="135"/>
  <c r="N6" i="135"/>
  <c r="N8" i="135"/>
  <c r="N10" i="135"/>
  <c r="N4" i="136"/>
  <c r="N5" i="136"/>
  <c r="N7" i="136"/>
  <c r="N9" i="136"/>
  <c r="N11" i="136"/>
  <c r="P12" i="136"/>
  <c r="O4" i="137"/>
  <c r="P5" i="137"/>
  <c r="P8" i="137"/>
  <c r="N11" i="137"/>
  <c r="P14" i="139"/>
  <c r="N4" i="140"/>
  <c r="N5" i="140"/>
  <c r="N7" i="140"/>
  <c r="N9" i="140"/>
  <c r="P12" i="140"/>
  <c r="P13" i="140"/>
  <c r="P14" i="140"/>
  <c r="N4" i="141"/>
  <c r="N5" i="141"/>
  <c r="N7" i="141"/>
  <c r="N9" i="141"/>
  <c r="N11" i="141"/>
  <c r="P12" i="141"/>
  <c r="P13" i="141"/>
  <c r="O4" i="144"/>
  <c r="P5" i="144"/>
  <c r="P7" i="144"/>
  <c r="P9" i="144"/>
  <c r="P4" i="147"/>
  <c r="N6" i="147"/>
  <c r="N8" i="147"/>
  <c r="N10" i="147"/>
  <c r="P4" i="148"/>
  <c r="N6" i="148"/>
  <c r="N8" i="148"/>
  <c r="N10" i="148"/>
  <c r="N12" i="148"/>
  <c r="P14" i="150"/>
  <c r="N4" i="151"/>
  <c r="N5" i="151"/>
  <c r="N7" i="151"/>
  <c r="N9" i="151"/>
  <c r="N11" i="151"/>
  <c r="P12" i="151"/>
  <c r="P13" i="151"/>
  <c r="P14" i="151"/>
  <c r="N4" i="152"/>
  <c r="N5" i="152"/>
  <c r="P6" i="152"/>
  <c r="Q4" i="153"/>
  <c r="P6" i="153"/>
  <c r="P8" i="153"/>
  <c r="P10" i="153"/>
  <c r="Q4" i="155"/>
  <c r="P6" i="155"/>
  <c r="P8" i="155"/>
  <c r="N12" i="155"/>
  <c r="P4" i="156"/>
  <c r="N6" i="156"/>
  <c r="N8" i="156"/>
  <c r="N10" i="156"/>
  <c r="N12" i="156"/>
  <c r="N9" i="158"/>
  <c r="N10" i="158"/>
  <c r="N11" i="158"/>
  <c r="N12" i="158"/>
  <c r="P11" i="135"/>
  <c r="P6" i="136"/>
  <c r="P12" i="137"/>
  <c r="P14" i="137"/>
  <c r="N5" i="146"/>
  <c r="N7" i="146"/>
  <c r="N9" i="146"/>
  <c r="P4" i="157"/>
  <c r="P12" i="131"/>
  <c r="P4" i="132"/>
  <c r="N12" i="132"/>
  <c r="P14" i="135"/>
  <c r="N6" i="136"/>
  <c r="N8" i="136"/>
  <c r="N10" i="136"/>
  <c r="Q4" i="138"/>
  <c r="P10" i="138"/>
  <c r="P5" i="139"/>
  <c r="P7" i="139"/>
  <c r="P9" i="139"/>
  <c r="P6" i="140"/>
  <c r="P8" i="140"/>
  <c r="O4" i="141"/>
  <c r="P11" i="141"/>
  <c r="H12" i="141"/>
  <c r="Q4" i="142"/>
  <c r="P10" i="142"/>
  <c r="P4" i="143"/>
  <c r="N6" i="143"/>
  <c r="N8" i="143"/>
  <c r="N10" i="143"/>
  <c r="N4" i="144"/>
  <c r="N5" i="144"/>
  <c r="N7" i="144"/>
  <c r="N9" i="144"/>
  <c r="P13" i="144"/>
  <c r="Q4" i="145"/>
  <c r="P10" i="145"/>
  <c r="I3" i="146"/>
  <c r="O4" i="146"/>
  <c r="Q4" i="147"/>
  <c r="P6" i="147"/>
  <c r="P8" i="147"/>
  <c r="P5" i="148"/>
  <c r="P7" i="148"/>
  <c r="P9" i="148"/>
  <c r="Q4" i="149"/>
  <c r="P6" i="149"/>
  <c r="P8" i="149"/>
  <c r="P10" i="149"/>
  <c r="O4" i="150"/>
  <c r="P5" i="150"/>
  <c r="P7" i="150"/>
  <c r="P9" i="150"/>
  <c r="P6" i="151"/>
  <c r="P8" i="151"/>
  <c r="P10" i="151"/>
  <c r="O4" i="152"/>
  <c r="P5" i="152"/>
  <c r="N8" i="152"/>
  <c r="P9" i="152"/>
  <c r="N12" i="152"/>
  <c r="N11" i="153"/>
  <c r="P13" i="153"/>
  <c r="P4" i="154"/>
  <c r="N4" i="155"/>
  <c r="N5" i="155"/>
  <c r="N7" i="155"/>
  <c r="N9" i="155"/>
  <c r="P14" i="155"/>
  <c r="P5" i="156"/>
  <c r="P7" i="156"/>
  <c r="P9" i="156"/>
  <c r="Q4" i="157"/>
  <c r="P6" i="157"/>
  <c r="P8" i="157"/>
  <c r="P10" i="157"/>
  <c r="O4" i="158"/>
  <c r="P5" i="158"/>
  <c r="N8" i="158"/>
  <c r="P9" i="158"/>
  <c r="P10" i="158"/>
  <c r="P13" i="158"/>
  <c r="H23" i="159"/>
  <c r="N11" i="159"/>
  <c r="J24" i="159"/>
  <c r="E25" i="159"/>
  <c r="P13" i="159"/>
  <c r="P13" i="131"/>
  <c r="N4" i="133"/>
  <c r="P13" i="133"/>
  <c r="P4" i="134"/>
  <c r="N4" i="135"/>
  <c r="P13" i="135"/>
  <c r="P6" i="137"/>
  <c r="Q4" i="140"/>
  <c r="P5" i="141"/>
  <c r="P6" i="141"/>
  <c r="P7" i="141"/>
  <c r="P8" i="141"/>
  <c r="P9" i="141"/>
  <c r="N12" i="142"/>
  <c r="P13" i="143"/>
  <c r="O4" i="147"/>
  <c r="P10" i="148"/>
  <c r="Q4" i="151"/>
  <c r="N11" i="155"/>
  <c r="O4" i="156"/>
  <c r="Q4" i="158"/>
  <c r="I3" i="138"/>
  <c r="O4" i="138"/>
  <c r="P6" i="139"/>
  <c r="P8" i="139"/>
  <c r="P5" i="140"/>
  <c r="P7" i="140"/>
  <c r="P9" i="140"/>
  <c r="Q4" i="141"/>
  <c r="P10" i="141"/>
  <c r="O4" i="142"/>
  <c r="N11" i="142"/>
  <c r="P12" i="142"/>
  <c r="N4" i="143"/>
  <c r="N5" i="143"/>
  <c r="N7" i="143"/>
  <c r="N9" i="143"/>
  <c r="P12" i="143"/>
  <c r="P14" i="143"/>
  <c r="P4" i="144"/>
  <c r="N6" i="144"/>
  <c r="N8" i="144"/>
  <c r="N10" i="144"/>
  <c r="I3" i="145"/>
  <c r="O4" i="145"/>
  <c r="P11" i="145"/>
  <c r="Q4" i="146"/>
  <c r="P10" i="146"/>
  <c r="P5" i="147"/>
  <c r="P7" i="147"/>
  <c r="P9" i="147"/>
  <c r="Q4" i="148"/>
  <c r="P6" i="148"/>
  <c r="P8" i="148"/>
  <c r="O4" i="149"/>
  <c r="P5" i="149"/>
  <c r="P7" i="149"/>
  <c r="P9" i="149"/>
  <c r="P11" i="149"/>
  <c r="Q4" i="150"/>
  <c r="P6" i="150"/>
  <c r="P8" i="150"/>
  <c r="P10" i="150"/>
  <c r="O4" i="151"/>
  <c r="P5" i="151"/>
  <c r="P7" i="151"/>
  <c r="P9" i="151"/>
  <c r="P11" i="151"/>
  <c r="N6" i="152"/>
  <c r="P7" i="152"/>
  <c r="N10" i="152"/>
  <c r="P4" i="153"/>
  <c r="N12" i="153"/>
  <c r="N11" i="154"/>
  <c r="P12" i="154"/>
  <c r="P14" i="154"/>
  <c r="P4" i="155"/>
  <c r="N6" i="155"/>
  <c r="N8" i="155"/>
  <c r="Q4" i="156"/>
  <c r="P6" i="156"/>
  <c r="P8" i="156"/>
  <c r="I3" i="157"/>
  <c r="O4" i="157"/>
  <c r="P5" i="157"/>
  <c r="P7" i="157"/>
  <c r="P9" i="157"/>
  <c r="N6" i="158"/>
  <c r="P7" i="158"/>
  <c r="J16" i="159"/>
  <c r="P4" i="159"/>
  <c r="N12" i="159"/>
  <c r="P14" i="133"/>
  <c r="N12" i="134"/>
  <c r="P12" i="135"/>
  <c r="N5" i="137"/>
  <c r="N9" i="137"/>
  <c r="Q4" i="139"/>
  <c r="P5" i="142"/>
  <c r="P6" i="142"/>
  <c r="P7" i="142"/>
  <c r="P8" i="142"/>
  <c r="P9" i="142"/>
  <c r="N11" i="143"/>
  <c r="N12" i="143"/>
  <c r="N5" i="153"/>
  <c r="N6" i="153"/>
  <c r="N7" i="153"/>
  <c r="N8" i="153"/>
  <c r="N9" i="153"/>
  <c r="N10" i="153"/>
  <c r="P12" i="153"/>
  <c r="P14" i="153"/>
  <c r="N4" i="154"/>
  <c r="P10" i="155"/>
  <c r="P13" i="155"/>
  <c r="P14" i="158"/>
  <c r="N4" i="159"/>
  <c r="P11" i="157"/>
  <c r="P11" i="132"/>
  <c r="P11" i="136"/>
  <c r="P11" i="140"/>
  <c r="P11" i="144"/>
  <c r="P11" i="148"/>
  <c r="P11" i="152"/>
  <c r="P11" i="156"/>
  <c r="P11" i="131"/>
  <c r="P11" i="134"/>
  <c r="P11" i="138"/>
  <c r="P11" i="142"/>
  <c r="P11" i="146"/>
  <c r="P11" i="150"/>
  <c r="P11" i="154"/>
  <c r="P11" i="158"/>
  <c r="H3" i="159"/>
  <c r="J13" i="159"/>
  <c r="H16" i="159"/>
  <c r="C18" i="159"/>
  <c r="C20" i="159"/>
  <c r="C22" i="159"/>
  <c r="C23" i="159"/>
  <c r="C24" i="159"/>
  <c r="H24" i="159" s="1"/>
  <c r="D16" i="159"/>
  <c r="E17" i="159"/>
  <c r="E18" i="159"/>
  <c r="E19" i="159"/>
  <c r="E20" i="159"/>
  <c r="E21" i="159"/>
  <c r="E22" i="159"/>
  <c r="E23" i="159"/>
  <c r="H4" i="159"/>
  <c r="H5" i="159"/>
  <c r="H6" i="159"/>
  <c r="H7" i="159"/>
  <c r="H8" i="159"/>
  <c r="H9" i="159"/>
  <c r="H10" i="159"/>
  <c r="H13" i="159"/>
  <c r="E16" i="159"/>
  <c r="H17" i="159"/>
  <c r="H19" i="159"/>
  <c r="H21" i="159"/>
  <c r="C26" i="159"/>
  <c r="H26" i="159" s="1"/>
  <c r="I3" i="159"/>
  <c r="H11" i="159"/>
  <c r="F16" i="159"/>
  <c r="I3" i="158"/>
  <c r="H3" i="158"/>
  <c r="H12" i="158"/>
  <c r="H11" i="158"/>
  <c r="H4" i="157"/>
  <c r="H5" i="157"/>
  <c r="H6" i="157"/>
  <c r="H7" i="157"/>
  <c r="H8" i="157"/>
  <c r="H9" i="157"/>
  <c r="H10" i="157"/>
  <c r="H3" i="157"/>
  <c r="H11" i="157"/>
  <c r="I3" i="156"/>
  <c r="H4" i="156"/>
  <c r="H5" i="156"/>
  <c r="H6" i="156"/>
  <c r="H7" i="156"/>
  <c r="H8" i="156"/>
  <c r="H9" i="156"/>
  <c r="H10" i="156"/>
  <c r="H3" i="156"/>
  <c r="H11" i="156"/>
  <c r="H3" i="155"/>
  <c r="H12" i="155"/>
  <c r="I3" i="155"/>
  <c r="H4" i="155"/>
  <c r="H5" i="155"/>
  <c r="H6" i="155"/>
  <c r="H7" i="155"/>
  <c r="H8" i="155"/>
  <c r="H9" i="155"/>
  <c r="H10" i="155"/>
  <c r="H11" i="155"/>
  <c r="I3" i="154"/>
  <c r="H4" i="154"/>
  <c r="H5" i="154"/>
  <c r="H6" i="154"/>
  <c r="H7" i="154"/>
  <c r="H8" i="154"/>
  <c r="H9" i="154"/>
  <c r="H10" i="154"/>
  <c r="H3" i="154"/>
  <c r="H11" i="154"/>
  <c r="H4" i="153"/>
  <c r="H5" i="153"/>
  <c r="H6" i="153"/>
  <c r="H7" i="153"/>
  <c r="H8" i="153"/>
  <c r="H9" i="153"/>
  <c r="H10" i="153"/>
  <c r="H3" i="153"/>
  <c r="I3" i="153"/>
  <c r="H11" i="153"/>
  <c r="H3" i="152"/>
  <c r="I3" i="152"/>
  <c r="H4" i="152"/>
  <c r="H5" i="152"/>
  <c r="H6" i="152"/>
  <c r="H7" i="152"/>
  <c r="H8" i="152"/>
  <c r="H9" i="152"/>
  <c r="H10" i="152"/>
  <c r="H11" i="152"/>
  <c r="H4" i="151"/>
  <c r="H5" i="151"/>
  <c r="H6" i="151"/>
  <c r="H7" i="151"/>
  <c r="H8" i="151"/>
  <c r="H9" i="151"/>
  <c r="H10" i="151"/>
  <c r="H3" i="151"/>
  <c r="I3" i="151"/>
  <c r="H11" i="151"/>
  <c r="H3" i="150"/>
  <c r="H4" i="150"/>
  <c r="H5" i="150"/>
  <c r="H6" i="150"/>
  <c r="H7" i="150"/>
  <c r="H8" i="150"/>
  <c r="H9" i="150"/>
  <c r="H10" i="150"/>
  <c r="I3" i="150"/>
  <c r="H11" i="150"/>
  <c r="H3" i="149"/>
  <c r="H4" i="149"/>
  <c r="H5" i="149"/>
  <c r="H6" i="149"/>
  <c r="H7" i="149"/>
  <c r="H8" i="149"/>
  <c r="H9" i="149"/>
  <c r="H10" i="149"/>
  <c r="I3" i="149"/>
  <c r="H11" i="149"/>
  <c r="H3" i="148"/>
  <c r="H4" i="148"/>
  <c r="H5" i="148"/>
  <c r="H6" i="148"/>
  <c r="H7" i="148"/>
  <c r="H8" i="148"/>
  <c r="H9" i="148"/>
  <c r="H10" i="148"/>
  <c r="H11" i="148"/>
  <c r="H3" i="147"/>
  <c r="H4" i="147"/>
  <c r="H5" i="147"/>
  <c r="H6" i="147"/>
  <c r="H7" i="147"/>
  <c r="H8" i="147"/>
  <c r="H9" i="147"/>
  <c r="H10" i="147"/>
  <c r="I3" i="147"/>
  <c r="H11" i="147"/>
  <c r="H4" i="146"/>
  <c r="H5" i="146"/>
  <c r="H6" i="146"/>
  <c r="H7" i="146"/>
  <c r="H8" i="146"/>
  <c r="H9" i="146"/>
  <c r="H10" i="146"/>
  <c r="H3" i="146"/>
  <c r="H11" i="146"/>
  <c r="H3" i="145"/>
  <c r="H4" i="145"/>
  <c r="H5" i="145"/>
  <c r="H6" i="145"/>
  <c r="H7" i="145"/>
  <c r="H8" i="145"/>
  <c r="H9" i="145"/>
  <c r="H10" i="145"/>
  <c r="H11" i="145"/>
  <c r="H3" i="144"/>
  <c r="H12" i="144"/>
  <c r="I3" i="144"/>
  <c r="H4" i="144"/>
  <c r="H5" i="144"/>
  <c r="H6" i="144"/>
  <c r="H7" i="144"/>
  <c r="H8" i="144"/>
  <c r="H9" i="144"/>
  <c r="H10" i="144"/>
  <c r="H11" i="144"/>
  <c r="H3" i="143"/>
  <c r="H4" i="143"/>
  <c r="H5" i="143"/>
  <c r="H6" i="143"/>
  <c r="H7" i="143"/>
  <c r="H8" i="143"/>
  <c r="H9" i="143"/>
  <c r="H10" i="143"/>
  <c r="H11" i="143"/>
  <c r="H3" i="142"/>
  <c r="H12" i="142"/>
  <c r="I3" i="142"/>
  <c r="H4" i="142"/>
  <c r="H5" i="142"/>
  <c r="H6" i="142"/>
  <c r="H7" i="142"/>
  <c r="H8" i="142"/>
  <c r="H9" i="142"/>
  <c r="H10" i="142"/>
  <c r="H11" i="142"/>
  <c r="H3" i="141"/>
  <c r="H4" i="141"/>
  <c r="H5" i="141"/>
  <c r="H6" i="141"/>
  <c r="H7" i="141"/>
  <c r="H8" i="141"/>
  <c r="H9" i="141"/>
  <c r="H10" i="141"/>
  <c r="I3" i="141"/>
  <c r="H11" i="141"/>
  <c r="H3" i="140"/>
  <c r="H4" i="140"/>
  <c r="H5" i="140"/>
  <c r="H6" i="140"/>
  <c r="H7" i="140"/>
  <c r="H8" i="140"/>
  <c r="H9" i="140"/>
  <c r="H10" i="140"/>
  <c r="H11" i="140"/>
  <c r="H3" i="139"/>
  <c r="H4" i="139"/>
  <c r="H5" i="139"/>
  <c r="H6" i="139"/>
  <c r="H7" i="139"/>
  <c r="H8" i="139"/>
  <c r="H9" i="139"/>
  <c r="H10" i="139"/>
  <c r="H11" i="139"/>
  <c r="H3" i="138"/>
  <c r="H4" i="138"/>
  <c r="H5" i="138"/>
  <c r="H6" i="138"/>
  <c r="H7" i="138"/>
  <c r="H8" i="138"/>
  <c r="H9" i="138"/>
  <c r="H10" i="138"/>
  <c r="H11" i="138"/>
  <c r="I3" i="137"/>
  <c r="H3" i="137"/>
  <c r="H4" i="137"/>
  <c r="H5" i="137"/>
  <c r="H6" i="137"/>
  <c r="H7" i="137"/>
  <c r="H8" i="137"/>
  <c r="H9" i="137"/>
  <c r="H10" i="137"/>
  <c r="H11" i="137"/>
  <c r="H3" i="136"/>
  <c r="H4" i="136"/>
  <c r="H5" i="136"/>
  <c r="H6" i="136"/>
  <c r="H7" i="136"/>
  <c r="H8" i="136"/>
  <c r="H9" i="136"/>
  <c r="H10" i="136"/>
  <c r="H11" i="136"/>
  <c r="H4" i="135"/>
  <c r="H5" i="135"/>
  <c r="H6" i="135"/>
  <c r="H7" i="135"/>
  <c r="H8" i="135"/>
  <c r="H9" i="135"/>
  <c r="H10" i="135"/>
  <c r="H11" i="135"/>
  <c r="H3" i="134"/>
  <c r="I3" i="134"/>
  <c r="H4" i="134"/>
  <c r="H5" i="134"/>
  <c r="H6" i="134"/>
  <c r="H7" i="134"/>
  <c r="H8" i="134"/>
  <c r="H9" i="134"/>
  <c r="H10" i="134"/>
  <c r="H11" i="134"/>
  <c r="H3" i="133"/>
  <c r="I3" i="133"/>
  <c r="H4" i="133"/>
  <c r="H5" i="133"/>
  <c r="H6" i="133"/>
  <c r="H7" i="133"/>
  <c r="H8" i="133"/>
  <c r="H9" i="133"/>
  <c r="H10" i="133"/>
  <c r="H11" i="133"/>
  <c r="H3" i="132"/>
  <c r="I3" i="132"/>
  <c r="H4" i="132"/>
  <c r="H5" i="132"/>
  <c r="H6" i="132"/>
  <c r="H7" i="132"/>
  <c r="H8" i="132"/>
  <c r="H9" i="132"/>
  <c r="H10" i="132"/>
  <c r="H11" i="132"/>
  <c r="H3" i="131"/>
  <c r="H12" i="131"/>
  <c r="I3" i="131"/>
  <c r="H12" i="13"/>
  <c r="H11" i="13"/>
  <c r="H9" i="13"/>
  <c r="H10" i="13"/>
  <c r="F14" i="136" l="1"/>
  <c r="K14" i="136"/>
  <c r="K27" i="136"/>
  <c r="F27" i="136"/>
  <c r="O14" i="136"/>
  <c r="Q15" i="133"/>
  <c r="Q15" i="132"/>
  <c r="Q15" i="135"/>
  <c r="Q15" i="131"/>
  <c r="Q15" i="134"/>
  <c r="Q15" i="136" l="1"/>
  <c r="K14" i="137"/>
  <c r="F27" i="137"/>
  <c r="F14" i="137"/>
  <c r="K27" i="137"/>
  <c r="O14" i="137"/>
  <c r="Q15" i="137" l="1"/>
  <c r="F14" i="138"/>
  <c r="K14" i="138"/>
  <c r="F27" i="138"/>
  <c r="K27" i="138"/>
  <c r="O14" i="138"/>
  <c r="Q13" i="13"/>
  <c r="Q12" i="13"/>
  <c r="Q11" i="13"/>
  <c r="O11" i="13"/>
  <c r="O12" i="13" s="1"/>
  <c r="Q10" i="13"/>
  <c r="Q9" i="13"/>
  <c r="O9" i="13"/>
  <c r="Q8" i="13"/>
  <c r="O8" i="13"/>
  <c r="Q7" i="13"/>
  <c r="O7" i="13"/>
  <c r="Q6" i="13"/>
  <c r="O6" i="13"/>
  <c r="Q5" i="13"/>
  <c r="O5" i="13"/>
  <c r="K14" i="139" l="1"/>
  <c r="F27" i="139"/>
  <c r="K27" i="139"/>
  <c r="F14" i="139"/>
  <c r="O14" i="139"/>
  <c r="Q15" i="138"/>
  <c r="O14" i="13"/>
  <c r="Q14" i="13"/>
  <c r="Q15" i="139" l="1"/>
  <c r="F27" i="140"/>
  <c r="F14" i="140"/>
  <c r="K14" i="140"/>
  <c r="K27" i="140"/>
  <c r="O14" i="140"/>
  <c r="L1" i="135"/>
  <c r="Q15" i="140" l="1"/>
  <c r="K14" i="141"/>
  <c r="F27" i="141"/>
  <c r="F14" i="141"/>
  <c r="O14" i="141"/>
  <c r="K27" i="141"/>
  <c r="L14" i="159"/>
  <c r="L1" i="134"/>
  <c r="L1" i="132"/>
  <c r="L1" i="131"/>
  <c r="P3" i="1"/>
  <c r="F26" i="1"/>
  <c r="K13" i="1"/>
  <c r="K26" i="1" l="1"/>
  <c r="F27" i="1"/>
  <c r="Q15" i="141"/>
  <c r="O14" i="142"/>
  <c r="K27" i="142"/>
  <c r="F14" i="142"/>
  <c r="K14" i="142"/>
  <c r="F27" i="142"/>
  <c r="L1" i="133"/>
  <c r="K14" i="143" l="1"/>
  <c r="F27" i="143"/>
  <c r="O14" i="143"/>
  <c r="F14" i="143"/>
  <c r="K27" i="143"/>
  <c r="Q15" i="142"/>
  <c r="Q15" i="13"/>
  <c r="Q15" i="143" l="1"/>
  <c r="F27" i="144"/>
  <c r="F14" i="144"/>
  <c r="K27" i="144"/>
  <c r="K14" i="144"/>
  <c r="O14" i="144"/>
  <c r="Q20" i="1"/>
  <c r="Q15" i="144" l="1"/>
  <c r="O14" i="145"/>
  <c r="K14" i="145"/>
  <c r="K27" i="145"/>
  <c r="F14" i="145"/>
  <c r="F27" i="145"/>
  <c r="L1" i="158"/>
  <c r="L1" i="157"/>
  <c r="L1" i="156"/>
  <c r="L1" i="155"/>
  <c r="L1" i="154"/>
  <c r="L1" i="153"/>
  <c r="L1" i="152"/>
  <c r="L1" i="151"/>
  <c r="L1" i="150"/>
  <c r="L1" i="149"/>
  <c r="L1" i="147"/>
  <c r="L1" i="146"/>
  <c r="L1" i="145"/>
  <c r="L1" i="144"/>
  <c r="L1" i="143"/>
  <c r="L1" i="142"/>
  <c r="L1" i="141"/>
  <c r="L1" i="140"/>
  <c r="L1" i="139"/>
  <c r="L1" i="138"/>
  <c r="L1" i="137"/>
  <c r="L1" i="136"/>
  <c r="F27" i="146" l="1"/>
  <c r="K14" i="146"/>
  <c r="K27" i="146"/>
  <c r="F14" i="146"/>
  <c r="O14" i="146"/>
  <c r="Q15" i="145"/>
  <c r="K14" i="1"/>
  <c r="Q15" i="146" l="1"/>
  <c r="K14" i="147"/>
  <c r="K27" i="147"/>
  <c r="O14" i="147"/>
  <c r="F14" i="147"/>
  <c r="F27" i="147"/>
  <c r="P3" i="159"/>
  <c r="P3" i="158"/>
  <c r="P3" i="157"/>
  <c r="P3" i="156"/>
  <c r="P3" i="155"/>
  <c r="P3" i="154"/>
  <c r="P3" i="153"/>
  <c r="P3" i="152"/>
  <c r="P3" i="151"/>
  <c r="P3" i="150"/>
  <c r="P3" i="149"/>
  <c r="P3" i="148"/>
  <c r="P3" i="147"/>
  <c r="P3" i="146"/>
  <c r="P3" i="145"/>
  <c r="P3" i="144"/>
  <c r="P3" i="143"/>
  <c r="P3" i="142"/>
  <c r="P3" i="141"/>
  <c r="P3" i="140"/>
  <c r="P3" i="139"/>
  <c r="P3" i="138"/>
  <c r="P3" i="137"/>
  <c r="P3" i="136"/>
  <c r="P3" i="135"/>
  <c r="P3" i="134"/>
  <c r="P3" i="133"/>
  <c r="P3" i="132"/>
  <c r="P3" i="131"/>
  <c r="Q15" i="147" l="1"/>
  <c r="K27" i="148"/>
  <c r="F27" i="148"/>
  <c r="F14" i="148"/>
  <c r="O14" i="148"/>
  <c r="K14" i="148"/>
  <c r="L1" i="159"/>
  <c r="L1" i="148"/>
  <c r="Q15" i="148" l="1"/>
  <c r="K14" i="149"/>
  <c r="F14" i="149"/>
  <c r="F27" i="149"/>
  <c r="K27" i="149"/>
  <c r="O14" i="149"/>
  <c r="Q9" i="1"/>
  <c r="F27" i="150" l="1"/>
  <c r="O14" i="150"/>
  <c r="K27" i="150"/>
  <c r="F14" i="150"/>
  <c r="K14" i="150"/>
  <c r="Q15" i="149"/>
  <c r="Q19" i="1"/>
  <c r="Q28" i="1" s="1"/>
  <c r="Q13" i="1"/>
  <c r="F13" i="1"/>
  <c r="Q12" i="1"/>
  <c r="Q11" i="1"/>
  <c r="O11" i="1"/>
  <c r="O12" i="1" s="1"/>
  <c r="Q10" i="1"/>
  <c r="O9" i="1"/>
  <c r="Q8" i="1"/>
  <c r="O8" i="1"/>
  <c r="Q7" i="1"/>
  <c r="O7" i="1"/>
  <c r="Q6" i="1"/>
  <c r="O6" i="1"/>
  <c r="Q5" i="1"/>
  <c r="O5" i="1"/>
  <c r="P3" i="13"/>
  <c r="Q15" i="150" l="1"/>
  <c r="O14" i="1"/>
  <c r="F14" i="151"/>
  <c r="F27" i="151"/>
  <c r="K14" i="151"/>
  <c r="K27" i="151"/>
  <c r="O14" i="151"/>
  <c r="L1" i="1"/>
  <c r="L2" i="1" s="1"/>
  <c r="L3" i="1" s="1"/>
  <c r="L1" i="13"/>
  <c r="Q14" i="1"/>
  <c r="F14" i="1"/>
  <c r="K27" i="1"/>
  <c r="K27" i="152" l="1"/>
  <c r="F27" i="152"/>
  <c r="F14" i="152"/>
  <c r="O14" i="152"/>
  <c r="K14" i="152"/>
  <c r="Q15" i="151"/>
  <c r="L2" i="13"/>
  <c r="Q15" i="1"/>
  <c r="Q15" i="152" l="1"/>
  <c r="F14" i="153"/>
  <c r="K27" i="153"/>
  <c r="K14" i="153"/>
  <c r="F27" i="153"/>
  <c r="O14" i="153"/>
  <c r="L3" i="13"/>
  <c r="L2" i="131"/>
  <c r="J1" i="1"/>
  <c r="F1" i="1"/>
  <c r="D1" i="1"/>
  <c r="K14" i="154" l="1"/>
  <c r="F27" i="154"/>
  <c r="F14" i="154"/>
  <c r="O14" i="154"/>
  <c r="K27" i="154"/>
  <c r="Q15" i="153"/>
  <c r="L3" i="131"/>
  <c r="L2" i="132"/>
  <c r="O14" i="155" l="1"/>
  <c r="F14" i="155"/>
  <c r="F27" i="155"/>
  <c r="K14" i="155"/>
  <c r="K27" i="155"/>
  <c r="Q15" i="154"/>
  <c r="L2" i="133"/>
  <c r="L3" i="132"/>
  <c r="K44" i="1"/>
  <c r="I42" i="1"/>
  <c r="I44" i="1" s="1"/>
  <c r="F44" i="1"/>
  <c r="D42" i="1"/>
  <c r="D44" i="1" s="1"/>
  <c r="Q15" i="155" l="1"/>
  <c r="K14" i="156"/>
  <c r="K27" i="156"/>
  <c r="F14" i="156"/>
  <c r="O14" i="156"/>
  <c r="F27" i="156"/>
  <c r="L3" i="133"/>
  <c r="L2" i="134"/>
  <c r="F45" i="1"/>
  <c r="K45" i="1"/>
  <c r="O14" i="157" l="1"/>
  <c r="F14" i="157"/>
  <c r="F27" i="157"/>
  <c r="K14" i="157"/>
  <c r="K27" i="157"/>
  <c r="Q15" i="156"/>
  <c r="L2" i="135"/>
  <c r="L3" i="135" s="1"/>
  <c r="L3" i="134"/>
  <c r="Q15" i="157" l="1"/>
  <c r="F14" i="158"/>
  <c r="O14" i="158"/>
  <c r="K27" i="158"/>
  <c r="K14" i="158"/>
  <c r="F27" i="158"/>
  <c r="L2" i="136"/>
  <c r="L2" i="137" s="1"/>
  <c r="K14" i="159" l="1"/>
  <c r="O14" i="159"/>
  <c r="F14" i="159"/>
  <c r="K27" i="159"/>
  <c r="F27" i="159"/>
  <c r="Q15" i="158"/>
  <c r="L3" i="136"/>
  <c r="L2" i="138"/>
  <c r="L3" i="137"/>
  <c r="Q15" i="159" l="1"/>
  <c r="L2" i="139"/>
  <c r="L3" i="138"/>
  <c r="L2" i="140" l="1"/>
  <c r="L3" i="139"/>
  <c r="L2" i="141" l="1"/>
  <c r="L3" i="140"/>
  <c r="L2" i="142" l="1"/>
  <c r="L3" i="141"/>
  <c r="L2" i="143" l="1"/>
  <c r="L3" i="142"/>
  <c r="L2" i="144" l="1"/>
  <c r="L3" i="143"/>
  <c r="L2" i="145" l="1"/>
  <c r="L3" i="144"/>
  <c r="L2" i="146" l="1"/>
  <c r="L3" i="145"/>
  <c r="L2" i="147" l="1"/>
  <c r="L3" i="146"/>
  <c r="L2" i="148" l="1"/>
  <c r="L3" i="147"/>
  <c r="L2" i="149" l="1"/>
  <c r="L3" i="148"/>
  <c r="L2" i="150" l="1"/>
  <c r="L3" i="149"/>
  <c r="L2" i="151" l="1"/>
  <c r="L3" i="150"/>
  <c r="L2" i="152" l="1"/>
  <c r="L3" i="151"/>
  <c r="L2" i="153" l="1"/>
  <c r="L3" i="152"/>
  <c r="L2" i="154" l="1"/>
  <c r="L3" i="153"/>
  <c r="L2" i="155" l="1"/>
  <c r="L3" i="154"/>
  <c r="L2" i="156" l="1"/>
  <c r="L3" i="155"/>
  <c r="L2" i="157" l="1"/>
  <c r="L3" i="156"/>
  <c r="L2" i="158" l="1"/>
  <c r="L3" i="157"/>
  <c r="L2" i="159" l="1"/>
  <c r="L3" i="159" s="1"/>
  <c r="L3" i="158"/>
</calcChain>
</file>

<file path=xl/sharedStrings.xml><?xml version="1.0" encoding="utf-8"?>
<sst xmlns="http://schemas.openxmlformats.org/spreadsheetml/2006/main" count="863" uniqueCount="67">
  <si>
    <r>
      <rPr>
        <sz val="12"/>
        <rFont val="맑은 고딕"/>
        <family val="2"/>
        <charset val="129"/>
      </rPr>
      <t>일</t>
    </r>
    <phoneticPr fontId="1" type="noConversion"/>
  </si>
  <si>
    <r>
      <rPr>
        <b/>
        <sz val="16"/>
        <color theme="1"/>
        <rFont val="맑은 고딕"/>
        <family val="3"/>
        <charset val="129"/>
      </rPr>
      <t>일일판매현황</t>
    </r>
    <phoneticPr fontId="1" type="noConversion"/>
  </si>
  <si>
    <r>
      <rPr>
        <sz val="11"/>
        <color theme="1"/>
        <rFont val="맑은 고딕"/>
        <family val="2"/>
        <charset val="129"/>
      </rPr>
      <t>ℓ</t>
    </r>
    <phoneticPr fontId="1" type="noConversion"/>
  </si>
  <si>
    <r>
      <rPr>
        <sz val="11"/>
        <color theme="1"/>
        <rFont val="맑은 고딕"/>
        <family val="2"/>
        <charset val="129"/>
      </rPr>
      <t>℃</t>
    </r>
    <phoneticPr fontId="1" type="noConversion"/>
  </si>
  <si>
    <r>
      <rPr>
        <sz val="11"/>
        <color theme="1"/>
        <rFont val="맑은 고딕"/>
        <family val="2"/>
        <charset val="129"/>
      </rPr>
      <t>㎏</t>
    </r>
    <r>
      <rPr>
        <sz val="11"/>
        <color theme="1"/>
        <rFont val="maigun ghodic"/>
        <family val="2"/>
      </rPr>
      <t>/</t>
    </r>
    <r>
      <rPr>
        <sz val="11"/>
        <color theme="1"/>
        <rFont val="맑은 고딕"/>
        <family val="2"/>
        <charset val="129"/>
      </rPr>
      <t>㎠</t>
    </r>
    <phoneticPr fontId="1" type="noConversion"/>
  </si>
  <si>
    <t>09:00~09:00</t>
    <phoneticPr fontId="1" type="noConversion"/>
  </si>
  <si>
    <t>영업시간</t>
    <phoneticPr fontId="1" type="noConversion"/>
  </si>
  <si>
    <t>당월평균</t>
    <phoneticPr fontId="1" type="noConversion"/>
  </si>
  <si>
    <t>당      일</t>
    <phoneticPr fontId="1" type="noConversion"/>
  </si>
  <si>
    <t>계</t>
    <phoneticPr fontId="1" type="noConversion"/>
  </si>
  <si>
    <t>당월누계</t>
    <phoneticPr fontId="1" type="noConversion"/>
  </si>
  <si>
    <t>일</t>
    <phoneticPr fontId="1" type="noConversion"/>
  </si>
  <si>
    <t>일일판매현황</t>
    <phoneticPr fontId="1" type="noConversion"/>
  </si>
  <si>
    <t>제   목</t>
    <phoneticPr fontId="1" type="noConversion"/>
  </si>
  <si>
    <t>수량 및 금액</t>
    <phoneticPr fontId="1" type="noConversion"/>
  </si>
  <si>
    <t>판매량</t>
    <phoneticPr fontId="1" type="noConversion"/>
  </si>
  <si>
    <t>입금액</t>
    <phoneticPr fontId="1" type="noConversion"/>
  </si>
  <si>
    <t>ℓ</t>
    <phoneticPr fontId="1" type="noConversion"/>
  </si>
  <si>
    <t>법인전표</t>
    <phoneticPr fontId="1" type="noConversion"/>
  </si>
  <si>
    <t>고액권</t>
    <phoneticPr fontId="1" type="noConversion"/>
  </si>
  <si>
    <t>℃</t>
    <phoneticPr fontId="1" type="noConversion"/>
  </si>
  <si>
    <t>외상전표</t>
    <phoneticPr fontId="1" type="noConversion"/>
  </si>
  <si>
    <t>천원권</t>
    <phoneticPr fontId="1" type="noConversion"/>
  </si>
  <si>
    <t>㎏/㎠</t>
    <phoneticPr fontId="1" type="noConversion"/>
  </si>
  <si>
    <t>효신(업)</t>
    <phoneticPr fontId="1" type="noConversion"/>
  </si>
  <si>
    <t>동전</t>
    <phoneticPr fontId="1" type="noConversion"/>
  </si>
  <si>
    <t>자가소비</t>
    <phoneticPr fontId="1" type="noConversion"/>
  </si>
  <si>
    <t>신용카드</t>
    <phoneticPr fontId="1" type="noConversion"/>
  </si>
  <si>
    <t>상품권</t>
    <phoneticPr fontId="1" type="noConversion"/>
  </si>
  <si>
    <t>다우리</t>
    <phoneticPr fontId="1" type="noConversion"/>
  </si>
  <si>
    <t>포인트</t>
    <phoneticPr fontId="1" type="noConversion"/>
  </si>
  <si>
    <t>모바일</t>
    <phoneticPr fontId="1" type="noConversion"/>
  </si>
  <si>
    <t>기타</t>
    <phoneticPr fontId="1" type="noConversion"/>
  </si>
  <si>
    <t>합계</t>
    <phoneticPr fontId="1" type="noConversion"/>
  </si>
  <si>
    <t>세차수입</t>
    <phoneticPr fontId="1" type="noConversion"/>
  </si>
  <si>
    <t>대수</t>
    <phoneticPr fontId="1" type="noConversion"/>
  </si>
  <si>
    <t>금액</t>
    <phoneticPr fontId="1" type="noConversion"/>
  </si>
  <si>
    <t>효     신</t>
    <phoneticPr fontId="1" type="noConversion"/>
  </si>
  <si>
    <t>일     반</t>
    <phoneticPr fontId="1" type="noConversion"/>
  </si>
  <si>
    <t>무     료</t>
    <phoneticPr fontId="1" type="noConversion"/>
  </si>
  <si>
    <t>합     계</t>
    <phoneticPr fontId="1" type="noConversion"/>
  </si>
  <si>
    <t>일</t>
    <phoneticPr fontId="1" type="noConversion"/>
  </si>
  <si>
    <t>일일판매현황</t>
    <phoneticPr fontId="1" type="noConversion"/>
  </si>
  <si>
    <t>ℓ</t>
    <phoneticPr fontId="1" type="noConversion"/>
  </si>
  <si>
    <t>℃</t>
    <phoneticPr fontId="1" type="noConversion"/>
  </si>
  <si>
    <t>㎏/㎠</t>
    <phoneticPr fontId="1" type="noConversion"/>
  </si>
  <si>
    <t>-</t>
    <phoneticPr fontId="1" type="noConversion"/>
  </si>
  <si>
    <t>00:00~09:00</t>
    <phoneticPr fontId="1" type="noConversion"/>
  </si>
  <si>
    <t>09:00~09:00</t>
    <phoneticPr fontId="1" type="noConversion"/>
  </si>
  <si>
    <t>고객우대</t>
    <phoneticPr fontId="1" type="noConversion"/>
  </si>
  <si>
    <t>버블</t>
    <phoneticPr fontId="1" type="noConversion"/>
  </si>
  <si>
    <t>전일누계</t>
    <phoneticPr fontId="1" type="noConversion"/>
  </si>
  <si>
    <t>당일누계</t>
    <phoneticPr fontId="1" type="noConversion"/>
  </si>
  <si>
    <t>당일대수</t>
    <phoneticPr fontId="1" type="noConversion"/>
  </si>
  <si>
    <t>09:00~09:00</t>
    <phoneticPr fontId="1" type="noConversion"/>
  </si>
  <si>
    <t>수량 및 금액</t>
    <phoneticPr fontId="1" type="noConversion"/>
  </si>
  <si>
    <t>안     진</t>
    <phoneticPr fontId="1" type="noConversion"/>
  </si>
  <si>
    <t>안     진</t>
    <phoneticPr fontId="1" type="noConversion"/>
  </si>
  <si>
    <t>동     양</t>
    <phoneticPr fontId="1" type="noConversion"/>
  </si>
  <si>
    <t>동     양</t>
    <phoneticPr fontId="1" type="noConversion"/>
  </si>
  <si>
    <t>통     운</t>
    <phoneticPr fontId="1" type="noConversion"/>
  </si>
  <si>
    <t>통     운</t>
    <phoneticPr fontId="1" type="noConversion"/>
  </si>
  <si>
    <t>태     영</t>
    <phoneticPr fontId="1" type="noConversion"/>
  </si>
  <si>
    <t>태     영</t>
    <phoneticPr fontId="1" type="noConversion"/>
  </si>
  <si>
    <t>09:00~09:00</t>
    <phoneticPr fontId="1" type="noConversion"/>
  </si>
  <si>
    <t>09:00~09:02</t>
    <phoneticPr fontId="1" type="noConversion"/>
  </si>
  <si>
    <t>09:00~09:01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</si>
</sst>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2" formatCode="_-&quot;₩&quot;* #,##0_-;\-&quot;₩&quot;* #,##0_-;_-&quot;₩&quot;* &quot;-&quot;_-;_-@_-"/>
    <numFmt numFmtId="41" formatCode="_-* #,##0_-;\-* #,##0_-;_-* &quot;-&quot;_-;_-@_-"/>
    <numFmt numFmtId="176" formatCode="#,##0_ "/>
    <numFmt numFmtId="177" formatCode="#,##0.000_ "/>
    <numFmt numFmtId="178" formatCode="#,##0_);[Red]\(#,##0\)"/>
    <numFmt numFmtId="179" formatCode="#,##0.0_);[Red]\(#,##0.0\)"/>
    <numFmt numFmtId="180" formatCode="#,##0_ ;[Red]\-#,##0\ "/>
    <numFmt numFmtId="181" formatCode="#,##0.0_ "/>
    <numFmt numFmtId="182" formatCode="0.0_);[Red]\(0.0\)"/>
  </numFmts>
  <fonts count="2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name val="maigun ghodic"/>
    </font>
    <font>
      <sz val="12"/>
      <name val="맑은 고딕"/>
      <family val="2"/>
      <charset val="129"/>
    </font>
    <font>
      <sz val="11"/>
      <color theme="1"/>
      <name val="maigun ghodic"/>
      <family val="2"/>
    </font>
    <font>
      <b/>
      <sz val="16"/>
      <color theme="1"/>
      <name val="maigun ghodic"/>
      <family val="2"/>
    </font>
    <font>
      <b/>
      <sz val="16"/>
      <color theme="1"/>
      <name val="맑은 고딕"/>
      <family val="3"/>
      <charset val="129"/>
    </font>
    <font>
      <b/>
      <sz val="11"/>
      <color theme="1"/>
      <name val="maigun ghodic"/>
      <family val="2"/>
    </font>
    <font>
      <sz val="11"/>
      <color theme="1"/>
      <name val="맑은 고딕"/>
      <family val="2"/>
      <charset val="129"/>
    </font>
    <font>
      <sz val="12"/>
      <color theme="1"/>
      <name val="maigun ghodic"/>
    </font>
    <font>
      <sz val="11"/>
      <color theme="1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12"/>
      <name val="맑은 고딕"/>
      <family val="3"/>
      <charset val="129"/>
      <scheme val="minor"/>
    </font>
    <font>
      <sz val="12"/>
      <color rgb="FFFF0000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sz val="11"/>
      <color rgb="FFFF0000"/>
      <name val="maigun ghodic"/>
      <family val="2"/>
    </font>
    <font>
      <sz val="11"/>
      <color rgb="FFFF0000"/>
      <name val="맑은 고딕"/>
      <family val="3"/>
      <charset val="129"/>
      <scheme val="minor"/>
    </font>
    <font>
      <b/>
      <sz val="7"/>
      <color theme="1"/>
      <name val="맑은 고딕"/>
      <family val="3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sz val="11"/>
      <name val="maigun ghodic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46">
    <xf numFmtId="0" fontId="0" fillId="0" borderId="0" xfId="0">
      <alignment vertical="center"/>
    </xf>
    <xf numFmtId="176" fontId="4" fillId="0" borderId="0" xfId="0" applyNumberFormat="1" applyFont="1" applyAlignment="1" applyProtection="1">
      <alignment horizontal="center" vertical="center"/>
      <protection locked="0"/>
    </xf>
    <xf numFmtId="176" fontId="4" fillId="0" borderId="0" xfId="0" applyNumberFormat="1" applyFont="1" applyAlignment="1" applyProtection="1">
      <alignment horizontal="right" vertical="center"/>
      <protection locked="0"/>
    </xf>
    <xf numFmtId="176" fontId="4" fillId="0" borderId="0" xfId="0" applyNumberFormat="1" applyFont="1" applyBorder="1" applyAlignment="1" applyProtection="1">
      <alignment horizontal="center" vertical="center"/>
      <protection locked="0"/>
    </xf>
    <xf numFmtId="178" fontId="4" fillId="0" borderId="0" xfId="0" applyNumberFormat="1" applyFont="1" applyBorder="1" applyAlignment="1" applyProtection="1">
      <alignment horizontal="center" vertical="center"/>
      <protection locked="0"/>
    </xf>
    <xf numFmtId="178" fontId="4" fillId="0" borderId="0" xfId="0" applyNumberFormat="1" applyFont="1" applyBorder="1" applyAlignment="1" applyProtection="1">
      <alignment horizontal="right" vertical="center"/>
      <protection locked="0"/>
    </xf>
    <xf numFmtId="176" fontId="4" fillId="0" borderId="0" xfId="0" applyNumberFormat="1" applyFont="1" applyAlignment="1" applyProtection="1">
      <alignment horizontal="left" vertical="center"/>
      <protection locked="0"/>
    </xf>
    <xf numFmtId="179" fontId="4" fillId="0" borderId="0" xfId="0" applyNumberFormat="1" applyFont="1" applyBorder="1" applyAlignment="1" applyProtection="1">
      <alignment horizontal="right" vertical="center"/>
      <protection locked="0"/>
    </xf>
    <xf numFmtId="176" fontId="9" fillId="0" borderId="0" xfId="0" applyNumberFormat="1" applyFont="1" applyAlignment="1" applyProtection="1">
      <alignment horizontal="center" vertical="center"/>
      <protection locked="0"/>
    </xf>
    <xf numFmtId="176" fontId="2" fillId="0" borderId="0" xfId="0" applyNumberFormat="1" applyFont="1" applyAlignment="1" applyProtection="1">
      <alignment horizontal="left" vertical="center"/>
      <protection locked="0"/>
    </xf>
    <xf numFmtId="176" fontId="4" fillId="0" borderId="0" xfId="0" applyNumberFormat="1" applyFont="1" applyAlignment="1">
      <alignment horizontal="center" vertical="center"/>
    </xf>
    <xf numFmtId="176" fontId="7" fillId="0" borderId="0" xfId="0" applyNumberFormat="1" applyFont="1" applyBorder="1" applyAlignment="1" applyProtection="1">
      <alignment horizontal="center" vertical="center"/>
      <protection locked="0"/>
    </xf>
    <xf numFmtId="176" fontId="4" fillId="0" borderId="0" xfId="0" applyNumberFormat="1" applyFont="1" applyBorder="1" applyAlignment="1" applyProtection="1">
      <alignment horizontal="right" vertical="center"/>
      <protection locked="0"/>
    </xf>
    <xf numFmtId="177" fontId="4" fillId="0" borderId="0" xfId="0" applyNumberFormat="1" applyFont="1" applyBorder="1" applyAlignment="1" applyProtection="1">
      <alignment horizontal="center" vertical="center"/>
      <protection locked="0"/>
    </xf>
    <xf numFmtId="176" fontId="7" fillId="0" borderId="0" xfId="0" applyNumberFormat="1" applyFont="1" applyBorder="1" applyAlignment="1">
      <alignment horizontal="center" vertical="center"/>
    </xf>
    <xf numFmtId="176" fontId="4" fillId="0" borderId="0" xfId="0" applyNumberFormat="1" applyFont="1" applyBorder="1" applyAlignment="1">
      <alignment horizontal="center" vertical="center"/>
    </xf>
    <xf numFmtId="176" fontId="4" fillId="0" borderId="0" xfId="0" applyNumberFormat="1" applyFont="1" applyBorder="1" applyAlignment="1">
      <alignment horizontal="right" vertical="center"/>
    </xf>
    <xf numFmtId="176" fontId="4" fillId="0" borderId="0" xfId="0" applyNumberFormat="1" applyFont="1" applyAlignment="1">
      <alignment horizontal="right" vertical="center"/>
    </xf>
    <xf numFmtId="176" fontId="10" fillId="0" borderId="0" xfId="0" applyNumberFormat="1" applyFont="1" applyAlignment="1" applyProtection="1">
      <alignment horizontal="center" vertical="center"/>
      <protection locked="0"/>
    </xf>
    <xf numFmtId="176" fontId="10" fillId="0" borderId="0" xfId="0" applyNumberFormat="1" applyFont="1" applyAlignment="1" applyProtection="1">
      <alignment horizontal="left" vertical="center"/>
      <protection locked="0"/>
    </xf>
    <xf numFmtId="0" fontId="4" fillId="0" borderId="0" xfId="0" applyNumberFormat="1" applyFont="1" applyBorder="1" applyAlignment="1" applyProtection="1">
      <alignment horizontal="center" vertical="center"/>
      <protection locked="0"/>
    </xf>
    <xf numFmtId="182" fontId="4" fillId="0" borderId="0" xfId="0" applyNumberFormat="1" applyFont="1" applyAlignment="1" applyProtection="1">
      <alignment horizontal="right" vertical="center"/>
    </xf>
    <xf numFmtId="181" fontId="4" fillId="0" borderId="0" xfId="0" applyNumberFormat="1" applyFont="1" applyAlignment="1" applyProtection="1">
      <alignment horizontal="right" vertical="center"/>
    </xf>
    <xf numFmtId="0" fontId="12" fillId="0" borderId="0" xfId="0" applyNumberFormat="1" applyFont="1" applyAlignment="1" applyProtection="1">
      <alignment horizontal="center" vertical="center"/>
      <protection locked="0"/>
    </xf>
    <xf numFmtId="176" fontId="13" fillId="0" borderId="0" xfId="0" applyNumberFormat="1" applyFont="1" applyAlignment="1" applyProtection="1">
      <alignment horizontal="left" vertical="center"/>
      <protection hidden="1"/>
    </xf>
    <xf numFmtId="176" fontId="12" fillId="0" borderId="0" xfId="0" applyNumberFormat="1" applyFont="1" applyAlignment="1" applyProtection="1">
      <alignment horizontal="center" vertical="center"/>
      <protection locked="0"/>
    </xf>
    <xf numFmtId="176" fontId="12" fillId="0" borderId="0" xfId="0" applyNumberFormat="1" applyFont="1" applyAlignment="1" applyProtection="1">
      <alignment horizontal="left" vertical="center"/>
      <protection hidden="1"/>
    </xf>
    <xf numFmtId="176" fontId="11" fillId="0" borderId="0" xfId="0" applyNumberFormat="1" applyFont="1" applyAlignment="1" applyProtection="1">
      <alignment horizontal="center" vertical="center"/>
      <protection locked="0"/>
    </xf>
    <xf numFmtId="181" fontId="11" fillId="0" borderId="0" xfId="0" applyNumberFormat="1" applyFont="1" applyAlignment="1" applyProtection="1">
      <alignment horizontal="right" vertical="center"/>
    </xf>
    <xf numFmtId="176" fontId="15" fillId="0" borderId="3" xfId="0" applyNumberFormat="1" applyFont="1" applyBorder="1" applyAlignment="1" applyProtection="1">
      <alignment horizontal="center" vertical="center"/>
      <protection locked="0"/>
    </xf>
    <xf numFmtId="176" fontId="15" fillId="0" borderId="12" xfId="0" applyNumberFormat="1" applyFont="1" applyBorder="1" applyAlignment="1" applyProtection="1">
      <alignment horizontal="center" vertical="center"/>
      <protection locked="0"/>
    </xf>
    <xf numFmtId="182" fontId="11" fillId="0" borderId="0" xfId="0" applyNumberFormat="1" applyFont="1" applyAlignment="1" applyProtection="1">
      <alignment horizontal="right" vertical="center"/>
    </xf>
    <xf numFmtId="176" fontId="11" fillId="0" borderId="0" xfId="0" applyNumberFormat="1" applyFont="1" applyBorder="1" applyAlignment="1" applyProtection="1">
      <alignment horizontal="center" vertical="center"/>
      <protection locked="0"/>
    </xf>
    <xf numFmtId="178" fontId="11" fillId="0" borderId="0" xfId="0" applyNumberFormat="1" applyFont="1" applyBorder="1" applyAlignment="1" applyProtection="1">
      <alignment horizontal="center" vertical="center"/>
      <protection locked="0"/>
    </xf>
    <xf numFmtId="176" fontId="15" fillId="0" borderId="10" xfId="0" applyNumberFormat="1" applyFont="1" applyBorder="1" applyAlignment="1" applyProtection="1">
      <alignment horizontal="center" vertical="center"/>
      <protection locked="0"/>
    </xf>
    <xf numFmtId="177" fontId="11" fillId="0" borderId="6" xfId="0" applyNumberFormat="1" applyFont="1" applyBorder="1" applyAlignment="1" applyProtection="1">
      <alignment horizontal="right" vertical="center"/>
      <protection locked="0"/>
    </xf>
    <xf numFmtId="176" fontId="11" fillId="0" borderId="7" xfId="0" applyNumberFormat="1" applyFont="1" applyBorder="1" applyAlignment="1" applyProtection="1">
      <alignment horizontal="right" vertical="center"/>
      <protection locked="0"/>
    </xf>
    <xf numFmtId="176" fontId="11" fillId="0" borderId="0" xfId="0" applyNumberFormat="1" applyFont="1" applyAlignment="1" applyProtection="1">
      <alignment horizontal="right" vertical="center"/>
      <protection locked="0"/>
    </xf>
    <xf numFmtId="0" fontId="11" fillId="0" borderId="0" xfId="0" applyNumberFormat="1" applyFont="1" applyBorder="1" applyAlignment="1" applyProtection="1">
      <alignment horizontal="left" vertical="center"/>
      <protection locked="0"/>
    </xf>
    <xf numFmtId="176" fontId="15" fillId="0" borderId="3" xfId="0" applyNumberFormat="1" applyFont="1" applyBorder="1" applyAlignment="1" applyProtection="1">
      <alignment horizontal="center" vertical="center"/>
    </xf>
    <xf numFmtId="178" fontId="11" fillId="0" borderId="0" xfId="0" applyNumberFormat="1" applyFont="1" applyBorder="1" applyAlignment="1" applyProtection="1">
      <alignment horizontal="right" vertical="center"/>
      <protection locked="0"/>
    </xf>
    <xf numFmtId="176" fontId="11" fillId="0" borderId="0" xfId="0" applyNumberFormat="1" applyFont="1" applyAlignment="1" applyProtection="1">
      <alignment horizontal="left" vertical="center"/>
      <protection locked="0"/>
    </xf>
    <xf numFmtId="176" fontId="15" fillId="0" borderId="11" xfId="0" applyNumberFormat="1" applyFont="1" applyBorder="1" applyAlignment="1" applyProtection="1">
      <alignment horizontal="center" vertical="center"/>
      <protection locked="0"/>
    </xf>
    <xf numFmtId="176" fontId="11" fillId="0" borderId="1" xfId="0" applyNumberFormat="1" applyFont="1" applyBorder="1" applyAlignment="1" applyProtection="1">
      <alignment horizontal="right" vertical="center"/>
      <protection locked="0"/>
    </xf>
    <xf numFmtId="176" fontId="11" fillId="0" borderId="5" xfId="0" applyNumberFormat="1" applyFont="1" applyBorder="1" applyAlignment="1" applyProtection="1">
      <alignment horizontal="right" vertical="center"/>
      <protection locked="0"/>
    </xf>
    <xf numFmtId="176" fontId="15" fillId="0" borderId="13" xfId="0" applyNumberFormat="1" applyFont="1" applyBorder="1" applyAlignment="1" applyProtection="1">
      <alignment horizontal="center" vertical="center"/>
    </xf>
    <xf numFmtId="177" fontId="11" fillId="0" borderId="6" xfId="0" applyNumberFormat="1" applyFont="1" applyBorder="1" applyAlignment="1" applyProtection="1">
      <alignment horizontal="right" vertical="center"/>
    </xf>
    <xf numFmtId="176" fontId="15" fillId="0" borderId="10" xfId="0" applyNumberFormat="1" applyFont="1" applyBorder="1" applyAlignment="1" applyProtection="1">
      <alignment horizontal="center" vertical="center"/>
    </xf>
    <xf numFmtId="176" fontId="11" fillId="0" borderId="7" xfId="0" applyNumberFormat="1" applyFont="1" applyBorder="1" applyAlignment="1" applyProtection="1">
      <alignment horizontal="right" vertical="center"/>
    </xf>
    <xf numFmtId="179" fontId="11" fillId="0" borderId="0" xfId="0" applyNumberFormat="1" applyFont="1" applyBorder="1" applyAlignment="1" applyProtection="1">
      <alignment horizontal="right" vertical="center"/>
      <protection locked="0"/>
    </xf>
    <xf numFmtId="177" fontId="11" fillId="0" borderId="1" xfId="0" applyNumberFormat="1" applyFont="1" applyBorder="1" applyAlignment="1" applyProtection="1">
      <alignment horizontal="right" vertical="center"/>
      <protection locked="0"/>
    </xf>
    <xf numFmtId="176" fontId="15" fillId="0" borderId="11" xfId="0" applyNumberFormat="1" applyFont="1" applyBorder="1" applyAlignment="1" applyProtection="1">
      <alignment horizontal="center" vertical="center"/>
    </xf>
    <xf numFmtId="176" fontId="11" fillId="0" borderId="1" xfId="0" applyNumberFormat="1" applyFont="1" applyBorder="1" applyAlignment="1" applyProtection="1">
      <alignment horizontal="right" vertical="center"/>
    </xf>
    <xf numFmtId="176" fontId="11" fillId="0" borderId="5" xfId="0" applyNumberFormat="1" applyFont="1" applyBorder="1" applyAlignment="1" applyProtection="1">
      <alignment horizontal="right" vertical="center"/>
    </xf>
    <xf numFmtId="177" fontId="11" fillId="0" borderId="1" xfId="0" applyNumberFormat="1" applyFont="1" applyBorder="1" applyAlignment="1" applyProtection="1">
      <alignment horizontal="right" vertical="center"/>
    </xf>
    <xf numFmtId="176" fontId="11" fillId="0" borderId="1" xfId="0" applyNumberFormat="1" applyFont="1" applyBorder="1" applyAlignment="1" applyProtection="1">
      <alignment horizontal="right" vertical="center"/>
      <protection hidden="1"/>
    </xf>
    <xf numFmtId="176" fontId="15" fillId="0" borderId="14" xfId="0" applyNumberFormat="1" applyFont="1" applyBorder="1" applyAlignment="1" applyProtection="1">
      <alignment horizontal="center" vertical="center"/>
      <protection locked="0"/>
    </xf>
    <xf numFmtId="176" fontId="11" fillId="0" borderId="15" xfId="0" applyNumberFormat="1" applyFont="1" applyBorder="1" applyAlignment="1" applyProtection="1">
      <alignment horizontal="right" vertical="center"/>
      <protection locked="0"/>
    </xf>
    <xf numFmtId="176" fontId="11" fillId="0" borderId="16" xfId="0" applyNumberFormat="1" applyFont="1" applyBorder="1" applyAlignment="1" applyProtection="1">
      <alignment horizontal="right" vertical="center"/>
      <protection locked="0"/>
    </xf>
    <xf numFmtId="176" fontId="15" fillId="0" borderId="3" xfId="0" applyNumberFormat="1" applyFont="1" applyBorder="1" applyAlignment="1" applyProtection="1">
      <alignment horizontal="center" vertical="center"/>
      <protection hidden="1"/>
    </xf>
    <xf numFmtId="176" fontId="11" fillId="0" borderId="8" xfId="0" applyNumberFormat="1" applyFont="1" applyBorder="1" applyAlignment="1" applyProtection="1">
      <alignment horizontal="right" vertical="center"/>
      <protection hidden="1"/>
    </xf>
    <xf numFmtId="176" fontId="11" fillId="0" borderId="9" xfId="0" applyNumberFormat="1" applyFont="1" applyBorder="1" applyAlignment="1" applyProtection="1">
      <alignment horizontal="right" vertical="center"/>
      <protection hidden="1"/>
    </xf>
    <xf numFmtId="176" fontId="11" fillId="0" borderId="0" xfId="0" applyNumberFormat="1" applyFont="1" applyAlignment="1" applyProtection="1">
      <alignment horizontal="center" vertical="center"/>
      <protection hidden="1"/>
    </xf>
    <xf numFmtId="176" fontId="15" fillId="0" borderId="14" xfId="0" applyNumberFormat="1" applyFont="1" applyBorder="1" applyAlignment="1" applyProtection="1">
      <alignment horizontal="center" vertical="center"/>
    </xf>
    <xf numFmtId="176" fontId="11" fillId="0" borderId="15" xfId="0" applyNumberFormat="1" applyFont="1" applyBorder="1" applyAlignment="1" applyProtection="1">
      <alignment horizontal="right" vertical="center"/>
    </xf>
    <xf numFmtId="176" fontId="11" fillId="0" borderId="16" xfId="0" applyNumberFormat="1" applyFont="1" applyBorder="1" applyAlignment="1" applyProtection="1">
      <alignment horizontal="right" vertical="center"/>
    </xf>
    <xf numFmtId="176" fontId="16" fillId="0" borderId="0" xfId="0" applyNumberFormat="1" applyFont="1" applyAlignment="1" applyProtection="1">
      <alignment horizontal="center" vertical="center"/>
      <protection locked="0"/>
    </xf>
    <xf numFmtId="180" fontId="11" fillId="0" borderId="0" xfId="0" applyNumberFormat="1" applyFont="1" applyAlignment="1" applyProtection="1">
      <alignment horizontal="right" vertical="center"/>
      <protection locked="0"/>
    </xf>
    <xf numFmtId="176" fontId="11" fillId="0" borderId="8" xfId="0" applyNumberFormat="1" applyFont="1" applyBorder="1" applyAlignment="1" applyProtection="1">
      <alignment horizontal="right" vertical="center"/>
    </xf>
    <xf numFmtId="176" fontId="11" fillId="0" borderId="9" xfId="0" applyNumberFormat="1" applyFont="1" applyBorder="1" applyAlignment="1" applyProtection="1">
      <alignment horizontal="right" vertical="center"/>
    </xf>
    <xf numFmtId="180" fontId="11" fillId="0" borderId="6" xfId="0" applyNumberFormat="1" applyFont="1" applyBorder="1" applyAlignment="1" applyProtection="1">
      <alignment horizontal="right" vertical="center"/>
      <protection locked="0"/>
    </xf>
    <xf numFmtId="176" fontId="15" fillId="0" borderId="9" xfId="0" applyNumberFormat="1" applyFont="1" applyBorder="1" applyAlignment="1" applyProtection="1">
      <alignment horizontal="center" vertical="center"/>
      <protection locked="0"/>
    </xf>
    <xf numFmtId="176" fontId="11" fillId="0" borderId="4" xfId="0" applyNumberFormat="1" applyFont="1" applyBorder="1" applyAlignment="1" applyProtection="1">
      <alignment horizontal="center" vertical="center"/>
      <protection locked="0"/>
    </xf>
    <xf numFmtId="176" fontId="11" fillId="0" borderId="16" xfId="0" applyNumberFormat="1" applyFont="1" applyBorder="1" applyAlignment="1" applyProtection="1">
      <alignment horizontal="center" vertical="center"/>
    </xf>
    <xf numFmtId="176" fontId="11" fillId="0" borderId="6" xfId="0" applyNumberFormat="1" applyFont="1" applyBorder="1" applyAlignment="1" applyProtection="1">
      <alignment horizontal="center" vertical="center"/>
      <protection locked="0"/>
    </xf>
    <xf numFmtId="176" fontId="11" fillId="0" borderId="1" xfId="0" applyNumberFormat="1" applyFont="1" applyBorder="1" applyAlignment="1" applyProtection="1">
      <alignment horizontal="center" vertical="center"/>
      <protection locked="0"/>
    </xf>
    <xf numFmtId="177" fontId="11" fillId="0" borderId="1" xfId="0" applyNumberFormat="1" applyFont="1" applyBorder="1" applyAlignment="1" applyProtection="1">
      <alignment horizontal="center" vertical="center"/>
      <protection locked="0"/>
    </xf>
    <xf numFmtId="176" fontId="11" fillId="0" borderId="1" xfId="0" applyNumberFormat="1" applyFont="1" applyBorder="1" applyAlignment="1" applyProtection="1">
      <alignment horizontal="center" vertical="center"/>
      <protection hidden="1"/>
    </xf>
    <xf numFmtId="176" fontId="11" fillId="0" borderId="15" xfId="0" applyNumberFormat="1" applyFont="1" applyBorder="1" applyAlignment="1" applyProtection="1">
      <alignment horizontal="center" vertical="center"/>
      <protection locked="0"/>
    </xf>
    <xf numFmtId="176" fontId="11" fillId="0" borderId="8" xfId="0" applyNumberFormat="1" applyFont="1" applyBorder="1" applyAlignment="1" applyProtection="1">
      <alignment horizontal="center" vertical="center"/>
      <protection hidden="1"/>
    </xf>
    <xf numFmtId="176" fontId="12" fillId="0" borderId="0" xfId="0" applyNumberFormat="1" applyFont="1" applyAlignment="1" applyProtection="1">
      <alignment horizontal="left" vertical="center"/>
      <protection locked="0"/>
    </xf>
    <xf numFmtId="176" fontId="11" fillId="0" borderId="0" xfId="0" applyNumberFormat="1" applyFont="1" applyAlignment="1">
      <alignment horizontal="center" vertical="center"/>
    </xf>
    <xf numFmtId="0" fontId="11" fillId="0" borderId="0" xfId="0" applyNumberFormat="1" applyFont="1" applyBorder="1" applyAlignment="1" applyProtection="1">
      <alignment horizontal="center" vertical="center"/>
      <protection locked="0"/>
    </xf>
    <xf numFmtId="176" fontId="15" fillId="0" borderId="13" xfId="0" applyNumberFormat="1" applyFont="1" applyBorder="1" applyAlignment="1" applyProtection="1">
      <alignment horizontal="center" vertical="center"/>
      <protection locked="0"/>
    </xf>
    <xf numFmtId="176" fontId="15" fillId="0" borderId="21" xfId="0" applyNumberFormat="1" applyFont="1" applyBorder="1" applyAlignment="1" applyProtection="1">
      <alignment horizontal="center" vertical="center"/>
      <protection locked="0"/>
    </xf>
    <xf numFmtId="176" fontId="15" fillId="0" borderId="0" xfId="0" applyNumberFormat="1" applyFont="1" applyBorder="1" applyAlignment="1" applyProtection="1">
      <alignment horizontal="center" vertical="center"/>
      <protection locked="0"/>
    </xf>
    <xf numFmtId="176" fontId="11" fillId="0" borderId="0" xfId="0" applyNumberFormat="1" applyFont="1" applyBorder="1" applyAlignment="1" applyProtection="1">
      <alignment horizontal="right" vertical="center"/>
      <protection locked="0"/>
    </xf>
    <xf numFmtId="177" fontId="11" fillId="0" borderId="0" xfId="0" applyNumberFormat="1" applyFont="1" applyBorder="1" applyAlignment="1" applyProtection="1">
      <alignment horizontal="center" vertical="center"/>
      <protection locked="0"/>
    </xf>
    <xf numFmtId="176" fontId="15" fillId="0" borderId="0" xfId="0" applyNumberFormat="1" applyFont="1" applyBorder="1" applyAlignment="1">
      <alignment horizontal="center" vertical="center"/>
    </xf>
    <xf numFmtId="176" fontId="11" fillId="0" borderId="0" xfId="0" applyNumberFormat="1" applyFont="1" applyBorder="1" applyAlignment="1">
      <alignment horizontal="center" vertical="center"/>
    </xf>
    <xf numFmtId="176" fontId="11" fillId="0" borderId="0" xfId="0" applyNumberFormat="1" applyFont="1" applyBorder="1" applyAlignment="1">
      <alignment horizontal="right" vertical="center"/>
    </xf>
    <xf numFmtId="176" fontId="11" fillId="0" borderId="0" xfId="0" applyNumberFormat="1" applyFont="1" applyAlignment="1">
      <alignment horizontal="right" vertical="center"/>
    </xf>
    <xf numFmtId="41" fontId="15" fillId="0" borderId="3" xfId="0" applyNumberFormat="1" applyFont="1" applyBorder="1" applyAlignment="1" applyProtection="1">
      <alignment horizontal="center" vertical="center"/>
      <protection locked="0"/>
    </xf>
    <xf numFmtId="41" fontId="15" fillId="0" borderId="10" xfId="0" applyNumberFormat="1" applyFont="1" applyBorder="1" applyAlignment="1" applyProtection="1">
      <alignment horizontal="center" vertical="center"/>
      <protection locked="0"/>
    </xf>
    <xf numFmtId="41" fontId="15" fillId="0" borderId="11" xfId="0" applyNumberFormat="1" applyFont="1" applyBorder="1" applyAlignment="1" applyProtection="1">
      <alignment horizontal="center" vertical="center"/>
      <protection locked="0"/>
    </xf>
    <xf numFmtId="41" fontId="15" fillId="0" borderId="14" xfId="0" applyNumberFormat="1" applyFont="1" applyBorder="1" applyAlignment="1" applyProtection="1">
      <alignment horizontal="center" vertical="center"/>
      <protection locked="0"/>
    </xf>
    <xf numFmtId="42" fontId="15" fillId="0" borderId="3" xfId="0" applyNumberFormat="1" applyFont="1" applyBorder="1" applyAlignment="1" applyProtection="1">
      <alignment horizontal="center" vertical="center"/>
      <protection locked="0"/>
    </xf>
    <xf numFmtId="176" fontId="17" fillId="0" borderId="0" xfId="0" applyNumberFormat="1" applyFont="1" applyAlignment="1" applyProtection="1">
      <alignment horizontal="center" vertical="center"/>
      <protection locked="0"/>
    </xf>
    <xf numFmtId="176" fontId="17" fillId="0" borderId="0" xfId="0" applyNumberFormat="1" applyFont="1" applyAlignment="1" applyProtection="1">
      <alignment horizontal="left" vertical="center"/>
      <protection locked="0"/>
    </xf>
    <xf numFmtId="176" fontId="18" fillId="0" borderId="0" xfId="0" applyNumberFormat="1" applyFont="1" applyAlignment="1" applyProtection="1">
      <alignment horizontal="center" vertical="center"/>
      <protection locked="0"/>
    </xf>
    <xf numFmtId="176" fontId="10" fillId="0" borderId="22" xfId="0" applyNumberFormat="1" applyFont="1" applyBorder="1" applyAlignment="1" applyProtection="1">
      <alignment horizontal="center" vertical="center"/>
      <protection locked="0"/>
    </xf>
    <xf numFmtId="176" fontId="10" fillId="0" borderId="23" xfId="0" applyNumberFormat="1" applyFont="1" applyBorder="1" applyAlignment="1" applyProtection="1">
      <alignment horizontal="center" vertical="center"/>
      <protection locked="0"/>
    </xf>
    <xf numFmtId="176" fontId="10" fillId="0" borderId="24" xfId="0" applyNumberFormat="1" applyFont="1" applyBorder="1" applyAlignment="1" applyProtection="1">
      <alignment horizontal="center" vertical="center"/>
      <protection locked="0"/>
    </xf>
    <xf numFmtId="176" fontId="4" fillId="0" borderId="24" xfId="0" applyNumberFormat="1" applyFont="1" applyBorder="1" applyAlignment="1" applyProtection="1">
      <alignment horizontal="center" vertical="center"/>
      <protection locked="0"/>
    </xf>
    <xf numFmtId="176" fontId="4" fillId="0" borderId="25" xfId="0" applyNumberFormat="1" applyFont="1" applyBorder="1" applyAlignment="1" applyProtection="1">
      <alignment horizontal="center" vertical="center"/>
      <protection locked="0"/>
    </xf>
    <xf numFmtId="176" fontId="19" fillId="0" borderId="11" xfId="0" applyNumberFormat="1" applyFont="1" applyBorder="1" applyAlignment="1" applyProtection="1">
      <alignment horizontal="center" vertical="center"/>
      <protection locked="0"/>
    </xf>
    <xf numFmtId="176" fontId="19" fillId="0" borderId="11" xfId="0" applyNumberFormat="1" applyFont="1" applyBorder="1" applyAlignment="1" applyProtection="1">
      <alignment horizontal="center" vertical="center"/>
    </xf>
    <xf numFmtId="176" fontId="21" fillId="0" borderId="5" xfId="0" applyNumberFormat="1" applyFont="1" applyBorder="1" applyAlignment="1" applyProtection="1">
      <alignment horizontal="right" vertical="center"/>
      <protection locked="0"/>
    </xf>
    <xf numFmtId="176" fontId="21" fillId="0" borderId="0" xfId="0" applyNumberFormat="1" applyFont="1" applyAlignment="1" applyProtection="1">
      <alignment horizontal="center" vertical="center"/>
      <protection locked="0"/>
    </xf>
    <xf numFmtId="41" fontId="20" fillId="0" borderId="11" xfId="0" applyNumberFormat="1" applyFont="1" applyBorder="1" applyAlignment="1" applyProtection="1">
      <alignment horizontal="center" vertical="center"/>
      <protection locked="0"/>
    </xf>
    <xf numFmtId="177" fontId="21" fillId="0" borderId="1" xfId="0" applyNumberFormat="1" applyFont="1" applyBorder="1" applyAlignment="1" applyProtection="1">
      <alignment horizontal="right" vertical="center"/>
      <protection locked="0"/>
    </xf>
    <xf numFmtId="176" fontId="10" fillId="0" borderId="26" xfId="0" applyNumberFormat="1" applyFont="1" applyBorder="1" applyAlignment="1" applyProtection="1">
      <alignment horizontal="center" vertical="center"/>
      <protection locked="0"/>
    </xf>
    <xf numFmtId="176" fontId="10" fillId="0" borderId="27" xfId="0" applyNumberFormat="1" applyFont="1" applyBorder="1" applyAlignment="1" applyProtection="1">
      <alignment horizontal="center" vertical="center"/>
      <protection locked="0"/>
    </xf>
    <xf numFmtId="176" fontId="11" fillId="0" borderId="28" xfId="0" applyNumberFormat="1" applyFont="1" applyBorder="1" applyAlignment="1" applyProtection="1">
      <alignment horizontal="center" vertical="center"/>
      <protection locked="0"/>
    </xf>
    <xf numFmtId="176" fontId="4" fillId="0" borderId="28" xfId="0" applyNumberFormat="1" applyFont="1" applyBorder="1" applyAlignment="1">
      <alignment horizontal="center" vertical="center"/>
    </xf>
    <xf numFmtId="176" fontId="11" fillId="0" borderId="28" xfId="0" applyNumberFormat="1" applyFont="1" applyBorder="1" applyAlignment="1">
      <alignment horizontal="center" vertical="center"/>
    </xf>
    <xf numFmtId="176" fontId="15" fillId="0" borderId="29" xfId="0" applyNumberFormat="1" applyFont="1" applyBorder="1" applyAlignment="1" applyProtection="1">
      <alignment horizontal="center" vertical="center"/>
      <protection locked="0"/>
    </xf>
    <xf numFmtId="176" fontId="11" fillId="0" borderId="30" xfId="0" applyNumberFormat="1" applyFont="1" applyBorder="1" applyAlignment="1" applyProtection="1">
      <alignment horizontal="center" vertical="center"/>
      <protection locked="0"/>
    </xf>
    <xf numFmtId="176" fontId="11" fillId="0" borderId="31" xfId="0" applyNumberFormat="1" applyFont="1" applyBorder="1" applyAlignment="1" applyProtection="1">
      <alignment horizontal="center" vertical="center"/>
      <protection locked="0"/>
    </xf>
    <xf numFmtId="176" fontId="11" fillId="0" borderId="32" xfId="0" applyNumberFormat="1" applyFont="1" applyBorder="1" applyAlignment="1" applyProtection="1">
      <alignment horizontal="center" vertical="center"/>
    </xf>
    <xf numFmtId="176" fontId="11" fillId="0" borderId="29" xfId="0" applyNumberFormat="1" applyFont="1" applyBorder="1" applyAlignment="1" applyProtection="1">
      <alignment horizontal="center" vertical="center"/>
      <protection locked="0"/>
    </xf>
    <xf numFmtId="176" fontId="4" fillId="0" borderId="31" xfId="0" applyNumberFormat="1" applyFont="1" applyBorder="1" applyAlignment="1">
      <alignment horizontal="center" vertical="center"/>
    </xf>
    <xf numFmtId="176" fontId="11" fillId="0" borderId="31" xfId="0" applyNumberFormat="1" applyFont="1" applyBorder="1" applyAlignment="1">
      <alignment horizontal="center" vertical="center"/>
    </xf>
    <xf numFmtId="176" fontId="4" fillId="0" borderId="4" xfId="0" applyNumberFormat="1" applyFont="1" applyBorder="1" applyAlignment="1">
      <alignment horizontal="center" vertical="center"/>
    </xf>
    <xf numFmtId="176" fontId="11" fillId="0" borderId="4" xfId="0" applyNumberFormat="1" applyFont="1" applyBorder="1" applyAlignment="1">
      <alignment horizontal="center" vertical="center"/>
    </xf>
    <xf numFmtId="176" fontId="11" fillId="0" borderId="5" xfId="0" applyNumberFormat="1" applyFont="1" applyBorder="1" applyAlignment="1" applyProtection="1">
      <alignment horizontal="center" vertical="center"/>
      <protection locked="0"/>
    </xf>
    <xf numFmtId="176" fontId="4" fillId="0" borderId="5" xfId="0" applyNumberFormat="1" applyFont="1" applyBorder="1" applyAlignment="1">
      <alignment horizontal="center" vertical="center"/>
    </xf>
    <xf numFmtId="176" fontId="11" fillId="0" borderId="5" xfId="0" applyNumberFormat="1" applyFont="1" applyBorder="1" applyAlignment="1">
      <alignment horizontal="center" vertical="center"/>
    </xf>
    <xf numFmtId="176" fontId="22" fillId="0" borderId="0" xfId="0" applyNumberFormat="1" applyFont="1" applyAlignment="1" applyProtection="1">
      <alignment horizontal="center" vertical="center"/>
      <protection locked="0"/>
    </xf>
    <xf numFmtId="176" fontId="15" fillId="0" borderId="12" xfId="0" applyNumberFormat="1" applyFont="1" applyBorder="1" applyAlignment="1" applyProtection="1">
      <alignment horizontal="center" vertical="center"/>
      <protection locked="0"/>
    </xf>
    <xf numFmtId="176" fontId="15" fillId="0" borderId="19" xfId="0" applyNumberFormat="1" applyFont="1" applyBorder="1" applyAlignment="1" applyProtection="1">
      <alignment horizontal="center" vertical="center"/>
      <protection locked="0"/>
    </xf>
    <xf numFmtId="0" fontId="11" fillId="0" borderId="12" xfId="0" applyFont="1" applyBorder="1" applyAlignment="1">
      <alignment horizontal="center" vertical="center"/>
    </xf>
    <xf numFmtId="176" fontId="15" fillId="0" borderId="2" xfId="0" applyNumberFormat="1" applyFont="1" applyBorder="1" applyAlignment="1" applyProtection="1">
      <alignment horizontal="right" vertical="center"/>
      <protection hidden="1"/>
    </xf>
    <xf numFmtId="176" fontId="14" fillId="0" borderId="0" xfId="0" applyNumberFormat="1" applyFont="1" applyAlignment="1" applyProtection="1">
      <alignment horizontal="center" vertical="center"/>
      <protection locked="0"/>
    </xf>
    <xf numFmtId="176" fontId="15" fillId="0" borderId="20" xfId="0" applyNumberFormat="1" applyFont="1" applyBorder="1" applyAlignment="1" applyProtection="1">
      <alignment horizontal="center" vertical="center"/>
      <protection locked="0"/>
    </xf>
    <xf numFmtId="176" fontId="15" fillId="0" borderId="33" xfId="0" applyNumberFormat="1" applyFont="1" applyBorder="1" applyAlignment="1" applyProtection="1">
      <alignment horizontal="center" vertical="center"/>
      <protection locked="0"/>
    </xf>
    <xf numFmtId="176" fontId="15" fillId="0" borderId="17" xfId="0" quotePrefix="1" applyNumberFormat="1" applyFont="1" applyBorder="1" applyAlignment="1" applyProtection="1">
      <alignment horizontal="center" vertical="center"/>
      <protection locked="0"/>
    </xf>
    <xf numFmtId="0" fontId="11" fillId="0" borderId="34" xfId="0" applyFont="1" applyBorder="1" applyAlignment="1">
      <alignment horizontal="center" vertical="center"/>
    </xf>
    <xf numFmtId="176" fontId="15" fillId="0" borderId="18" xfId="0" applyNumberFormat="1" applyFont="1" applyBorder="1" applyAlignment="1" applyProtection="1">
      <alignment horizontal="center" vertical="center"/>
      <protection locked="0"/>
    </xf>
    <xf numFmtId="0" fontId="11" fillId="0" borderId="35" xfId="0" applyFont="1" applyBorder="1" applyAlignment="1">
      <alignment horizontal="center" vertical="center"/>
    </xf>
    <xf numFmtId="176" fontId="15" fillId="0" borderId="4" xfId="0" applyNumberFormat="1" applyFont="1" applyBorder="1" applyAlignment="1" applyProtection="1">
      <alignment horizontal="center" vertical="center"/>
      <protection locked="0"/>
    </xf>
    <xf numFmtId="176" fontId="15" fillId="0" borderId="5" xfId="0" applyNumberFormat="1" applyFont="1" applyBorder="1" applyAlignment="1" applyProtection="1">
      <alignment horizontal="center" vertical="center"/>
      <protection locked="0"/>
    </xf>
    <xf numFmtId="176" fontId="15" fillId="0" borderId="17" xfId="0" applyNumberFormat="1" applyFont="1" applyBorder="1" applyAlignment="1" applyProtection="1">
      <alignment horizontal="center" vertical="center"/>
      <protection locked="0"/>
    </xf>
    <xf numFmtId="176" fontId="15" fillId="0" borderId="12" xfId="0" applyNumberFormat="1" applyFont="1" applyBorder="1" applyAlignment="1" applyProtection="1">
      <alignment horizontal="center" vertical="center"/>
      <protection locked="0"/>
    </xf>
    <xf numFmtId="176" fontId="5" fillId="0" borderId="0" xfId="0" applyNumberFormat="1" applyFont="1" applyAlignment="1" applyProtection="1">
      <alignment horizontal="center" vertical="center"/>
      <protection locked="0"/>
    </xf>
    <xf numFmtId="176" fontId="7" fillId="0" borderId="2" xfId="0" applyNumberFormat="1" applyFont="1" applyBorder="1" applyAlignment="1" applyProtection="1">
      <alignment horizontal="right" vertical="center"/>
      <protection hidden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51068;&#47560;&#44048;23.01&#5090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(1)"/>
      <sheetName val="(2)"/>
      <sheetName val="(3)"/>
      <sheetName val="(4)"/>
      <sheetName val="(5)"/>
      <sheetName val="(6)"/>
      <sheetName val="(7)"/>
      <sheetName val="(8)"/>
      <sheetName val="(9)"/>
      <sheetName val="(10)"/>
      <sheetName val="(11)"/>
      <sheetName val="(12)"/>
      <sheetName val="(13)"/>
      <sheetName val="(14)"/>
      <sheetName val="(15)"/>
      <sheetName val="(16)"/>
      <sheetName val="(17)"/>
      <sheetName val="(18)"/>
      <sheetName val="(19)"/>
      <sheetName val="(20)"/>
      <sheetName val="(21)"/>
      <sheetName val="(22)"/>
      <sheetName val="(23)"/>
      <sheetName val="(24)"/>
      <sheetName val="(25)"/>
      <sheetName val="(26)"/>
      <sheetName val="(27)"/>
      <sheetName val="(28)"/>
      <sheetName val="(29)"/>
      <sheetName val="(30)"/>
      <sheetName val="(31)"/>
    </sheetNames>
    <sheetDataSet>
      <sheetData sheetId="0">
        <row r="3">
          <cell r="J3" t="str">
            <v>제   목</v>
          </cell>
        </row>
        <row r="4">
          <cell r="E4" t="str">
            <v>고액권</v>
          </cell>
          <cell r="J4" t="str">
            <v>고액권</v>
          </cell>
        </row>
        <row r="5">
          <cell r="E5" t="str">
            <v>천원권</v>
          </cell>
          <cell r="J5" t="str">
            <v>천원권</v>
          </cell>
        </row>
        <row r="6">
          <cell r="E6" t="str">
            <v>블루/레드포인트</v>
          </cell>
          <cell r="J6" t="str">
            <v>블루/레드포인트</v>
          </cell>
        </row>
        <row r="7">
          <cell r="E7" t="str">
            <v>롯대칠성</v>
          </cell>
          <cell r="J7" t="str">
            <v>롯대칠성</v>
          </cell>
        </row>
        <row r="8">
          <cell r="E8" t="str">
            <v>신용카드</v>
          </cell>
          <cell r="J8" t="str">
            <v>신용카드</v>
          </cell>
        </row>
        <row r="9">
          <cell r="E9" t="str">
            <v>상품권</v>
          </cell>
          <cell r="J9" t="str">
            <v>상품권</v>
          </cell>
        </row>
        <row r="10">
          <cell r="E10" t="str">
            <v>OK케시백</v>
          </cell>
          <cell r="J10" t="str">
            <v>OK케시백</v>
          </cell>
        </row>
        <row r="11">
          <cell r="E11" t="str">
            <v>모바일</v>
          </cell>
          <cell r="J11" t="str">
            <v>모바일</v>
          </cell>
        </row>
        <row r="12">
          <cell r="E12" t="str">
            <v>제로페이</v>
          </cell>
          <cell r="J12" t="str">
            <v>제로페이</v>
          </cell>
        </row>
        <row r="13">
          <cell r="E13" t="str">
            <v>합계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Y45"/>
  <sheetViews>
    <sheetView workbookViewId="0">
      <selection activeCell="K4" sqref="K4"/>
    </sheetView>
  </sheetViews>
  <sheetFormatPr defaultRowHeight="27.75" customHeight="1"/>
  <cols>
    <col min="1" max="2" width="9" style="27"/>
    <col min="3" max="3" width="9.375" style="27" customWidth="1"/>
    <col min="4" max="4" width="11.375" style="27" customWidth="1"/>
    <col min="5" max="5" width="11.25" style="27" bestFit="1" customWidth="1"/>
    <col min="6" max="6" width="10.75" style="27" customWidth="1"/>
    <col min="7" max="7" width="5" style="27" customWidth="1"/>
    <col min="8" max="8" width="9.5" style="27" customWidth="1"/>
    <col min="9" max="9" width="11.125" style="27" customWidth="1"/>
    <col min="10" max="10" width="13.625" style="27" bestFit="1" customWidth="1"/>
    <col min="11" max="11" width="11.375" style="27" customWidth="1"/>
    <col min="12" max="12" width="11.75" style="37" customWidth="1"/>
    <col min="13" max="13" width="9" style="27"/>
    <col min="14" max="14" width="9" style="27" bestFit="1" customWidth="1"/>
    <col min="15" max="15" width="12.375" style="27" bestFit="1" customWidth="1"/>
    <col min="16" max="16" width="11.25" style="27" bestFit="1" customWidth="1"/>
    <col min="17" max="18" width="12.375" style="27" bestFit="1" customWidth="1"/>
    <col min="19" max="16384" width="9" style="27"/>
  </cols>
  <sheetData>
    <row r="1" spans="3:25" ht="23.25" customHeight="1">
      <c r="C1" s="23">
        <v>2023</v>
      </c>
      <c r="D1" s="24" t="str">
        <f>IF(C1&lt;2000,"◀  년 입력","년")</f>
        <v>년</v>
      </c>
      <c r="E1" s="25">
        <v>8</v>
      </c>
      <c r="F1" s="24" t="str">
        <f>IF(E1&lt;1,"◀  월 입력","월")</f>
        <v>월</v>
      </c>
      <c r="G1" s="25">
        <v>1</v>
      </c>
      <c r="H1" s="26" t="s">
        <v>11</v>
      </c>
      <c r="I1" s="25">
        <v>924</v>
      </c>
      <c r="J1" s="24" t="str">
        <f>IF(I1&lt;100,"◀  단가입력","원")</f>
        <v>원</v>
      </c>
      <c r="L1" s="28">
        <f>+ROUND(+O5*0.584/1000,3)</f>
        <v>15.742000000000001</v>
      </c>
      <c r="M1" s="27" t="s">
        <v>8</v>
      </c>
    </row>
    <row r="2" spans="3:25" ht="21" customHeight="1" thickBot="1">
      <c r="C2" s="27">
        <v>1</v>
      </c>
      <c r="H2" s="27">
        <v>2</v>
      </c>
      <c r="L2" s="28">
        <f>+L1</f>
        <v>15.742000000000001</v>
      </c>
      <c r="M2" s="27" t="s">
        <v>7</v>
      </c>
      <c r="N2" s="133" t="s">
        <v>12</v>
      </c>
      <c r="O2" s="133"/>
      <c r="P2" s="133"/>
      <c r="Q2" s="133"/>
    </row>
    <row r="3" spans="3:25" ht="16.5" customHeight="1" thickBot="1">
      <c r="C3" s="29" t="s">
        <v>13</v>
      </c>
      <c r="D3" s="29" t="s">
        <v>14</v>
      </c>
      <c r="E3" s="29" t="s">
        <v>13</v>
      </c>
      <c r="F3" s="30" t="s">
        <v>14</v>
      </c>
      <c r="H3" s="92" t="str">
        <f>+C3</f>
        <v>제   목</v>
      </c>
      <c r="I3" s="29" t="str">
        <f t="shared" ref="I3" si="0">+D3</f>
        <v>수량 및 금액</v>
      </c>
      <c r="J3" s="34" t="str">
        <f>+'[1](1)'!J3</f>
        <v>제   목</v>
      </c>
      <c r="K3" s="29" t="str">
        <f>F3</f>
        <v>수량 및 금액</v>
      </c>
      <c r="L3" s="31">
        <f>+L2*G1</f>
        <v>15.742000000000001</v>
      </c>
      <c r="M3" s="27" t="s">
        <v>10</v>
      </c>
      <c r="N3" s="32"/>
      <c r="O3" s="32"/>
      <c r="P3" s="132" t="str">
        <f>+'(1)'!$C$1&amp;"년"&amp;'(1)'!$E$1&amp;"월"&amp;$G$1&amp;"일"</f>
        <v>2023년8월1일</v>
      </c>
      <c r="Q3" s="132"/>
      <c r="R3" s="33"/>
    </row>
    <row r="4" spans="3:25" ht="16.5" customHeight="1" thickBot="1">
      <c r="C4" s="34" t="s">
        <v>15</v>
      </c>
      <c r="D4" s="35">
        <v>6934.3639999999996</v>
      </c>
      <c r="E4" s="34" t="str">
        <f>+'[1](1)'!E4</f>
        <v>고액권</v>
      </c>
      <c r="F4" s="36">
        <v>85000</v>
      </c>
      <c r="H4" s="93" t="str">
        <f>+C4</f>
        <v>판매량</v>
      </c>
      <c r="I4" s="35">
        <v>11479.558999999999</v>
      </c>
      <c r="J4" s="42" t="str">
        <f>+'[1](1)'!J4</f>
        <v>고액권</v>
      </c>
      <c r="K4" s="36">
        <v>100000</v>
      </c>
      <c r="M4" s="38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40">
        <v>33294</v>
      </c>
      <c r="S4" s="41" t="s">
        <v>17</v>
      </c>
      <c r="T4" s="27">
        <v>17791</v>
      </c>
    </row>
    <row r="5" spans="3:25" ht="16.5" customHeight="1">
      <c r="C5" s="42" t="s">
        <v>18</v>
      </c>
      <c r="D5" s="43"/>
      <c r="E5" s="42" t="str">
        <f>+'[1](1)'!E5</f>
        <v>천원권</v>
      </c>
      <c r="F5" s="44">
        <v>2000</v>
      </c>
      <c r="H5" s="94" t="str">
        <f>+C5</f>
        <v>법인전표</v>
      </c>
      <c r="I5" s="43"/>
      <c r="J5" s="42" t="str">
        <f>+'[1](1)'!J5</f>
        <v>천원권</v>
      </c>
      <c r="K5" s="44">
        <v>3000</v>
      </c>
      <c r="M5" s="38"/>
      <c r="N5" s="45" t="str">
        <f>+C4</f>
        <v>판매량</v>
      </c>
      <c r="O5" s="46">
        <f>SUM(D4+I4+D17+I17+D35+I35)</f>
        <v>26955.114000000001</v>
      </c>
      <c r="P5" s="47" t="str">
        <f>+E4</f>
        <v>고액권</v>
      </c>
      <c r="Q5" s="48">
        <f>SUM(F4+K4+F17+K17+F35+K35)</f>
        <v>330000</v>
      </c>
      <c r="R5" s="49">
        <v>36</v>
      </c>
      <c r="S5" s="41" t="s">
        <v>20</v>
      </c>
    </row>
    <row r="6" spans="3:25" ht="16.5" customHeight="1">
      <c r="C6" s="42" t="s">
        <v>21</v>
      </c>
      <c r="D6" s="50">
        <v>23.007999999999999</v>
      </c>
      <c r="E6" s="105" t="str">
        <f>+'[1](1)'!E6</f>
        <v>블루/레드포인트</v>
      </c>
      <c r="F6" s="44"/>
      <c r="H6" s="94" t="str">
        <f t="shared" ref="H6:H13" si="2">+C6</f>
        <v>외상전표</v>
      </c>
      <c r="I6" s="50">
        <v>308.976</v>
      </c>
      <c r="J6" s="105" t="str">
        <f>+'[1](1)'!J6</f>
        <v>블루/레드포인트</v>
      </c>
      <c r="K6" s="44"/>
      <c r="M6" s="38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8000</v>
      </c>
      <c r="R6" s="49">
        <v>3.4</v>
      </c>
      <c r="S6" s="41" t="s">
        <v>23</v>
      </c>
    </row>
    <row r="7" spans="3:25" ht="16.5" customHeight="1">
      <c r="C7" s="42" t="s">
        <v>24</v>
      </c>
      <c r="D7" s="50"/>
      <c r="E7" s="42" t="str">
        <f>+'[1](1)'!E7</f>
        <v>롯대칠성</v>
      </c>
      <c r="F7" s="44"/>
      <c r="H7" s="94" t="str">
        <f t="shared" si="2"/>
        <v>효신(업)</v>
      </c>
      <c r="I7" s="50"/>
      <c r="J7" s="42" t="str">
        <f>+'[1](1)'!J7</f>
        <v>롯대칠성</v>
      </c>
      <c r="K7" s="44"/>
      <c r="M7" s="38"/>
      <c r="N7" s="51" t="str">
        <f t="shared" ref="N7:N14" si="3">+C6</f>
        <v>외상전표</v>
      </c>
      <c r="O7" s="54">
        <f>SUM(D6+I6+D19+I19+D37+I37)</f>
        <v>354.76299999999998</v>
      </c>
      <c r="P7" s="106" t="str">
        <f t="shared" ref="P7:P14" si="4">+E6</f>
        <v>블루/레드포인트</v>
      </c>
      <c r="Q7" s="53">
        <f>SUM(F6+K6+F19+K19+F37+K37)</f>
        <v>0</v>
      </c>
      <c r="R7" s="40" t="s">
        <v>47</v>
      </c>
      <c r="S7" s="41" t="s">
        <v>6</v>
      </c>
    </row>
    <row r="8" spans="3:25" ht="16.5" customHeight="1">
      <c r="C8" s="42" t="s">
        <v>26</v>
      </c>
      <c r="D8" s="50"/>
      <c r="E8" s="42" t="str">
        <f>+'[1](1)'!E8</f>
        <v>신용카드</v>
      </c>
      <c r="F8" s="44">
        <v>6299041</v>
      </c>
      <c r="H8" s="94" t="str">
        <f t="shared" si="2"/>
        <v>자가소비</v>
      </c>
      <c r="I8" s="50"/>
      <c r="J8" s="42" t="str">
        <f>+'[1](1)'!J8</f>
        <v>신용카드</v>
      </c>
      <c r="K8" s="44">
        <v>16473333</v>
      </c>
      <c r="M8" s="38"/>
      <c r="N8" s="51" t="str">
        <f t="shared" si="3"/>
        <v>효신(업)</v>
      </c>
      <c r="O8" s="52">
        <f>SUM(D7+I7+D20+I20+D38+I38)</f>
        <v>0</v>
      </c>
      <c r="P8" s="106" t="str">
        <f t="shared" si="4"/>
        <v>롯대칠성</v>
      </c>
      <c r="Q8" s="53">
        <f>SUM(F7+K7+F20+K20+F38+K38)</f>
        <v>0</v>
      </c>
      <c r="R8" s="40"/>
    </row>
    <row r="9" spans="3:25" ht="16.5" customHeight="1">
      <c r="C9" s="42" t="s">
        <v>46</v>
      </c>
      <c r="D9" s="50"/>
      <c r="E9" s="42" t="str">
        <f>+'[1](1)'!E9</f>
        <v>상품권</v>
      </c>
      <c r="F9" s="44"/>
      <c r="H9" s="94" t="str">
        <f t="shared" si="2"/>
        <v>-</v>
      </c>
      <c r="I9" s="50"/>
      <c r="J9" s="42" t="str">
        <f>+'[1](1)'!J9</f>
        <v>상품권</v>
      </c>
      <c r="K9" s="44"/>
      <c r="M9" s="38"/>
      <c r="N9" s="51" t="str">
        <f t="shared" si="3"/>
        <v>자가소비</v>
      </c>
      <c r="O9" s="54">
        <f>SUM(D8+I8+D21+I21+D39+I39)</f>
        <v>0</v>
      </c>
      <c r="P9" s="51" t="str">
        <f t="shared" si="4"/>
        <v>신용카드</v>
      </c>
      <c r="Q9" s="53">
        <f>IF(K8=0,F8,IF(F21=0,K8,IF(K21=0,F21,K21)))</f>
        <v>24187947</v>
      </c>
      <c r="R9" s="40"/>
    </row>
    <row r="10" spans="3:25" ht="16.5" customHeight="1">
      <c r="C10" s="42" t="s">
        <v>49</v>
      </c>
      <c r="D10" s="50">
        <v>0</v>
      </c>
      <c r="E10" s="42" t="str">
        <f>+'[1](1)'!E10</f>
        <v>OK케시백</v>
      </c>
      <c r="F10" s="44"/>
      <c r="H10" s="94" t="str">
        <f t="shared" si="2"/>
        <v>고객우대</v>
      </c>
      <c r="I10" s="50">
        <v>104.19</v>
      </c>
      <c r="J10" s="42" t="str">
        <f>+'[1](1)'!J10</f>
        <v>OK케시백</v>
      </c>
      <c r="K10" s="44"/>
      <c r="M10" s="38"/>
      <c r="N10" s="51" t="str">
        <f t="shared" si="3"/>
        <v>-</v>
      </c>
      <c r="O10" s="54"/>
      <c r="P10" s="51" t="str">
        <f t="shared" si="4"/>
        <v>상품권</v>
      </c>
      <c r="Q10" s="53">
        <f>SUM(F9+K9+F22+K22+F40+K40)</f>
        <v>0</v>
      </c>
      <c r="R10" s="40"/>
    </row>
    <row r="11" spans="3:25" ht="16.5" customHeight="1" thickBot="1">
      <c r="C11" s="42" t="s">
        <v>46</v>
      </c>
      <c r="D11" s="55">
        <f>SUM(D10*-35)</f>
        <v>0</v>
      </c>
      <c r="E11" s="42" t="str">
        <f>+'[1](1)'!E11</f>
        <v>모바일</v>
      </c>
      <c r="F11" s="44"/>
      <c r="H11" s="94" t="str">
        <f t="shared" si="2"/>
        <v>-</v>
      </c>
      <c r="I11" s="55">
        <f>SUM(I10*-35)</f>
        <v>-3646.65</v>
      </c>
      <c r="J11" s="56" t="str">
        <f>+'[1](1)'!J11</f>
        <v>모바일</v>
      </c>
      <c r="K11" s="44"/>
      <c r="M11" s="38"/>
      <c r="N11" s="51" t="str">
        <f t="shared" si="3"/>
        <v>고객우대</v>
      </c>
      <c r="O11" s="54">
        <f>SUM(D10+I10+D23+I23+D41+I41)</f>
        <v>206.114</v>
      </c>
      <c r="P11" s="51" t="str">
        <f t="shared" si="4"/>
        <v>OK케시백</v>
      </c>
      <c r="Q11" s="53">
        <f>SUM(F10+K10+F23+K23+F41+K41)</f>
        <v>0</v>
      </c>
      <c r="R11" s="49"/>
    </row>
    <row r="12" spans="3:25" ht="16.5" customHeight="1" thickBot="1">
      <c r="C12" s="56" t="s">
        <v>46</v>
      </c>
      <c r="D12" s="57"/>
      <c r="E12" s="56" t="str">
        <f>+'[1](1)'!E12</f>
        <v>제로페이</v>
      </c>
      <c r="F12" s="58"/>
      <c r="H12" s="95" t="str">
        <f t="shared" si="2"/>
        <v>-</v>
      </c>
      <c r="I12" s="57"/>
      <c r="J12" s="29" t="str">
        <f>+'[1](1)'!J12</f>
        <v>제로페이</v>
      </c>
      <c r="K12" s="58">
        <v>40777</v>
      </c>
      <c r="M12" s="38"/>
      <c r="N12" s="51" t="str">
        <f t="shared" si="3"/>
        <v>-</v>
      </c>
      <c r="O12" s="52">
        <f>SUM(O11*-35)</f>
        <v>-7213.99</v>
      </c>
      <c r="P12" s="51" t="str">
        <f t="shared" si="4"/>
        <v>모바일</v>
      </c>
      <c r="Q12" s="53">
        <f>SUM(F11+K11+F24+K24+F42+K42)</f>
        <v>4000</v>
      </c>
      <c r="R12" s="40"/>
    </row>
    <row r="13" spans="3:25" ht="16.5" customHeight="1" thickBot="1">
      <c r="C13" s="59" t="s">
        <v>33</v>
      </c>
      <c r="D13" s="60">
        <f>SUM((D4-D5-D6-D7-D8-D9)*$I$1+D11)</f>
        <v>6386092.9440000001</v>
      </c>
      <c r="E13" s="29" t="str">
        <f>+'[1](1)'!E13</f>
        <v>합계</v>
      </c>
      <c r="F13" s="61">
        <f>SUM(F4:F12)</f>
        <v>6386041</v>
      </c>
      <c r="G13" s="62"/>
      <c r="H13" s="92" t="str">
        <f t="shared" si="2"/>
        <v>합계</v>
      </c>
      <c r="I13" s="60">
        <f>SUM((I4-I5-I6-I7-I8-I9)*$I$1+I11)</f>
        <v>10317972.041999998</v>
      </c>
      <c r="J13" s="29" t="str">
        <f t="shared" ref="J13" si="5">+E13</f>
        <v>합계</v>
      </c>
      <c r="K13" s="61">
        <f>IF(K8=0,0,SUM(K4:K12)-F8)</f>
        <v>10318069</v>
      </c>
      <c r="M13" s="38"/>
      <c r="N13" s="63" t="str">
        <f t="shared" si="3"/>
        <v>-</v>
      </c>
      <c r="O13" s="64"/>
      <c r="P13" s="63" t="str">
        <f t="shared" si="4"/>
        <v>제로페이</v>
      </c>
      <c r="Q13" s="65">
        <f>SUM(F12+K12+F25+K25+F43+K43)</f>
        <v>40777</v>
      </c>
      <c r="R13" s="40"/>
      <c r="Y13" s="66"/>
    </row>
    <row r="14" spans="3:25" ht="16.5" customHeight="1" thickBot="1">
      <c r="C14" s="37"/>
      <c r="F14" s="67">
        <f>SUM(F13-D13)</f>
        <v>-51.94400000013411</v>
      </c>
      <c r="K14" s="67">
        <f>SUM(K13-I13)</f>
        <v>96.958000002428889</v>
      </c>
      <c r="N14" s="39" t="str">
        <f t="shared" si="3"/>
        <v>합계</v>
      </c>
      <c r="O14" s="68">
        <f>SUM((O5-O6-O7-O8-O9-O10)*+$I$1+O12)</f>
        <v>24571510.334000003</v>
      </c>
      <c r="P14" s="39" t="str">
        <f t="shared" si="4"/>
        <v>합계</v>
      </c>
      <c r="Q14" s="69">
        <f>SUM(Q5:Q13)</f>
        <v>24570724</v>
      </c>
    </row>
    <row r="15" spans="3:25" ht="16.5" customHeight="1" thickBot="1">
      <c r="C15" s="27">
        <v>3</v>
      </c>
      <c r="H15" s="27">
        <v>4</v>
      </c>
      <c r="Q15" s="70">
        <f>SUM(F14+K14+F27+K27)</f>
        <v>-786.33399999793619</v>
      </c>
    </row>
    <row r="16" spans="3:25" ht="16.5" customHeight="1" thickBot="1">
      <c r="C16" s="96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H16" s="92" t="str">
        <f>+C3</f>
        <v>제   목</v>
      </c>
      <c r="I16" s="29" t="str">
        <f>+D3</f>
        <v>수량 및 금액</v>
      </c>
      <c r="J16" s="29" t="str">
        <f>+E3</f>
        <v>제   목</v>
      </c>
      <c r="K16" s="29" t="str">
        <f>+F3</f>
        <v>수량 및 금액</v>
      </c>
    </row>
    <row r="17" spans="3:19" ht="16.5" customHeight="1" thickBot="1">
      <c r="C17" s="93" t="str">
        <f>+C4</f>
        <v>판매량</v>
      </c>
      <c r="D17" s="35">
        <v>8541.1910000000007</v>
      </c>
      <c r="E17" s="34" t="str">
        <f>+E4</f>
        <v>고액권</v>
      </c>
      <c r="F17" s="36">
        <v>145000</v>
      </c>
      <c r="H17" s="93" t="str">
        <f>+C4</f>
        <v>판매량</v>
      </c>
      <c r="I17" s="35"/>
      <c r="J17" s="34" t="str">
        <f>+E4</f>
        <v>고액권</v>
      </c>
      <c r="K17" s="36"/>
      <c r="R17" s="32"/>
      <c r="S17" s="32"/>
    </row>
    <row r="18" spans="3:19" ht="16.5" customHeight="1" thickBot="1">
      <c r="C18" s="94" t="str">
        <f>+C5</f>
        <v>법인전표</v>
      </c>
      <c r="D18" s="43"/>
      <c r="E18" s="42" t="str">
        <f>+E5</f>
        <v>천원권</v>
      </c>
      <c r="F18" s="44">
        <v>3000</v>
      </c>
      <c r="H18" s="94" t="str">
        <f>+C5</f>
        <v>법인전표</v>
      </c>
      <c r="I18" s="43"/>
      <c r="J18" s="42" t="str">
        <f>+E5</f>
        <v>천원권</v>
      </c>
      <c r="K18" s="44"/>
      <c r="N18" s="130" t="s">
        <v>34</v>
      </c>
      <c r="O18" s="143"/>
      <c r="P18" s="116" t="s">
        <v>35</v>
      </c>
      <c r="Q18" s="71" t="s">
        <v>36</v>
      </c>
      <c r="R18" s="32"/>
      <c r="S18" s="32"/>
    </row>
    <row r="19" spans="3:19" ht="16.5" customHeight="1">
      <c r="C19" s="94" t="str">
        <f t="shared" ref="C19:C26" si="7">+C6</f>
        <v>외상전표</v>
      </c>
      <c r="D19" s="50">
        <v>22.779</v>
      </c>
      <c r="E19" s="105" t="str">
        <f t="shared" ref="E19:E26" si="8">+E6</f>
        <v>블루/레드포인트</v>
      </c>
      <c r="F19" s="44"/>
      <c r="H19" s="94" t="str">
        <f t="shared" ref="H19:H26" si="9">+C6</f>
        <v>외상전표</v>
      </c>
      <c r="I19" s="50"/>
      <c r="J19" s="105" t="str">
        <f t="shared" ref="J19:J26" si="10">+E6</f>
        <v>블루/레드포인트</v>
      </c>
      <c r="K19" s="44"/>
      <c r="N19" s="134" t="s">
        <v>37</v>
      </c>
      <c r="O19" s="135"/>
      <c r="P19" s="117">
        <v>13</v>
      </c>
      <c r="Q19" s="48">
        <f>SUM(P19*1000)</f>
        <v>13000</v>
      </c>
      <c r="R19" s="32"/>
      <c r="S19" s="32"/>
    </row>
    <row r="20" spans="3:19" ht="16.5" customHeight="1">
      <c r="C20" s="94" t="str">
        <f t="shared" si="7"/>
        <v>효신(업)</v>
      </c>
      <c r="D20" s="50"/>
      <c r="E20" s="42" t="str">
        <f t="shared" si="8"/>
        <v>롯대칠성</v>
      </c>
      <c r="F20" s="107"/>
      <c r="G20" s="108"/>
      <c r="H20" s="109" t="str">
        <f t="shared" si="9"/>
        <v>효신(업)</v>
      </c>
      <c r="I20" s="110"/>
      <c r="J20" s="42" t="str">
        <f t="shared" si="10"/>
        <v>롯대칠성</v>
      </c>
      <c r="K20" s="44"/>
      <c r="N20" s="140" t="s">
        <v>38</v>
      </c>
      <c r="O20" s="141"/>
      <c r="P20" s="118">
        <v>74</v>
      </c>
      <c r="Q20" s="53">
        <f>SUM(P20*1000)</f>
        <v>74000</v>
      </c>
      <c r="R20" s="32"/>
      <c r="S20" s="32"/>
    </row>
    <row r="21" spans="3:19" ht="16.5" customHeight="1">
      <c r="C21" s="94" t="str">
        <f t="shared" si="7"/>
        <v>자가소비</v>
      </c>
      <c r="D21" s="50"/>
      <c r="E21" s="42" t="str">
        <f t="shared" si="8"/>
        <v>신용카드</v>
      </c>
      <c r="F21" s="44">
        <v>24187947</v>
      </c>
      <c r="H21" s="94" t="str">
        <f t="shared" si="9"/>
        <v>자가소비</v>
      </c>
      <c r="I21" s="50"/>
      <c r="J21" s="42" t="str">
        <f t="shared" si="10"/>
        <v>신용카드</v>
      </c>
      <c r="K21" s="44"/>
      <c r="N21" s="140" t="s">
        <v>56</v>
      </c>
      <c r="O21" s="141"/>
      <c r="P21" s="118">
        <v>4</v>
      </c>
      <c r="Q21" s="53"/>
      <c r="R21" s="32"/>
      <c r="S21" s="32"/>
    </row>
    <row r="22" spans="3:19" ht="16.5" customHeight="1">
      <c r="C22" s="94" t="str">
        <f t="shared" si="7"/>
        <v>-</v>
      </c>
      <c r="D22" s="50"/>
      <c r="E22" s="42" t="str">
        <f t="shared" si="8"/>
        <v>상품권</v>
      </c>
      <c r="F22" s="44"/>
      <c r="H22" s="94" t="str">
        <f t="shared" si="9"/>
        <v>-</v>
      </c>
      <c r="I22" s="50"/>
      <c r="J22" s="42" t="str">
        <f t="shared" si="10"/>
        <v>상품권</v>
      </c>
      <c r="K22" s="44"/>
      <c r="N22" s="142" t="s">
        <v>58</v>
      </c>
      <c r="O22" s="137"/>
      <c r="P22" s="118">
        <v>17</v>
      </c>
      <c r="Q22" s="53"/>
      <c r="R22" s="32"/>
      <c r="S22" s="32"/>
    </row>
    <row r="23" spans="3:19" ht="16.5" customHeight="1">
      <c r="C23" s="94" t="str">
        <f t="shared" si="7"/>
        <v>고객우대</v>
      </c>
      <c r="D23" s="50">
        <v>101.92400000000001</v>
      </c>
      <c r="E23" s="42" t="str">
        <f t="shared" si="8"/>
        <v>OK케시백</v>
      </c>
      <c r="F23" s="44"/>
      <c r="H23" s="94" t="str">
        <f t="shared" si="9"/>
        <v>고객우대</v>
      </c>
      <c r="I23" s="50"/>
      <c r="J23" s="42" t="str">
        <f t="shared" si="10"/>
        <v>OK케시백</v>
      </c>
      <c r="K23" s="44"/>
      <c r="N23" s="136" t="s">
        <v>60</v>
      </c>
      <c r="O23" s="137"/>
      <c r="P23" s="118">
        <v>17</v>
      </c>
      <c r="Q23" s="53"/>
      <c r="R23" s="32"/>
      <c r="S23" s="32"/>
    </row>
    <row r="24" spans="3:19" ht="16.5" customHeight="1">
      <c r="C24" s="94" t="str">
        <f t="shared" si="7"/>
        <v>-</v>
      </c>
      <c r="D24" s="55">
        <f>SUM(D23*-35)</f>
        <v>-3567.34</v>
      </c>
      <c r="E24" s="42" t="str">
        <f t="shared" si="8"/>
        <v>모바일</v>
      </c>
      <c r="F24" s="44">
        <v>4000</v>
      </c>
      <c r="H24" s="94" t="str">
        <f t="shared" si="9"/>
        <v>-</v>
      </c>
      <c r="I24" s="55">
        <f>SUM(I23*-35)</f>
        <v>0</v>
      </c>
      <c r="J24" s="42" t="str">
        <f t="shared" si="10"/>
        <v>모바일</v>
      </c>
      <c r="K24" s="44"/>
      <c r="N24" s="136" t="s">
        <v>63</v>
      </c>
      <c r="O24" s="137"/>
      <c r="P24" s="118">
        <v>7</v>
      </c>
      <c r="Q24" s="53"/>
      <c r="R24" s="32"/>
      <c r="S24" s="32"/>
    </row>
    <row r="25" spans="3:19" ht="16.5" customHeight="1" thickBot="1">
      <c r="C25" s="95" t="str">
        <f t="shared" si="7"/>
        <v>-</v>
      </c>
      <c r="D25" s="57"/>
      <c r="E25" s="56" t="str">
        <f t="shared" si="8"/>
        <v>제로페이</v>
      </c>
      <c r="F25" s="58"/>
      <c r="H25" s="95" t="str">
        <f t="shared" si="9"/>
        <v>-</v>
      </c>
      <c r="I25" s="57"/>
      <c r="J25" s="56" t="str">
        <f t="shared" si="10"/>
        <v>제로페이</v>
      </c>
      <c r="K25" s="58"/>
      <c r="N25" s="136"/>
      <c r="O25" s="137"/>
      <c r="P25" s="118"/>
      <c r="Q25" s="125"/>
      <c r="R25" s="32"/>
      <c r="S25" s="32"/>
    </row>
    <row r="26" spans="3:19" ht="16.5" customHeight="1" thickBot="1">
      <c r="C26" s="92" t="str">
        <f t="shared" si="7"/>
        <v>합계</v>
      </c>
      <c r="D26" s="60">
        <f>SUM((D17-D18-D19-D20-D21-D22)*$I$1+D24)</f>
        <v>7867445.3480000002</v>
      </c>
      <c r="E26" s="29" t="str">
        <f t="shared" si="8"/>
        <v>합계</v>
      </c>
      <c r="F26" s="61">
        <f>IF(F21=0,0,SUM(F17:F25)-K8)</f>
        <v>7866614</v>
      </c>
      <c r="G26" s="62"/>
      <c r="H26" s="92" t="str">
        <f t="shared" si="9"/>
        <v>합계</v>
      </c>
      <c r="I26" s="60">
        <f>SUM((I17-I18-I19-I20-I21-I22)*$I$1+I24)</f>
        <v>0</v>
      </c>
      <c r="J26" s="29" t="str">
        <f t="shared" si="10"/>
        <v>합계</v>
      </c>
      <c r="K26" s="61">
        <f>IF(K21=0,0,SUM(K17:K25)-F26)</f>
        <v>0</v>
      </c>
      <c r="N26" s="136"/>
      <c r="O26" s="137"/>
      <c r="P26" s="72"/>
      <c r="Q26" s="113"/>
      <c r="R26" s="32"/>
      <c r="S26" s="32"/>
    </row>
    <row r="27" spans="3:19" ht="15.75" customHeight="1" thickBot="1">
      <c r="F27" s="67">
        <f>SUM(F26-D26)</f>
        <v>-831.34800000023097</v>
      </c>
      <c r="K27" s="67">
        <f>SUM(K26-I26)</f>
        <v>0</v>
      </c>
      <c r="N27" s="138" t="s">
        <v>39</v>
      </c>
      <c r="O27" s="139"/>
      <c r="P27" s="119">
        <f>+P28-SUM(P19:P26)</f>
        <v>0</v>
      </c>
      <c r="Q27" s="73"/>
    </row>
    <row r="28" spans="3:19" ht="23.25" customHeight="1" thickBot="1">
      <c r="F28" s="67"/>
      <c r="K28" s="67"/>
      <c r="N28" s="130" t="s">
        <v>40</v>
      </c>
      <c r="O28" s="131"/>
      <c r="P28" s="120">
        <v>132</v>
      </c>
      <c r="Q28" s="69">
        <f>SUM(Q19:Q27)</f>
        <v>87000</v>
      </c>
    </row>
    <row r="29" spans="3:19" ht="21.75" customHeight="1" thickBot="1">
      <c r="F29" s="67"/>
      <c r="K29" s="67"/>
    </row>
    <row r="30" spans="3:19" ht="21.75" customHeight="1">
      <c r="F30" s="67"/>
      <c r="K30" s="67"/>
      <c r="N30" s="111" t="s">
        <v>50</v>
      </c>
      <c r="O30" s="100" t="s">
        <v>51</v>
      </c>
      <c r="P30" s="100" t="s">
        <v>52</v>
      </c>
      <c r="Q30" s="101" t="s">
        <v>53</v>
      </c>
    </row>
    <row r="31" spans="3:19" ht="21.75" customHeight="1" thickBot="1">
      <c r="F31" s="67"/>
      <c r="K31" s="67"/>
      <c r="N31" s="112"/>
      <c r="O31" s="102">
        <v>24812</v>
      </c>
      <c r="P31" s="103">
        <v>24861</v>
      </c>
      <c r="Q31" s="104">
        <f>P31-O31</f>
        <v>49</v>
      </c>
    </row>
    <row r="32" spans="3:19" ht="21.75" customHeight="1">
      <c r="F32" s="67"/>
      <c r="K32" s="67"/>
    </row>
    <row r="33" spans="3:11" ht="21.75" customHeight="1" thickBot="1">
      <c r="C33" s="27">
        <v>5</v>
      </c>
      <c r="H33" s="27">
        <v>6</v>
      </c>
    </row>
    <row r="34" spans="3:11" ht="21.75" customHeight="1" thickBot="1">
      <c r="C34" s="29" t="s">
        <v>13</v>
      </c>
      <c r="D34" s="29" t="s">
        <v>14</v>
      </c>
      <c r="E34" s="29" t="s">
        <v>13</v>
      </c>
      <c r="F34" s="30" t="s">
        <v>14</v>
      </c>
      <c r="H34" s="29" t="s">
        <v>13</v>
      </c>
      <c r="I34" s="29" t="s">
        <v>14</v>
      </c>
      <c r="J34" s="29" t="s">
        <v>13</v>
      </c>
      <c r="K34" s="30" t="s">
        <v>14</v>
      </c>
    </row>
    <row r="35" spans="3:11" ht="21.75" customHeight="1">
      <c r="C35" s="34" t="s">
        <v>15</v>
      </c>
      <c r="D35" s="74"/>
      <c r="E35" s="34" t="s">
        <v>16</v>
      </c>
      <c r="F35" s="36"/>
      <c r="H35" s="34" t="s">
        <v>15</v>
      </c>
      <c r="I35" s="74"/>
      <c r="J35" s="34" t="s">
        <v>16</v>
      </c>
      <c r="K35" s="36"/>
    </row>
    <row r="36" spans="3:11" ht="21.75" customHeight="1">
      <c r="C36" s="42" t="s">
        <v>18</v>
      </c>
      <c r="D36" s="75"/>
      <c r="E36" s="42" t="s">
        <v>19</v>
      </c>
      <c r="F36" s="44"/>
      <c r="H36" s="42" t="s">
        <v>18</v>
      </c>
      <c r="I36" s="75"/>
      <c r="J36" s="42" t="s">
        <v>19</v>
      </c>
      <c r="K36" s="44"/>
    </row>
    <row r="37" spans="3:11" ht="21.75" customHeight="1">
      <c r="C37" s="42" t="s">
        <v>21</v>
      </c>
      <c r="D37" s="76"/>
      <c r="E37" s="42" t="s">
        <v>22</v>
      </c>
      <c r="F37" s="44"/>
      <c r="H37" s="42" t="s">
        <v>21</v>
      </c>
      <c r="I37" s="76"/>
      <c r="J37" s="42" t="s">
        <v>22</v>
      </c>
      <c r="K37" s="44"/>
    </row>
    <row r="38" spans="3:11" ht="21.75" customHeight="1">
      <c r="C38" s="42" t="s">
        <v>24</v>
      </c>
      <c r="D38" s="76"/>
      <c r="E38" s="42" t="s">
        <v>25</v>
      </c>
      <c r="F38" s="44"/>
      <c r="H38" s="42" t="s">
        <v>24</v>
      </c>
      <c r="I38" s="76"/>
      <c r="J38" s="42" t="s">
        <v>25</v>
      </c>
      <c r="K38" s="44"/>
    </row>
    <row r="39" spans="3:11" ht="21.75" customHeight="1">
      <c r="C39" s="42" t="s">
        <v>26</v>
      </c>
      <c r="D39" s="76"/>
      <c r="E39" s="42" t="s">
        <v>27</v>
      </c>
      <c r="F39" s="44"/>
      <c r="H39" s="42" t="s">
        <v>26</v>
      </c>
      <c r="I39" s="76"/>
      <c r="J39" s="42" t="s">
        <v>27</v>
      </c>
      <c r="K39" s="44"/>
    </row>
    <row r="40" spans="3:11" ht="21.75" customHeight="1">
      <c r="C40" s="42"/>
      <c r="D40" s="76"/>
      <c r="E40" s="42" t="s">
        <v>28</v>
      </c>
      <c r="F40" s="44"/>
      <c r="H40" s="42"/>
      <c r="I40" s="76"/>
      <c r="J40" s="42" t="s">
        <v>28</v>
      </c>
      <c r="K40" s="44"/>
    </row>
    <row r="41" spans="3:11" ht="21.75" customHeight="1">
      <c r="C41" s="42" t="s">
        <v>29</v>
      </c>
      <c r="D41" s="76"/>
      <c r="E41" s="42" t="s">
        <v>30</v>
      </c>
      <c r="F41" s="44"/>
      <c r="H41" s="42" t="s">
        <v>29</v>
      </c>
      <c r="I41" s="76"/>
      <c r="J41" s="42" t="s">
        <v>30</v>
      </c>
      <c r="K41" s="44"/>
    </row>
    <row r="42" spans="3:11" ht="21.75" customHeight="1">
      <c r="C42" s="42"/>
      <c r="D42" s="77">
        <f>SUM(D41*-50)</f>
        <v>0</v>
      </c>
      <c r="E42" s="42" t="s">
        <v>31</v>
      </c>
      <c r="F42" s="44"/>
      <c r="H42" s="42"/>
      <c r="I42" s="77">
        <f>SUM(I41*-50)</f>
        <v>0</v>
      </c>
      <c r="J42" s="42" t="s">
        <v>31</v>
      </c>
      <c r="K42" s="44"/>
    </row>
    <row r="43" spans="3:11" ht="21.75" customHeight="1" thickBot="1">
      <c r="C43" s="56"/>
      <c r="D43" s="78"/>
      <c r="E43" s="56" t="s">
        <v>32</v>
      </c>
      <c r="F43" s="58"/>
      <c r="H43" s="56"/>
      <c r="I43" s="78"/>
      <c r="J43" s="56" t="s">
        <v>32</v>
      </c>
      <c r="K43" s="58"/>
    </row>
    <row r="44" spans="3:11" ht="21.75" customHeight="1" thickBot="1">
      <c r="C44" s="59" t="s">
        <v>33</v>
      </c>
      <c r="D44" s="79">
        <f>SUM((D35-D36-D37-D38-D39-D40)*I1+D42)</f>
        <v>0</v>
      </c>
      <c r="E44" s="59" t="s">
        <v>33</v>
      </c>
      <c r="F44" s="61">
        <f>SUM(F35:F43)</f>
        <v>0</v>
      </c>
      <c r="G44" s="62"/>
      <c r="H44" s="59" t="s">
        <v>33</v>
      </c>
      <c r="I44" s="79">
        <f>SUM((I35-I36-I37-I38-I39-I40)*I1+I42)</f>
        <v>0</v>
      </c>
      <c r="J44" s="59" t="s">
        <v>33</v>
      </c>
      <c r="K44" s="61">
        <f>SUM(K35:K43)</f>
        <v>0</v>
      </c>
    </row>
    <row r="45" spans="3:11" ht="21.75" customHeight="1">
      <c r="F45" s="67">
        <f>SUM(F44-D44)</f>
        <v>0</v>
      </c>
      <c r="K45" s="67">
        <f>SUM(K44-I44)</f>
        <v>0</v>
      </c>
    </row>
  </sheetData>
  <mergeCells count="13">
    <mergeCell ref="N28:O28"/>
    <mergeCell ref="P3:Q3"/>
    <mergeCell ref="N2:Q2"/>
    <mergeCell ref="N19:O19"/>
    <mergeCell ref="N24:O24"/>
    <mergeCell ref="N27:O27"/>
    <mergeCell ref="N20:O20"/>
    <mergeCell ref="N22:O22"/>
    <mergeCell ref="N23:O23"/>
    <mergeCell ref="N18:O18"/>
    <mergeCell ref="N21:O21"/>
    <mergeCell ref="N25:O25"/>
    <mergeCell ref="N26:O26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A10" workbookViewId="0">
      <selection activeCell="K4" sqref="K4"/>
    </sheetView>
  </sheetViews>
  <sheetFormatPr defaultRowHeight="27.75" customHeight="1"/>
  <cols>
    <col min="1" max="2" width="9" style="10"/>
    <col min="3" max="3" width="9" style="10" bestFit="1" customWidth="1"/>
    <col min="4" max="4" width="11.375" style="10" customWidth="1"/>
    <col min="5" max="5" width="11.25" style="10" bestFit="1" customWidth="1"/>
    <col min="6" max="6" width="11.375" style="10" customWidth="1"/>
    <col min="7" max="7" width="5" style="10" customWidth="1"/>
    <col min="8" max="8" width="9" style="10"/>
    <col min="9" max="9" width="11.375" style="10" customWidth="1"/>
    <col min="10" max="10" width="11.25" style="10" bestFit="1" customWidth="1"/>
    <col min="11" max="11" width="11.37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10</v>
      </c>
      <c r="D1" s="9" t="s">
        <v>0</v>
      </c>
      <c r="E1" s="99">
        <v>8</v>
      </c>
      <c r="F1" s="1"/>
      <c r="G1" s="1"/>
      <c r="H1" s="1"/>
      <c r="I1" s="1">
        <v>924</v>
      </c>
      <c r="J1" s="1"/>
      <c r="K1" s="1"/>
      <c r="L1" s="22">
        <f>+ROUND(+O5*0.584/1000,3)</f>
        <v>9.109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ROUND((+'(9)'!L2*(C1-1)+L1)/C1,3)</f>
        <v>10.997999999999999</v>
      </c>
      <c r="M2" s="18" t="s">
        <v>7</v>
      </c>
      <c r="N2" s="144" t="s">
        <v>1</v>
      </c>
      <c r="O2" s="144"/>
      <c r="P2" s="144"/>
      <c r="Q2" s="144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" si="0">+D3</f>
        <v>수량 및 금액</v>
      </c>
      <c r="J3" s="34" t="str">
        <f>+'[1](1)'!J3</f>
        <v>제   목</v>
      </c>
      <c r="K3" s="29" t="str">
        <f>F3</f>
        <v>수량 및 금액</v>
      </c>
      <c r="L3" s="21">
        <f>+L2*C1</f>
        <v>109.97999999999999</v>
      </c>
      <c r="M3" s="18" t="s">
        <v>10</v>
      </c>
      <c r="N3" s="3"/>
      <c r="O3" s="3"/>
      <c r="P3" s="145" t="str">
        <f>+'(1)'!C1&amp;"년"&amp;'(1)'!E1&amp;"월"&amp;C1&amp;"일"</f>
        <v>2023년8월10일</v>
      </c>
      <c r="Q3" s="145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9546.4439999999995</v>
      </c>
      <c r="E4" s="34" t="str">
        <f>+'[1](1)'!E4</f>
        <v>고액권</v>
      </c>
      <c r="F4" s="36">
        <v>100000</v>
      </c>
      <c r="G4" s="27"/>
      <c r="H4" s="34" t="str">
        <f>+C4</f>
        <v>판매량</v>
      </c>
      <c r="I4" s="35">
        <v>6051.6719999999996</v>
      </c>
      <c r="J4" s="42" t="str">
        <f>+'[1](1)'!J4</f>
        <v>고액권</v>
      </c>
      <c r="K4" s="36">
        <v>125000</v>
      </c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45688</v>
      </c>
      <c r="S4" s="6" t="s">
        <v>2</v>
      </c>
      <c r="T4" s="1"/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>
        <v>3000</v>
      </c>
      <c r="G5" s="27"/>
      <c r="H5" s="42" t="str">
        <f t="shared" ref="H5:H13" si="2">+C5</f>
        <v>법인전표</v>
      </c>
      <c r="I5" s="43"/>
      <c r="J5" s="42" t="str">
        <f>+'[1](1)'!J5</f>
        <v>천원권</v>
      </c>
      <c r="K5" s="44">
        <v>3000</v>
      </c>
      <c r="L5" s="2"/>
      <c r="M5" s="20"/>
      <c r="N5" s="45" t="str">
        <f>+C4</f>
        <v>판매량</v>
      </c>
      <c r="O5" s="46">
        <f>SUM(D4+I4+D17+I17+D35+I35)</f>
        <v>15598.115999999998</v>
      </c>
      <c r="P5" s="47" t="str">
        <f>+E4</f>
        <v>고액권</v>
      </c>
      <c r="Q5" s="48">
        <f>SUM(F4+K4+F17+K17+F35+K35)</f>
        <v>225000</v>
      </c>
      <c r="R5" s="7">
        <v>30</v>
      </c>
      <c r="S5" s="6" t="s">
        <v>3</v>
      </c>
      <c r="T5" s="1"/>
      <c r="U5" s="1"/>
      <c r="V5" s="1"/>
    </row>
    <row r="6" spans="3:22" ht="16.5" customHeight="1">
      <c r="C6" s="83" t="str">
        <f>+'(1)'!C6</f>
        <v>외상전표</v>
      </c>
      <c r="D6" s="50">
        <v>354.57</v>
      </c>
      <c r="E6" s="105" t="str">
        <f>+'[1](1)'!E6</f>
        <v>블루/레드포인트</v>
      </c>
      <c r="F6" s="44"/>
      <c r="G6" s="27"/>
      <c r="H6" s="42" t="str">
        <f t="shared" si="2"/>
        <v>외상전표</v>
      </c>
      <c r="I6" s="50">
        <v>25.442</v>
      </c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6000</v>
      </c>
      <c r="R6" s="7">
        <v>2.5</v>
      </c>
      <c r="S6" s="6" t="s">
        <v>4</v>
      </c>
      <c r="T6" s="1"/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/>
      <c r="G7" s="27"/>
      <c r="H7" s="83" t="str">
        <f t="shared" si="2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3">+C6</f>
        <v>외상전표</v>
      </c>
      <c r="O7" s="54">
        <f>SUM(D6+I6+D19+I19+D37+I37)</f>
        <v>380.012</v>
      </c>
      <c r="P7" s="106" t="str">
        <f t="shared" ref="P7:P14" si="4">+E6</f>
        <v>블루/레드포인트</v>
      </c>
      <c r="Q7" s="53">
        <f>SUM(F6+K6+F19+K19+F37+K37)</f>
        <v>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>
        <v>8381942</v>
      </c>
      <c r="G8" s="27"/>
      <c r="H8" s="34" t="str">
        <f t="shared" si="2"/>
        <v>자가소비</v>
      </c>
      <c r="I8" s="50"/>
      <c r="J8" s="42" t="str">
        <f>+'[1](1)'!J8</f>
        <v>신용카드</v>
      </c>
      <c r="K8" s="44">
        <v>13810175</v>
      </c>
      <c r="L8" s="2"/>
      <c r="M8" s="20"/>
      <c r="N8" s="51" t="str">
        <f t="shared" si="3"/>
        <v>효신(업)</v>
      </c>
      <c r="O8" s="52">
        <f>SUM(D7+I7+D20+I20+D38+I38)</f>
        <v>0</v>
      </c>
      <c r="P8" s="106" t="str">
        <f t="shared" si="4"/>
        <v>롯대칠성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/>
      <c r="G9" s="27"/>
      <c r="H9" s="42" t="str">
        <f t="shared" si="2"/>
        <v>-</v>
      </c>
      <c r="I9" s="50"/>
      <c r="J9" s="42" t="str">
        <f>+'[1](1)'!J9</f>
        <v>상품권</v>
      </c>
      <c r="K9" s="44"/>
      <c r="L9" s="2"/>
      <c r="M9" s="20"/>
      <c r="N9" s="51" t="str">
        <f t="shared" si="3"/>
        <v>자가소비</v>
      </c>
      <c r="O9" s="54">
        <f>SUM(D8+I8+D21+I21+D39+I39)</f>
        <v>0</v>
      </c>
      <c r="P9" s="51" t="str">
        <f t="shared" si="4"/>
        <v>신용카드</v>
      </c>
      <c r="Q9" s="53">
        <f>IF(K8=0,F8,IF(F21=0,K8,IF(K21=0,F21,K21)))</f>
        <v>13810175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>
        <v>263.08999999999997</v>
      </c>
      <c r="E10" s="42" t="str">
        <f>+'[1](1)'!E10</f>
        <v>OK케시백</v>
      </c>
      <c r="F10" s="44"/>
      <c r="G10" s="27"/>
      <c r="H10" s="42" t="str">
        <f t="shared" si="2"/>
        <v>고객우대</v>
      </c>
      <c r="I10" s="50">
        <v>58.215000000000003</v>
      </c>
      <c r="J10" s="42" t="str">
        <f>+'[1](1)'!J10</f>
        <v>OK케시백</v>
      </c>
      <c r="K10" s="44"/>
      <c r="L10" s="2"/>
      <c r="M10" s="20"/>
      <c r="N10" s="51" t="str">
        <f t="shared" si="3"/>
        <v>-</v>
      </c>
      <c r="O10" s="54"/>
      <c r="P10" s="51" t="str">
        <f t="shared" si="4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-9208.15</v>
      </c>
      <c r="E11" s="42" t="str">
        <f>+'[1](1)'!E11</f>
        <v>모바일</v>
      </c>
      <c r="F11" s="44"/>
      <c r="G11" s="27"/>
      <c r="H11" s="83" t="str">
        <f t="shared" si="2"/>
        <v>-</v>
      </c>
      <c r="I11" s="55">
        <f>SUM(I10*-35)</f>
        <v>-2037.5250000000001</v>
      </c>
      <c r="J11" s="56" t="str">
        <f>+'[1](1)'!J11</f>
        <v>모바일</v>
      </c>
      <c r="K11" s="44">
        <v>10000</v>
      </c>
      <c r="L11" s="2"/>
      <c r="M11" s="20"/>
      <c r="N11" s="51" t="str">
        <f t="shared" si="3"/>
        <v>고객우대</v>
      </c>
      <c r="O11" s="54">
        <f>SUM(D10+I10+D23+I23+D41+I41)</f>
        <v>321.30499999999995</v>
      </c>
      <c r="P11" s="51" t="str">
        <f t="shared" si="4"/>
        <v>OK케시백</v>
      </c>
      <c r="Q11" s="53">
        <f>SUM(F10+K10+F23+K23+F41+K41)</f>
        <v>0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/>
      <c r="G12" s="27"/>
      <c r="H12" s="84" t="str">
        <f t="shared" si="2"/>
        <v>-</v>
      </c>
      <c r="I12" s="57"/>
      <c r="J12" s="29" t="str">
        <f>+'[1](1)'!J12</f>
        <v>제로페이</v>
      </c>
      <c r="K12" s="58"/>
      <c r="L12" s="2"/>
      <c r="M12" s="20"/>
      <c r="N12" s="51" t="str">
        <f t="shared" si="3"/>
        <v>-</v>
      </c>
      <c r="O12" s="55">
        <f>SUM(O11*-35)</f>
        <v>-11245.674999999997</v>
      </c>
      <c r="P12" s="51" t="str">
        <f t="shared" si="4"/>
        <v>모바일</v>
      </c>
      <c r="Q12" s="53">
        <f>SUM(F11+K11+F24+K24+F42+K42)</f>
        <v>10000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SUM((D4-D5-D6-D7-D8-D9)*$I$1+D11)</f>
        <v>8484083.425999999</v>
      </c>
      <c r="E13" s="29" t="str">
        <f>+'[1](1)'!E13</f>
        <v>합계</v>
      </c>
      <c r="F13" s="61">
        <f>SUM(F4:F12)</f>
        <v>8484942</v>
      </c>
      <c r="G13" s="62"/>
      <c r="H13" s="29" t="str">
        <f t="shared" si="2"/>
        <v>합계</v>
      </c>
      <c r="I13" s="60">
        <f>SUM((I4-I5-I6-I7-I8-I9)*$I$1+I11)</f>
        <v>5566198.9949999992</v>
      </c>
      <c r="J13" s="29" t="str">
        <f t="shared" ref="J13" si="5">+E13</f>
        <v>합계</v>
      </c>
      <c r="K13" s="61">
        <f>IF(K8=0,0,SUM(K4:K12)-F8)</f>
        <v>5566233</v>
      </c>
      <c r="L13" s="2"/>
      <c r="M13" s="20"/>
      <c r="N13" s="63" t="str">
        <f t="shared" si="3"/>
        <v>-</v>
      </c>
      <c r="O13" s="64"/>
      <c r="P13" s="63" t="str">
        <f t="shared" si="4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858.57400000095367</v>
      </c>
      <c r="G14" s="27"/>
      <c r="H14" s="27"/>
      <c r="I14" s="27"/>
      <c r="J14" s="27"/>
      <c r="K14" s="67">
        <f>SUM(K13-I13)</f>
        <v>34.005000000819564</v>
      </c>
      <c r="L14" s="2">
        <f>SUM(L4:L13)</f>
        <v>0</v>
      </c>
      <c r="M14" s="18" t="s">
        <v>9</v>
      </c>
      <c r="N14" s="39" t="str">
        <f t="shared" si="3"/>
        <v>합계</v>
      </c>
      <c r="O14" s="68">
        <f>SUM((O5-O6-O7-O8-O9-O10)*+E1+O12)</f>
        <v>110499.15699999998</v>
      </c>
      <c r="P14" s="39" t="str">
        <f t="shared" si="4"/>
        <v>합계</v>
      </c>
      <c r="Q14" s="69">
        <f>SUM(Q5:Q13)</f>
        <v>14051175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892.57900000177324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30" t="s">
        <v>34</v>
      </c>
      <c r="O18" s="143"/>
      <c r="P18" s="116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105" t="str">
        <f t="shared" ref="E19:E25" si="9">+E6</f>
        <v>블루/레드포인트</v>
      </c>
      <c r="F19" s="44"/>
      <c r="G19" s="27"/>
      <c r="H19" s="42" t="str">
        <f t="shared" ref="H19:H25" si="10">+C6</f>
        <v>외상전표</v>
      </c>
      <c r="I19" s="50"/>
      <c r="J19" s="105" t="str">
        <f t="shared" ref="J19:J25" si="11">+E6</f>
        <v>블루/레드포인트</v>
      </c>
      <c r="K19" s="44"/>
      <c r="L19" s="2"/>
      <c r="M19" s="1"/>
      <c r="N19" s="134" t="s">
        <v>37</v>
      </c>
      <c r="O19" s="135"/>
      <c r="P19" s="117"/>
      <c r="Q19" s="48">
        <f>SUM(P19*1000)</f>
        <v>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롯대칠성</v>
      </c>
      <c r="F20" s="44"/>
      <c r="G20" s="27"/>
      <c r="H20" s="42" t="str">
        <f t="shared" si="10"/>
        <v>효신(업)</v>
      </c>
      <c r="I20" s="50"/>
      <c r="J20" s="42" t="str">
        <f t="shared" si="11"/>
        <v>롯대칠성</v>
      </c>
      <c r="K20" s="44"/>
      <c r="L20" s="2"/>
      <c r="M20" s="1"/>
      <c r="N20" s="140" t="s">
        <v>38</v>
      </c>
      <c r="O20" s="141"/>
      <c r="P20" s="118"/>
      <c r="Q20" s="53">
        <f>SUM(P20*1000)</f>
        <v>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40" t="s">
        <v>57</v>
      </c>
      <c r="O21" s="141"/>
      <c r="P21" s="118"/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42" t="s">
        <v>59</v>
      </c>
      <c r="O22" s="137"/>
      <c r="P22" s="118"/>
      <c r="Q22" s="53"/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36" t="s">
        <v>61</v>
      </c>
      <c r="O23" s="137"/>
      <c r="P23" s="118"/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36" t="s">
        <v>62</v>
      </c>
      <c r="O24" s="137"/>
      <c r="P24" s="118"/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36"/>
      <c r="O25" s="137"/>
      <c r="P25" s="121"/>
      <c r="Q25" s="12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SUM((D17-D18-D19-D20-D21-D22)*$I$1+D24)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SUM((I17-I18-I19-I20-I21-I22)*$I$1+I24)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36"/>
      <c r="O26" s="137"/>
      <c r="P26" s="123"/>
      <c r="Q26" s="114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38" t="s">
        <v>39</v>
      </c>
      <c r="O27" s="139"/>
      <c r="P27" s="119">
        <f>+P28-SUM(P19:P26)</f>
        <v>0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30" t="s">
        <v>40</v>
      </c>
      <c r="O28" s="131"/>
      <c r="P28" s="120">
        <v>0</v>
      </c>
      <c r="Q28" s="69">
        <f>SUM(Q19:Q27)</f>
        <v>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1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2"/>
      <c r="O31" s="103">
        <v>25229</v>
      </c>
      <c r="P31" s="103">
        <v>25229</v>
      </c>
      <c r="Q31" s="104">
        <f>P31-O31</f>
        <v>0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1:O21"/>
    <mergeCell ref="N2:Q2"/>
    <mergeCell ref="P3:Q3"/>
    <mergeCell ref="N19:O19"/>
    <mergeCell ref="N20:O20"/>
    <mergeCell ref="N18:O18"/>
    <mergeCell ref="N28:O28"/>
    <mergeCell ref="N22:O22"/>
    <mergeCell ref="N23:O23"/>
    <mergeCell ref="N24:O24"/>
    <mergeCell ref="N27:O27"/>
    <mergeCell ref="N25:O25"/>
    <mergeCell ref="N26:O26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workbookViewId="0">
      <selection activeCell="D11" sqref="D11"/>
    </sheetView>
  </sheetViews>
  <sheetFormatPr defaultRowHeight="27.75" customHeight="1"/>
  <cols>
    <col min="1" max="2" width="9" style="10"/>
    <col min="3" max="3" width="9" style="10" bestFit="1" customWidth="1"/>
    <col min="4" max="4" width="11.5" style="10" customWidth="1"/>
    <col min="5" max="5" width="11.25" style="10" bestFit="1" customWidth="1"/>
    <col min="6" max="6" width="11.25" style="10" customWidth="1"/>
    <col min="7" max="7" width="5" style="10" customWidth="1"/>
    <col min="8" max="8" width="9" style="10"/>
    <col min="9" max="9" width="11.25" style="10" customWidth="1"/>
    <col min="10" max="10" width="11.25" style="10" bestFit="1" customWidth="1"/>
    <col min="11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11</v>
      </c>
      <c r="D1" s="9" t="s">
        <v>0</v>
      </c>
      <c r="E1" s="99">
        <v>8</v>
      </c>
      <c r="F1" s="1"/>
      <c r="G1" s="1"/>
      <c r="H1" s="1"/>
      <c r="I1" s="1">
        <v>924</v>
      </c>
      <c r="J1" s="1"/>
      <c r="K1" s="1"/>
      <c r="L1" s="22">
        <f>+ROUND(+O5*0.584/1000,3)</f>
        <v>10.853999999999999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ROUND((+'(10)'!L2*(C1-1)+L1)/C1,3)</f>
        <v>10.984999999999999</v>
      </c>
      <c r="M2" s="18" t="s">
        <v>7</v>
      </c>
      <c r="N2" s="144" t="s">
        <v>1</v>
      </c>
      <c r="O2" s="144"/>
      <c r="P2" s="144"/>
      <c r="Q2" s="144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" si="0">+D3</f>
        <v>수량 및 금액</v>
      </c>
      <c r="J3" s="34" t="str">
        <f>+'[1](1)'!J3</f>
        <v>제   목</v>
      </c>
      <c r="K3" s="29" t="str">
        <f>F3</f>
        <v>수량 및 금액</v>
      </c>
      <c r="L3" s="21">
        <f>+L2*C1</f>
        <v>120.83499999999999</v>
      </c>
      <c r="M3" s="18" t="s">
        <v>10</v>
      </c>
      <c r="N3" s="3"/>
      <c r="O3" s="3"/>
      <c r="P3" s="145" t="str">
        <f>+'(1)'!C1&amp;"년"&amp;'(1)'!E1&amp;"월"&amp;C1&amp;"일"</f>
        <v>2023년8월11일</v>
      </c>
      <c r="Q3" s="145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10043.494000000001</v>
      </c>
      <c r="E4" s="34" t="str">
        <f>+'[1](1)'!E4</f>
        <v>고액권</v>
      </c>
      <c r="F4" s="36">
        <v>160000</v>
      </c>
      <c r="G4" s="27"/>
      <c r="H4" s="34" t="str">
        <f>+C4</f>
        <v>판매량</v>
      </c>
      <c r="I4" s="35">
        <v>8542.3989999999994</v>
      </c>
      <c r="J4" s="42" t="str">
        <f>+'[1](1)'!J4</f>
        <v>고액권</v>
      </c>
      <c r="K4" s="36">
        <v>180000</v>
      </c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26091</v>
      </c>
      <c r="S4" s="6" t="s">
        <v>2</v>
      </c>
      <c r="T4" s="1"/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>
        <v>2000</v>
      </c>
      <c r="G5" s="27"/>
      <c r="H5" s="42" t="str">
        <f t="shared" ref="H5:H13" si="2">+C5</f>
        <v>법인전표</v>
      </c>
      <c r="I5" s="43"/>
      <c r="J5" s="42" t="str">
        <f>+'[1](1)'!J5</f>
        <v>천원권</v>
      </c>
      <c r="K5" s="44">
        <v>4000</v>
      </c>
      <c r="L5" s="2"/>
      <c r="M5" s="20"/>
      <c r="N5" s="45" t="str">
        <f>+C4</f>
        <v>판매량</v>
      </c>
      <c r="O5" s="46">
        <f>SUM(D4+I4+D17+I17+D35+I35)</f>
        <v>18585.893</v>
      </c>
      <c r="P5" s="47" t="str">
        <f>+E4</f>
        <v>고액권</v>
      </c>
      <c r="Q5" s="48">
        <f>SUM(F4+K4+F17+K17+F35+K35)</f>
        <v>340000</v>
      </c>
      <c r="R5" s="7">
        <v>32</v>
      </c>
      <c r="S5" s="6" t="s">
        <v>3</v>
      </c>
      <c r="T5" s="1"/>
      <c r="U5" s="1"/>
      <c r="V5" s="1"/>
    </row>
    <row r="6" spans="3:22" ht="16.5" customHeight="1">
      <c r="C6" s="83" t="str">
        <f>+'(1)'!C6</f>
        <v>외상전표</v>
      </c>
      <c r="D6" s="50">
        <v>253.99600000000001</v>
      </c>
      <c r="E6" s="105" t="str">
        <f>+'[1](1)'!E6</f>
        <v>블루/레드포인트</v>
      </c>
      <c r="F6" s="44"/>
      <c r="G6" s="27"/>
      <c r="H6" s="42" t="str">
        <f t="shared" si="2"/>
        <v>외상전표</v>
      </c>
      <c r="I6" s="50"/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6000</v>
      </c>
      <c r="R6" s="7">
        <v>2.6</v>
      </c>
      <c r="S6" s="6" t="s">
        <v>4</v>
      </c>
      <c r="T6" s="1"/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/>
      <c r="G7" s="27"/>
      <c r="H7" s="83" t="str">
        <f t="shared" si="2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3">+C6</f>
        <v>외상전표</v>
      </c>
      <c r="O7" s="54">
        <f>SUM(D6+I6+D19+I19+D37+I37)</f>
        <v>253.99600000000001</v>
      </c>
      <c r="P7" s="106" t="str">
        <f t="shared" ref="P7:P14" si="4">+E6</f>
        <v>블루/레드포인트</v>
      </c>
      <c r="Q7" s="53">
        <f>SUM(F6+K6+F19+K19+F37+K37)</f>
        <v>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>
        <v>8852107</v>
      </c>
      <c r="G8" s="27"/>
      <c r="H8" s="34" t="str">
        <f t="shared" si="2"/>
        <v>자가소비</v>
      </c>
      <c r="I8" s="50"/>
      <c r="J8" s="42" t="str">
        <f>+'[1](1)'!J8</f>
        <v>신용카드</v>
      </c>
      <c r="K8" s="44">
        <f>F8+7709688</f>
        <v>16561795</v>
      </c>
      <c r="L8" s="2"/>
      <c r="M8" s="20"/>
      <c r="N8" s="51" t="str">
        <f t="shared" si="3"/>
        <v>효신(업)</v>
      </c>
      <c r="O8" s="52">
        <f>SUM(D7+I7+D20+I20+D38+I38)</f>
        <v>0</v>
      </c>
      <c r="P8" s="106" t="str">
        <f t="shared" si="4"/>
        <v>롯대칠성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/>
      <c r="G9" s="27"/>
      <c r="H9" s="42" t="str">
        <f t="shared" si="2"/>
        <v>-</v>
      </c>
      <c r="I9" s="50"/>
      <c r="J9" s="42" t="str">
        <f>+'[1](1)'!J9</f>
        <v>상품권</v>
      </c>
      <c r="K9" s="44"/>
      <c r="L9" s="2"/>
      <c r="M9" s="20"/>
      <c r="N9" s="51" t="str">
        <f t="shared" si="3"/>
        <v>자가소비</v>
      </c>
      <c r="O9" s="54">
        <f>SUM(D8+I8+D21+I21+D39+I39)</f>
        <v>0</v>
      </c>
      <c r="P9" s="51" t="str">
        <f t="shared" si="4"/>
        <v>신용카드</v>
      </c>
      <c r="Q9" s="53">
        <f>IF(K8=0,F8,IF(F21=0,K8,IF(K21=0,F21,K21)))</f>
        <v>16561795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>
        <v>296.166</v>
      </c>
      <c r="E10" s="42" t="str">
        <f>+'[1](1)'!E10</f>
        <v>OK케시백</v>
      </c>
      <c r="F10" s="44"/>
      <c r="G10" s="27"/>
      <c r="H10" s="42" t="str">
        <f t="shared" si="2"/>
        <v>고객우대</v>
      </c>
      <c r="I10" s="50"/>
      <c r="J10" s="42" t="str">
        <f>+'[1](1)'!J10</f>
        <v>OK케시백</v>
      </c>
      <c r="K10" s="44"/>
      <c r="L10" s="2"/>
      <c r="M10" s="20"/>
      <c r="N10" s="51" t="str">
        <f t="shared" si="3"/>
        <v>-</v>
      </c>
      <c r="O10" s="54"/>
      <c r="P10" s="51" t="str">
        <f t="shared" si="4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-10365.81</v>
      </c>
      <c r="E11" s="42" t="str">
        <f>+'[1](1)'!E11</f>
        <v>모바일</v>
      </c>
      <c r="F11" s="44">
        <v>20000</v>
      </c>
      <c r="G11" s="27"/>
      <c r="H11" s="83" t="str">
        <f t="shared" si="2"/>
        <v>-</v>
      </c>
      <c r="I11" s="55">
        <f>SUM(I10*-35)</f>
        <v>0</v>
      </c>
      <c r="J11" s="56" t="str">
        <f>+'[1](1)'!J11</f>
        <v>모바일</v>
      </c>
      <c r="K11" s="44"/>
      <c r="L11" s="2"/>
      <c r="M11" s="20"/>
      <c r="N11" s="51" t="str">
        <f t="shared" si="3"/>
        <v>고객우대</v>
      </c>
      <c r="O11" s="54">
        <f>SUM(D10+I10+D23+I23+D41+I41)</f>
        <v>296.166</v>
      </c>
      <c r="P11" s="51" t="str">
        <f t="shared" si="4"/>
        <v>OK케시백</v>
      </c>
      <c r="Q11" s="53">
        <f>SUM(F10+K10+F23+K23+F41+K41)</f>
        <v>0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/>
      <c r="G12" s="27"/>
      <c r="H12" s="84" t="str">
        <f t="shared" si="2"/>
        <v>-</v>
      </c>
      <c r="I12" s="57"/>
      <c r="J12" s="29" t="str">
        <f>+'[1](1)'!J12</f>
        <v>제로페이</v>
      </c>
      <c r="K12" s="58"/>
      <c r="L12" s="2"/>
      <c r="M12" s="20"/>
      <c r="N12" s="51" t="str">
        <f t="shared" si="3"/>
        <v>-</v>
      </c>
      <c r="O12" s="55">
        <f>SUM(O11*-35)</f>
        <v>-10365.81</v>
      </c>
      <c r="P12" s="51" t="str">
        <f t="shared" si="4"/>
        <v>모바일</v>
      </c>
      <c r="Q12" s="53">
        <f>SUM(F11+K11+F24+K24+F42+K42)</f>
        <v>20000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SUM((D4-D5-D6-D7-D8-D9)*$I$1+D11)</f>
        <v>9035130.3420000002</v>
      </c>
      <c r="E13" s="29" t="str">
        <f>+'[1](1)'!E13</f>
        <v>합계</v>
      </c>
      <c r="F13" s="61">
        <f>SUM(F4:F12)</f>
        <v>9034107</v>
      </c>
      <c r="G13" s="62"/>
      <c r="H13" s="29" t="str">
        <f t="shared" si="2"/>
        <v>합계</v>
      </c>
      <c r="I13" s="60">
        <f>SUM((I4-I5-I6-I7-I8-I9)*$I$1+I11)</f>
        <v>7893176.675999999</v>
      </c>
      <c r="J13" s="29" t="str">
        <f t="shared" ref="J13" si="5">+E13</f>
        <v>합계</v>
      </c>
      <c r="K13" s="61">
        <f>IF(K8=0,0,SUM(K4:K12)-F8)</f>
        <v>7893688</v>
      </c>
      <c r="L13" s="2"/>
      <c r="M13" s="20"/>
      <c r="N13" s="63" t="str">
        <f t="shared" si="3"/>
        <v>-</v>
      </c>
      <c r="O13" s="64"/>
      <c r="P13" s="63" t="str">
        <f t="shared" si="4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-1023.3420000001788</v>
      </c>
      <c r="G14" s="27"/>
      <c r="H14" s="27"/>
      <c r="I14" s="27"/>
      <c r="J14" s="27"/>
      <c r="K14" s="67">
        <f>SUM(K13-I13)</f>
        <v>511.32400000095367</v>
      </c>
      <c r="L14" s="2">
        <f>SUM(L4:L13)</f>
        <v>0</v>
      </c>
      <c r="M14" s="18" t="s">
        <v>9</v>
      </c>
      <c r="N14" s="39" t="str">
        <f t="shared" si="3"/>
        <v>합계</v>
      </c>
      <c r="O14" s="68">
        <f>SUM((O5-O6-O7-O8-O9-O10)*+E1+O12)</f>
        <v>136289.36600000001</v>
      </c>
      <c r="P14" s="39" t="str">
        <f t="shared" si="4"/>
        <v>합계</v>
      </c>
      <c r="Q14" s="69">
        <f>SUM(Q5:Q13)</f>
        <v>16927795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-512.01799999922514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30" t="s">
        <v>34</v>
      </c>
      <c r="O18" s="143"/>
      <c r="P18" s="116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105" t="str">
        <f t="shared" ref="E19:E25" si="9">+E6</f>
        <v>블루/레드포인트</v>
      </c>
      <c r="F19" s="44"/>
      <c r="G19" s="27"/>
      <c r="H19" s="42" t="str">
        <f t="shared" ref="H19:H25" si="10">+C6</f>
        <v>외상전표</v>
      </c>
      <c r="I19" s="50"/>
      <c r="J19" s="105" t="str">
        <f t="shared" ref="J19:J25" si="11">+E6</f>
        <v>블루/레드포인트</v>
      </c>
      <c r="K19" s="44"/>
      <c r="L19" s="2"/>
      <c r="M19" s="1"/>
      <c r="N19" s="134" t="s">
        <v>37</v>
      </c>
      <c r="O19" s="135"/>
      <c r="P19" s="117"/>
      <c r="Q19" s="48">
        <f>SUM(P19*1000)</f>
        <v>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롯대칠성</v>
      </c>
      <c r="F20" s="44"/>
      <c r="G20" s="27"/>
      <c r="H20" s="42" t="str">
        <f t="shared" si="10"/>
        <v>효신(업)</v>
      </c>
      <c r="I20" s="50"/>
      <c r="J20" s="42" t="str">
        <f t="shared" si="11"/>
        <v>롯대칠성</v>
      </c>
      <c r="K20" s="44"/>
      <c r="L20" s="2"/>
      <c r="M20" s="1"/>
      <c r="N20" s="140" t="s">
        <v>38</v>
      </c>
      <c r="O20" s="141"/>
      <c r="P20" s="118"/>
      <c r="Q20" s="53">
        <f>SUM(P20*1000)</f>
        <v>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40" t="s">
        <v>57</v>
      </c>
      <c r="O21" s="141"/>
      <c r="P21" s="118"/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42" t="s">
        <v>59</v>
      </c>
      <c r="O22" s="137"/>
      <c r="P22" s="118"/>
      <c r="Q22" s="53"/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36" t="s">
        <v>61</v>
      </c>
      <c r="O23" s="137"/>
      <c r="P23" s="118"/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36" t="s">
        <v>62</v>
      </c>
      <c r="O24" s="137"/>
      <c r="P24" s="118"/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36"/>
      <c r="O25" s="137"/>
      <c r="P25" s="121"/>
      <c r="Q25" s="12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SUM((D17-D18-D19-D20-D21-D22)*$I$1+D24)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SUM((I17-I18-I19-I20-I21-I22)*$I$1+I24)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36"/>
      <c r="O26" s="137"/>
      <c r="P26" s="123"/>
      <c r="Q26" s="114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38" t="s">
        <v>39</v>
      </c>
      <c r="O27" s="139"/>
      <c r="P27" s="119">
        <f>+P28-SUM(P19:P26)</f>
        <v>0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30" t="s">
        <v>40</v>
      </c>
      <c r="O28" s="131"/>
      <c r="P28" s="120">
        <v>0</v>
      </c>
      <c r="Q28" s="69">
        <f>SUM(Q19:Q27)</f>
        <v>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1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2"/>
      <c r="O31" s="103">
        <v>25229</v>
      </c>
      <c r="P31" s="103">
        <v>25229</v>
      </c>
      <c r="Q31" s="104">
        <f>P31-O31</f>
        <v>0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1:O21"/>
    <mergeCell ref="N2:Q2"/>
    <mergeCell ref="P3:Q3"/>
    <mergeCell ref="N19:O19"/>
    <mergeCell ref="N20:O20"/>
    <mergeCell ref="N18:O18"/>
    <mergeCell ref="N28:O28"/>
    <mergeCell ref="N22:O22"/>
    <mergeCell ref="N23:O23"/>
    <mergeCell ref="N24:O24"/>
    <mergeCell ref="N27:O27"/>
    <mergeCell ref="N25:O25"/>
    <mergeCell ref="N26:O26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workbookViewId="0">
      <selection activeCell="K4" sqref="K4"/>
    </sheetView>
  </sheetViews>
  <sheetFormatPr defaultRowHeight="27.75" customHeight="1"/>
  <cols>
    <col min="1" max="2" width="9" style="10"/>
    <col min="3" max="3" width="9" style="10" bestFit="1" customWidth="1"/>
    <col min="4" max="4" width="11.375" style="10" customWidth="1"/>
    <col min="5" max="5" width="11.25" style="10" bestFit="1" customWidth="1"/>
    <col min="6" max="6" width="11.375" style="10" customWidth="1"/>
    <col min="7" max="7" width="5" style="10" customWidth="1"/>
    <col min="8" max="8" width="9" style="10"/>
    <col min="9" max="9" width="11.375" style="10" customWidth="1"/>
    <col min="10" max="10" width="11.25" style="10" bestFit="1" customWidth="1"/>
    <col min="11" max="11" width="11.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12</v>
      </c>
      <c r="D1" s="9" t="s">
        <v>0</v>
      </c>
      <c r="E1" s="99">
        <v>8</v>
      </c>
      <c r="F1" s="1"/>
      <c r="G1" s="1"/>
      <c r="H1" s="1"/>
      <c r="I1" s="1">
        <v>924</v>
      </c>
      <c r="J1" s="1"/>
      <c r="K1" s="1"/>
      <c r="L1" s="22">
        <f>+ROUND(+O5*0.584/1000,3)</f>
        <v>9.6940000000000008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ROUND((+'(11)'!L2*(C1-1)+L1)/C1,3)</f>
        <v>10.877000000000001</v>
      </c>
      <c r="M2" s="18" t="s">
        <v>7</v>
      </c>
      <c r="N2" s="144" t="s">
        <v>1</v>
      </c>
      <c r="O2" s="144"/>
      <c r="P2" s="144"/>
      <c r="Q2" s="144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" si="0">+D3</f>
        <v>수량 및 금액</v>
      </c>
      <c r="J3" s="34" t="str">
        <f>+'[1](1)'!J3</f>
        <v>제   목</v>
      </c>
      <c r="K3" s="29" t="str">
        <f>F3</f>
        <v>수량 및 금액</v>
      </c>
      <c r="L3" s="21">
        <f>+L2*C1</f>
        <v>130.524</v>
      </c>
      <c r="M3" s="18" t="s">
        <v>10</v>
      </c>
      <c r="N3" s="3"/>
      <c r="O3" s="3"/>
      <c r="P3" s="145" t="str">
        <f>+'(1)'!C1&amp;"년"&amp;'(1)'!E1&amp;"월"&amp;C1&amp;"일"</f>
        <v>2023년8월12일</v>
      </c>
      <c r="Q3" s="145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8900.7090000000007</v>
      </c>
      <c r="E4" s="34" t="str">
        <f>+'[1](1)'!E4</f>
        <v>고액권</v>
      </c>
      <c r="F4" s="36">
        <v>115000</v>
      </c>
      <c r="G4" s="27"/>
      <c r="H4" s="34" t="str">
        <f>+C4</f>
        <v>판매량</v>
      </c>
      <c r="I4" s="35">
        <v>7699.1670000000004</v>
      </c>
      <c r="J4" s="42" t="str">
        <f>+'[1](1)'!J4</f>
        <v>고액권</v>
      </c>
      <c r="K4" s="36">
        <v>120000</v>
      </c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45377</v>
      </c>
      <c r="S4" s="6" t="s">
        <v>2</v>
      </c>
      <c r="T4" s="1"/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>
        <v>4000</v>
      </c>
      <c r="G5" s="27"/>
      <c r="H5" s="42" t="str">
        <f t="shared" ref="H5:H13" si="2">+C5</f>
        <v>법인전표</v>
      </c>
      <c r="I5" s="43"/>
      <c r="J5" s="42" t="str">
        <f>+'[1](1)'!J5</f>
        <v>천원권</v>
      </c>
      <c r="K5" s="44"/>
      <c r="L5" s="2"/>
      <c r="M5" s="20"/>
      <c r="N5" s="45" t="str">
        <f>+C4</f>
        <v>판매량</v>
      </c>
      <c r="O5" s="46">
        <f>SUM(D4+I4+D17+I17+D35+I35)</f>
        <v>16599.876</v>
      </c>
      <c r="P5" s="47" t="str">
        <f>+E4</f>
        <v>고액권</v>
      </c>
      <c r="Q5" s="48">
        <f>SUM(F4+K4+F17+K17+F35+K35)</f>
        <v>235000</v>
      </c>
      <c r="R5" s="7">
        <v>31</v>
      </c>
      <c r="S5" s="6" t="s">
        <v>3</v>
      </c>
      <c r="T5" s="1"/>
      <c r="U5" s="1"/>
      <c r="V5" s="1"/>
    </row>
    <row r="6" spans="3:22" ht="16.5" customHeight="1">
      <c r="C6" s="83" t="str">
        <f>+'(1)'!C6</f>
        <v>외상전표</v>
      </c>
      <c r="D6" s="50">
        <v>44.088000000000001</v>
      </c>
      <c r="E6" s="105" t="str">
        <f>+'[1](1)'!E6</f>
        <v>블루/레드포인트</v>
      </c>
      <c r="F6" s="44"/>
      <c r="G6" s="27"/>
      <c r="H6" s="42" t="str">
        <f t="shared" si="2"/>
        <v>외상전표</v>
      </c>
      <c r="I6" s="50"/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4000</v>
      </c>
      <c r="R6" s="7">
        <v>2.6</v>
      </c>
      <c r="S6" s="6" t="s">
        <v>4</v>
      </c>
      <c r="T6" s="1"/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/>
      <c r="G7" s="27"/>
      <c r="H7" s="83" t="str">
        <f t="shared" si="2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3">+C6</f>
        <v>외상전표</v>
      </c>
      <c r="O7" s="54">
        <f>SUM(D6+I6+D19+I19+D37+I37)</f>
        <v>44.088000000000001</v>
      </c>
      <c r="P7" s="106" t="str">
        <f t="shared" ref="P7:P14" si="4">+E6</f>
        <v>블루/레드포인트</v>
      </c>
      <c r="Q7" s="53">
        <f>SUM(F6+K6+F19+K19+F37+K37)</f>
        <v>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>
        <v>8026382</v>
      </c>
      <c r="G8" s="27"/>
      <c r="H8" s="34" t="str">
        <f t="shared" si="2"/>
        <v>자가소비</v>
      </c>
      <c r="I8" s="50"/>
      <c r="J8" s="42" t="str">
        <f>+'[1](1)'!J8</f>
        <v>신용카드</v>
      </c>
      <c r="K8" s="44">
        <f>F8+6994914</f>
        <v>15021296</v>
      </c>
      <c r="L8" s="2"/>
      <c r="M8" s="20"/>
      <c r="N8" s="51" t="str">
        <f t="shared" si="3"/>
        <v>효신(업)</v>
      </c>
      <c r="O8" s="52">
        <f>SUM(D7+I7+D20+I20+D38+I38)</f>
        <v>0</v>
      </c>
      <c r="P8" s="106" t="str">
        <f t="shared" si="4"/>
        <v>롯대칠성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/>
      <c r="G9" s="27"/>
      <c r="H9" s="42" t="str">
        <f t="shared" si="2"/>
        <v>-</v>
      </c>
      <c r="I9" s="50"/>
      <c r="J9" s="42" t="str">
        <f>+'[1](1)'!J9</f>
        <v>상품권</v>
      </c>
      <c r="K9" s="44"/>
      <c r="L9" s="2"/>
      <c r="M9" s="20"/>
      <c r="N9" s="51" t="str">
        <f t="shared" si="3"/>
        <v>자가소비</v>
      </c>
      <c r="O9" s="54">
        <f>SUM(D8+I8+D21+I21+D39+I39)</f>
        <v>0</v>
      </c>
      <c r="P9" s="51" t="str">
        <f t="shared" si="4"/>
        <v>신용카드</v>
      </c>
      <c r="Q9" s="53">
        <f>IF(K8=0,F8,IF(F21=0,K8,IF(K21=0,F21,K21)))</f>
        <v>15021296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>
        <v>218.84800000000001</v>
      </c>
      <c r="E10" s="42" t="str">
        <f>+'[1](1)'!E10</f>
        <v>OK케시백</v>
      </c>
      <c r="F10" s="44"/>
      <c r="G10" s="27"/>
      <c r="H10" s="42" t="str">
        <f t="shared" si="2"/>
        <v>고객우대</v>
      </c>
      <c r="I10" s="50"/>
      <c r="J10" s="42" t="str">
        <f>+'[1](1)'!J10</f>
        <v>OK케시백</v>
      </c>
      <c r="K10" s="44"/>
      <c r="L10" s="2"/>
      <c r="M10" s="20"/>
      <c r="N10" s="51" t="str">
        <f t="shared" si="3"/>
        <v>-</v>
      </c>
      <c r="O10" s="54"/>
      <c r="P10" s="51" t="str">
        <f t="shared" si="4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-7659.68</v>
      </c>
      <c r="E11" s="42" t="str">
        <f>+'[1](1)'!E11</f>
        <v>모바일</v>
      </c>
      <c r="F11" s="44">
        <v>30000</v>
      </c>
      <c r="G11" s="27"/>
      <c r="H11" s="83" t="str">
        <f t="shared" si="2"/>
        <v>-</v>
      </c>
      <c r="I11" s="55">
        <f>SUM(I10*-35)</f>
        <v>0</v>
      </c>
      <c r="J11" s="56" t="str">
        <f>+'[1](1)'!J11</f>
        <v>모바일</v>
      </c>
      <c r="K11" s="44"/>
      <c r="L11" s="2"/>
      <c r="M11" s="20"/>
      <c r="N11" s="51" t="str">
        <f t="shared" si="3"/>
        <v>고객우대</v>
      </c>
      <c r="O11" s="54">
        <f>SUM(D10+I10+D23+I23+D41+I41)</f>
        <v>218.84800000000001</v>
      </c>
      <c r="P11" s="51" t="str">
        <f t="shared" si="4"/>
        <v>OK케시백</v>
      </c>
      <c r="Q11" s="53">
        <f>SUM(F10+K10+F23+K23+F41+K41)</f>
        <v>0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/>
      <c r="G12" s="27"/>
      <c r="H12" s="84" t="str">
        <f t="shared" si="2"/>
        <v>-</v>
      </c>
      <c r="I12" s="57"/>
      <c r="J12" s="29" t="str">
        <f>+'[1](1)'!J12</f>
        <v>제로페이</v>
      </c>
      <c r="K12" s="58"/>
      <c r="L12" s="2"/>
      <c r="M12" s="20"/>
      <c r="N12" s="51" t="str">
        <f t="shared" si="3"/>
        <v>-</v>
      </c>
      <c r="O12" s="55">
        <f>SUM(O11*-35)</f>
        <v>-7659.68</v>
      </c>
      <c r="P12" s="51" t="str">
        <f t="shared" si="4"/>
        <v>모바일</v>
      </c>
      <c r="Q12" s="53">
        <f>SUM(F11+K11+F24+K24+F42+K42)</f>
        <v>30000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SUM((D4-D5-D6-D7-D8-D9)*$I$1+D11)</f>
        <v>8175858.1240000008</v>
      </c>
      <c r="E13" s="29" t="str">
        <f>+'[1](1)'!E13</f>
        <v>합계</v>
      </c>
      <c r="F13" s="61">
        <f>SUM(F4:F12)</f>
        <v>8175382</v>
      </c>
      <c r="G13" s="62"/>
      <c r="H13" s="29" t="str">
        <f t="shared" si="2"/>
        <v>합계</v>
      </c>
      <c r="I13" s="60">
        <f>SUM((I4-I5-I6-I7-I8-I9)*$I$1+I11)</f>
        <v>7114030.3080000002</v>
      </c>
      <c r="J13" s="29" t="str">
        <f t="shared" ref="J13" si="5">+E13</f>
        <v>합계</v>
      </c>
      <c r="K13" s="61">
        <f>IF(K8=0,0,SUM(K4:K12)-F8)</f>
        <v>7114914</v>
      </c>
      <c r="L13" s="2"/>
      <c r="M13" s="20"/>
      <c r="N13" s="63" t="str">
        <f t="shared" si="3"/>
        <v>-</v>
      </c>
      <c r="O13" s="64"/>
      <c r="P13" s="63" t="str">
        <f t="shared" si="4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-476.12400000076741</v>
      </c>
      <c r="G14" s="27"/>
      <c r="H14" s="27"/>
      <c r="I14" s="27"/>
      <c r="J14" s="27"/>
      <c r="K14" s="67">
        <f>SUM(K13-I13)</f>
        <v>883.69199999980628</v>
      </c>
      <c r="L14" s="2">
        <f>SUM(L4:L13)</f>
        <v>0</v>
      </c>
      <c r="M14" s="18" t="s">
        <v>9</v>
      </c>
      <c r="N14" s="39" t="str">
        <f t="shared" si="3"/>
        <v>합계</v>
      </c>
      <c r="O14" s="68">
        <f>SUM((O5-O6-O7-O8-O9-O10)*+E1+O12)</f>
        <v>124786.62400000001</v>
      </c>
      <c r="P14" s="39" t="str">
        <f t="shared" si="4"/>
        <v>합계</v>
      </c>
      <c r="Q14" s="69">
        <f>SUM(Q5:Q13)</f>
        <v>15290296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407.56799999903888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30" t="s">
        <v>34</v>
      </c>
      <c r="O18" s="143"/>
      <c r="P18" s="116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105" t="str">
        <f t="shared" ref="E19:E25" si="9">+E6</f>
        <v>블루/레드포인트</v>
      </c>
      <c r="F19" s="44"/>
      <c r="G19" s="27"/>
      <c r="H19" s="42" t="str">
        <f t="shared" ref="H19:H25" si="10">+C6</f>
        <v>외상전표</v>
      </c>
      <c r="I19" s="50"/>
      <c r="J19" s="105" t="str">
        <f t="shared" ref="J19:J25" si="11">+E6</f>
        <v>블루/레드포인트</v>
      </c>
      <c r="K19" s="44"/>
      <c r="L19" s="2"/>
      <c r="M19" s="1"/>
      <c r="N19" s="134" t="s">
        <v>37</v>
      </c>
      <c r="O19" s="135"/>
      <c r="P19" s="117">
        <v>7</v>
      </c>
      <c r="Q19" s="48">
        <f>SUM(P19*1000)</f>
        <v>7000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롯대칠성</v>
      </c>
      <c r="F20" s="44"/>
      <c r="G20" s="27"/>
      <c r="H20" s="42" t="str">
        <f t="shared" si="10"/>
        <v>효신(업)</v>
      </c>
      <c r="I20" s="50"/>
      <c r="J20" s="42" t="str">
        <f t="shared" si="11"/>
        <v>롯대칠성</v>
      </c>
      <c r="K20" s="44"/>
      <c r="L20" s="2"/>
      <c r="M20" s="1"/>
      <c r="N20" s="140" t="s">
        <v>38</v>
      </c>
      <c r="O20" s="141"/>
      <c r="P20" s="118">
        <v>32</v>
      </c>
      <c r="Q20" s="53">
        <f>SUM(P20*1000)</f>
        <v>32000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40" t="s">
        <v>57</v>
      </c>
      <c r="O21" s="141"/>
      <c r="P21" s="118">
        <v>3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42" t="s">
        <v>59</v>
      </c>
      <c r="O22" s="137"/>
      <c r="P22" s="118">
        <v>18</v>
      </c>
      <c r="Q22" s="53"/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36" t="s">
        <v>61</v>
      </c>
      <c r="O23" s="137"/>
      <c r="P23" s="118">
        <v>10</v>
      </c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36" t="s">
        <v>62</v>
      </c>
      <c r="O24" s="137"/>
      <c r="P24" s="118">
        <v>5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36"/>
      <c r="O25" s="137"/>
      <c r="P25" s="121"/>
      <c r="Q25" s="12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SUM((D17-D18-D19-D20-D21-D22)*$I$1+D24)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SUM((I17-I18-I19-I20-I21-I22)*$I$1+I24)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36"/>
      <c r="O26" s="137"/>
      <c r="P26" s="123"/>
      <c r="Q26" s="114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38" t="s">
        <v>39</v>
      </c>
      <c r="O27" s="139"/>
      <c r="P27" s="119">
        <f>+P28-SUM(P19:P26)</f>
        <v>-6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30" t="s">
        <v>40</v>
      </c>
      <c r="O28" s="131"/>
      <c r="P28" s="120">
        <v>69</v>
      </c>
      <c r="Q28" s="69">
        <f>SUM(Q19:Q27)</f>
        <v>39000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1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2"/>
      <c r="O31" s="102">
        <v>25229</v>
      </c>
      <c r="P31" s="103">
        <v>25243</v>
      </c>
      <c r="Q31" s="104">
        <f>P31-O31</f>
        <v>14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1:O21"/>
    <mergeCell ref="N2:Q2"/>
    <mergeCell ref="P3:Q3"/>
    <mergeCell ref="N19:O19"/>
    <mergeCell ref="N20:O20"/>
    <mergeCell ref="N18:O18"/>
    <mergeCell ref="N28:O28"/>
    <mergeCell ref="N22:O22"/>
    <mergeCell ref="N23:O23"/>
    <mergeCell ref="N24:O24"/>
    <mergeCell ref="N27:O27"/>
    <mergeCell ref="N25:O25"/>
    <mergeCell ref="N26:O26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workbookViewId="0">
      <selection activeCell="P31" sqref="P31"/>
    </sheetView>
  </sheetViews>
  <sheetFormatPr defaultRowHeight="27.75" customHeight="1"/>
  <cols>
    <col min="1" max="2" width="9" style="10"/>
    <col min="3" max="3" width="9" style="10" bestFit="1" customWidth="1"/>
    <col min="4" max="4" width="11.375" style="10" customWidth="1"/>
    <col min="5" max="5" width="11.25" style="10" bestFit="1" customWidth="1"/>
    <col min="6" max="6" width="11.375" style="10" customWidth="1"/>
    <col min="7" max="7" width="5" style="10" customWidth="1"/>
    <col min="8" max="8" width="9" style="10"/>
    <col min="9" max="9" width="11.375" style="10" customWidth="1"/>
    <col min="10" max="10" width="11.25" style="10" bestFit="1" customWidth="1"/>
    <col min="11" max="11" width="11.37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13</v>
      </c>
      <c r="D1" s="9" t="s">
        <v>0</v>
      </c>
      <c r="E1" s="99">
        <v>8</v>
      </c>
      <c r="F1" s="1"/>
      <c r="G1" s="1"/>
      <c r="H1" s="1"/>
      <c r="I1" s="1">
        <v>924</v>
      </c>
      <c r="J1" s="1"/>
      <c r="K1" s="1"/>
      <c r="L1" s="22">
        <f>+ROUND(+O5*0.584/1000,3)</f>
        <v>7.2519999999999998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ROUND((+'(12)'!L2*(C1-1)+L1)/C1,3)</f>
        <v>10.598000000000001</v>
      </c>
      <c r="M2" s="18" t="s">
        <v>7</v>
      </c>
      <c r="N2" s="144" t="s">
        <v>1</v>
      </c>
      <c r="O2" s="144"/>
      <c r="P2" s="144"/>
      <c r="Q2" s="144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" si="0">+D3</f>
        <v>수량 및 금액</v>
      </c>
      <c r="J3" s="34" t="str">
        <f>+'[1](1)'!J3</f>
        <v>제   목</v>
      </c>
      <c r="K3" s="29" t="str">
        <f>F3</f>
        <v>수량 및 금액</v>
      </c>
      <c r="L3" s="21">
        <f>+L2*C1</f>
        <v>137.774</v>
      </c>
      <c r="M3" s="18" t="s">
        <v>10</v>
      </c>
      <c r="N3" s="3"/>
      <c r="O3" s="3"/>
      <c r="P3" s="145" t="str">
        <f>+'(1)'!C1&amp;"년"&amp;'(1)'!E1&amp;"월"&amp;C1&amp;"일"</f>
        <v>2023년8월13일</v>
      </c>
      <c r="Q3" s="145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6871.3040000000001</v>
      </c>
      <c r="E4" s="34" t="str">
        <f>+'[1](1)'!E4</f>
        <v>고액권</v>
      </c>
      <c r="F4" s="36">
        <v>225000</v>
      </c>
      <c r="G4" s="27"/>
      <c r="H4" s="34" t="str">
        <f>+C4</f>
        <v>판매량</v>
      </c>
      <c r="I4" s="35">
        <v>5546.7960000000003</v>
      </c>
      <c r="J4" s="42" t="str">
        <f>+'[1](1)'!J4</f>
        <v>고액권</v>
      </c>
      <c r="K4" s="36">
        <v>85000</v>
      </c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32449</v>
      </c>
      <c r="S4" s="6" t="s">
        <v>2</v>
      </c>
      <c r="T4" s="1"/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>
        <v>3000</v>
      </c>
      <c r="G5" s="27"/>
      <c r="H5" s="42" t="str">
        <f t="shared" ref="H5:H13" si="2">+C5</f>
        <v>법인전표</v>
      </c>
      <c r="I5" s="43"/>
      <c r="J5" s="42" t="str">
        <f>+'[1](1)'!J5</f>
        <v>천원권</v>
      </c>
      <c r="K5" s="44">
        <v>2000</v>
      </c>
      <c r="L5" s="2"/>
      <c r="M5" s="20"/>
      <c r="N5" s="45" t="str">
        <f>+C4</f>
        <v>판매량</v>
      </c>
      <c r="O5" s="46">
        <f>SUM(D4+I4+D17+I17+D35+I35)</f>
        <v>12418.1</v>
      </c>
      <c r="P5" s="47" t="str">
        <f>+E4</f>
        <v>고액권</v>
      </c>
      <c r="Q5" s="48">
        <f>SUM(F4+K4+F17+K17+F35+K35)</f>
        <v>310000</v>
      </c>
      <c r="R5" s="7">
        <v>30</v>
      </c>
      <c r="S5" s="6" t="s">
        <v>3</v>
      </c>
      <c r="T5" s="1"/>
      <c r="U5" s="1"/>
      <c r="V5" s="1"/>
    </row>
    <row r="6" spans="3:22" ht="16.5" customHeight="1">
      <c r="C6" s="83" t="str">
        <f>+'(1)'!C6</f>
        <v>외상전표</v>
      </c>
      <c r="D6" s="50"/>
      <c r="E6" s="105" t="str">
        <f>+'[1](1)'!E6</f>
        <v>블루/레드포인트</v>
      </c>
      <c r="F6" s="44"/>
      <c r="G6" s="27"/>
      <c r="H6" s="42" t="str">
        <f t="shared" si="2"/>
        <v>외상전표</v>
      </c>
      <c r="I6" s="50">
        <v>14.425000000000001</v>
      </c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5000</v>
      </c>
      <c r="R6" s="7">
        <v>2.7</v>
      </c>
      <c r="S6" s="6" t="s">
        <v>4</v>
      </c>
      <c r="T6" s="1"/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/>
      <c r="G7" s="27"/>
      <c r="H7" s="83" t="str">
        <f t="shared" si="2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3">+C6</f>
        <v>외상전표</v>
      </c>
      <c r="O7" s="54">
        <f>SUM(D6+I6+D19+I19+D37+I37)</f>
        <v>14.425000000000001</v>
      </c>
      <c r="P7" s="106" t="str">
        <f t="shared" ref="P7:P14" si="4">+E6</f>
        <v>블루/레드포인트</v>
      </c>
      <c r="Q7" s="53">
        <f>SUM(F6+K6+F19+K19+F37+K37)</f>
        <v>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>
        <v>6111376</v>
      </c>
      <c r="G8" s="27"/>
      <c r="H8" s="34" t="str">
        <f t="shared" si="2"/>
        <v>자가소비</v>
      </c>
      <c r="I8" s="50"/>
      <c r="J8" s="42" t="str">
        <f>+'[1](1)'!J8</f>
        <v>신용카드</v>
      </c>
      <c r="K8" s="44">
        <v>11100993</v>
      </c>
      <c r="L8" s="2"/>
      <c r="M8" s="20"/>
      <c r="N8" s="51" t="str">
        <f t="shared" si="3"/>
        <v>효신(업)</v>
      </c>
      <c r="O8" s="52">
        <f>SUM(D7+I7+D20+I20+D38+I38)</f>
        <v>0</v>
      </c>
      <c r="P8" s="106" t="str">
        <f t="shared" si="4"/>
        <v>롯대칠성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/>
      <c r="G9" s="27"/>
      <c r="H9" s="42" t="str">
        <f t="shared" si="2"/>
        <v>-</v>
      </c>
      <c r="I9" s="50"/>
      <c r="J9" s="42" t="str">
        <f>+'[1](1)'!J9</f>
        <v>상품권</v>
      </c>
      <c r="K9" s="44"/>
      <c r="L9" s="2"/>
      <c r="M9" s="20"/>
      <c r="N9" s="51" t="str">
        <f t="shared" si="3"/>
        <v>자가소비</v>
      </c>
      <c r="O9" s="54">
        <f>SUM(D8+I8+D21+I21+D39+I39)</f>
        <v>0</v>
      </c>
      <c r="P9" s="51" t="str">
        <f t="shared" si="4"/>
        <v>신용카드</v>
      </c>
      <c r="Q9" s="53">
        <f>IF(K8=0,F8,IF(F21=0,K8,IF(K21=0,F21,K21)))</f>
        <v>11100993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/>
      <c r="E10" s="42" t="str">
        <f>+'[1](1)'!E10</f>
        <v>OK케시백</v>
      </c>
      <c r="F10" s="44">
        <v>3000</v>
      </c>
      <c r="G10" s="27"/>
      <c r="H10" s="42" t="str">
        <f t="shared" si="2"/>
        <v>고객우대</v>
      </c>
      <c r="I10" s="50">
        <v>0</v>
      </c>
      <c r="J10" s="42" t="str">
        <f>+'[1](1)'!J10</f>
        <v>OK케시백</v>
      </c>
      <c r="K10" s="44">
        <v>35721</v>
      </c>
      <c r="L10" s="2"/>
      <c r="M10" s="20"/>
      <c r="N10" s="51" t="str">
        <f t="shared" si="3"/>
        <v>-</v>
      </c>
      <c r="O10" s="54"/>
      <c r="P10" s="51" t="str">
        <f t="shared" si="4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0</v>
      </c>
      <c r="E11" s="42" t="str">
        <f>+'[1](1)'!E11</f>
        <v>모바일</v>
      </c>
      <c r="F11" s="44">
        <v>5000</v>
      </c>
      <c r="G11" s="27"/>
      <c r="H11" s="83" t="str">
        <f t="shared" si="2"/>
        <v>-</v>
      </c>
      <c r="I11" s="55">
        <f>SUM(I10*-35)</f>
        <v>0</v>
      </c>
      <c r="J11" s="56" t="str">
        <f>+'[1](1)'!J11</f>
        <v>모바일</v>
      </c>
      <c r="K11" s="44"/>
      <c r="L11" s="2"/>
      <c r="M11" s="20"/>
      <c r="N11" s="51" t="str">
        <f t="shared" si="3"/>
        <v>고객우대</v>
      </c>
      <c r="O11" s="54">
        <f>SUM(D10+I10+D23+I23+D41+I41)</f>
        <v>0</v>
      </c>
      <c r="P11" s="51" t="str">
        <f t="shared" si="4"/>
        <v>OK케시백</v>
      </c>
      <c r="Q11" s="53">
        <f>SUM(F10+K10+F23+K23+F41+K41)</f>
        <v>38721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/>
      <c r="G12" s="27"/>
      <c r="H12" s="84" t="str">
        <f t="shared" si="2"/>
        <v>-</v>
      </c>
      <c r="I12" s="57"/>
      <c r="J12" s="29" t="str">
        <f>+'[1](1)'!J12</f>
        <v>제로페이</v>
      </c>
      <c r="K12" s="58"/>
      <c r="L12" s="2"/>
      <c r="M12" s="20"/>
      <c r="N12" s="51" t="str">
        <f t="shared" si="3"/>
        <v>-</v>
      </c>
      <c r="O12" s="55">
        <f>SUM(O11*-35)</f>
        <v>0</v>
      </c>
      <c r="P12" s="51" t="str">
        <f t="shared" si="4"/>
        <v>모바일</v>
      </c>
      <c r="Q12" s="53">
        <f>SUM(F11+K11+F24+K24+F42+K42)</f>
        <v>5000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SUM((D4-D5-D6-D7-D8-D9)*$I$1+D11)</f>
        <v>6349084.8959999997</v>
      </c>
      <c r="E13" s="29" t="str">
        <f>+'[1](1)'!E13</f>
        <v>합계</v>
      </c>
      <c r="F13" s="61">
        <f>SUM(F4:F12)</f>
        <v>6347376</v>
      </c>
      <c r="G13" s="62"/>
      <c r="H13" s="29" t="str">
        <f t="shared" si="2"/>
        <v>합계</v>
      </c>
      <c r="I13" s="60">
        <f>SUM((I4-I5-I6-I7-I8-I9)*$I$1+I11)</f>
        <v>5111910.8040000005</v>
      </c>
      <c r="J13" s="29" t="str">
        <f t="shared" ref="J13" si="5">+E13</f>
        <v>합계</v>
      </c>
      <c r="K13" s="61">
        <f>IF(K8=0,0,SUM(K4:K12)-F8)</f>
        <v>5112338</v>
      </c>
      <c r="L13" s="2"/>
      <c r="M13" s="20"/>
      <c r="N13" s="63" t="str">
        <f t="shared" si="3"/>
        <v>-</v>
      </c>
      <c r="O13" s="64"/>
      <c r="P13" s="63" t="str">
        <f t="shared" si="4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-1708.8959999997169</v>
      </c>
      <c r="G14" s="27"/>
      <c r="H14" s="27"/>
      <c r="I14" s="27"/>
      <c r="J14" s="27"/>
      <c r="K14" s="67">
        <f>SUM(K13-I13)</f>
        <v>427.19599999953061</v>
      </c>
      <c r="L14" s="2">
        <f>SUM(L4:L13)</f>
        <v>0</v>
      </c>
      <c r="M14" s="18" t="s">
        <v>9</v>
      </c>
      <c r="N14" s="39" t="str">
        <f t="shared" si="3"/>
        <v>합계</v>
      </c>
      <c r="O14" s="68">
        <f>SUM((O5-O6-O7-O8-O9-O10)*+E1+O12)</f>
        <v>99229.400000000009</v>
      </c>
      <c r="P14" s="39" t="str">
        <f t="shared" si="4"/>
        <v>합계</v>
      </c>
      <c r="Q14" s="69">
        <f>SUM(Q5:Q13)</f>
        <v>11459714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-1281.7000000001863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30" t="s">
        <v>34</v>
      </c>
      <c r="O18" s="143"/>
      <c r="P18" s="116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105" t="str">
        <f t="shared" ref="E19:E25" si="9">+E6</f>
        <v>블루/레드포인트</v>
      </c>
      <c r="F19" s="44"/>
      <c r="G19" s="27"/>
      <c r="H19" s="42" t="str">
        <f t="shared" ref="H19:H25" si="10">+C6</f>
        <v>외상전표</v>
      </c>
      <c r="I19" s="50"/>
      <c r="J19" s="105" t="str">
        <f t="shared" ref="J19:J25" si="11">+E6</f>
        <v>블루/레드포인트</v>
      </c>
      <c r="K19" s="44"/>
      <c r="L19" s="2"/>
      <c r="M19" s="1"/>
      <c r="N19" s="134" t="s">
        <v>37</v>
      </c>
      <c r="O19" s="135"/>
      <c r="P19" s="117">
        <v>11</v>
      </c>
      <c r="Q19" s="48">
        <f>SUM(P19*1000)</f>
        <v>11000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롯대칠성</v>
      </c>
      <c r="F20" s="44"/>
      <c r="G20" s="27"/>
      <c r="H20" s="42" t="str">
        <f t="shared" si="10"/>
        <v>효신(업)</v>
      </c>
      <c r="I20" s="50"/>
      <c r="J20" s="42" t="str">
        <f t="shared" si="11"/>
        <v>롯대칠성</v>
      </c>
      <c r="K20" s="44"/>
      <c r="L20" s="2"/>
      <c r="M20" s="1"/>
      <c r="N20" s="140" t="s">
        <v>38</v>
      </c>
      <c r="O20" s="141"/>
      <c r="P20" s="118">
        <v>71</v>
      </c>
      <c r="Q20" s="53">
        <f>SUM(P20*1000)</f>
        <v>71000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40" t="s">
        <v>57</v>
      </c>
      <c r="O21" s="141"/>
      <c r="P21" s="118">
        <v>2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42" t="s">
        <v>59</v>
      </c>
      <c r="O22" s="137"/>
      <c r="P22" s="118">
        <v>19</v>
      </c>
      <c r="Q22" s="53"/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36" t="s">
        <v>61</v>
      </c>
      <c r="O23" s="137"/>
      <c r="P23" s="118">
        <v>11</v>
      </c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36" t="s">
        <v>62</v>
      </c>
      <c r="O24" s="137"/>
      <c r="P24" s="118">
        <v>3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36"/>
      <c r="O25" s="137"/>
      <c r="P25" s="121"/>
      <c r="Q25" s="12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SUM((D17-D18-D19-D20-D21-D22)*$I$1+D24)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SUM((I17-I18-I19-I20-I21-I22)*$I$1+I24)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36"/>
      <c r="O26" s="137"/>
      <c r="P26" s="123"/>
      <c r="Q26" s="114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38" t="s">
        <v>39</v>
      </c>
      <c r="O27" s="139"/>
      <c r="P27" s="119">
        <f>+P28-SUM(P19:P26)</f>
        <v>-12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30" t="s">
        <v>40</v>
      </c>
      <c r="O28" s="131"/>
      <c r="P28" s="120">
        <v>105</v>
      </c>
      <c r="Q28" s="69">
        <f>SUM(Q19:Q27)</f>
        <v>82000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1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2"/>
      <c r="O31" s="103">
        <v>25243</v>
      </c>
      <c r="P31" s="103">
        <v>25283</v>
      </c>
      <c r="Q31" s="104">
        <f>P31-O31</f>
        <v>40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1:O21"/>
    <mergeCell ref="N2:Q2"/>
    <mergeCell ref="P3:Q3"/>
    <mergeCell ref="N19:O19"/>
    <mergeCell ref="N20:O20"/>
    <mergeCell ref="N18:O18"/>
    <mergeCell ref="N28:O28"/>
    <mergeCell ref="N22:O22"/>
    <mergeCell ref="N23:O23"/>
    <mergeCell ref="N24:O24"/>
    <mergeCell ref="N27:O27"/>
    <mergeCell ref="N25:O25"/>
    <mergeCell ref="N26:O26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workbookViewId="0">
      <selection activeCell="F12" sqref="F12"/>
    </sheetView>
  </sheetViews>
  <sheetFormatPr defaultRowHeight="27.75" customHeight="1"/>
  <cols>
    <col min="1" max="2" width="9" style="10"/>
    <col min="3" max="3" width="9" style="10" bestFit="1" customWidth="1"/>
    <col min="4" max="4" width="11.5" style="10" customWidth="1"/>
    <col min="5" max="5" width="11.25" style="10" bestFit="1" customWidth="1"/>
    <col min="6" max="6" width="11.5" style="10" customWidth="1"/>
    <col min="7" max="7" width="5" style="10" customWidth="1"/>
    <col min="8" max="8" width="9" style="10"/>
    <col min="9" max="9" width="11.375" style="10" customWidth="1"/>
    <col min="10" max="10" width="11.25" style="10" bestFit="1" customWidth="1"/>
    <col min="11" max="11" width="11.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14</v>
      </c>
      <c r="D1" s="9" t="s">
        <v>0</v>
      </c>
      <c r="E1" s="99">
        <v>8</v>
      </c>
      <c r="F1" s="1"/>
      <c r="G1" s="1"/>
      <c r="H1" s="1"/>
      <c r="I1" s="1">
        <v>924</v>
      </c>
      <c r="J1" s="1"/>
      <c r="K1" s="1"/>
      <c r="L1" s="22">
        <f>+ROUND(+O5*0.584/1000,3)</f>
        <v>10.148999999999999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ROUND((+'(13)'!L2*(C1-1)+L1)/C1,3)</f>
        <v>10.566000000000001</v>
      </c>
      <c r="M2" s="18" t="s">
        <v>7</v>
      </c>
      <c r="N2" s="144" t="s">
        <v>1</v>
      </c>
      <c r="O2" s="144"/>
      <c r="P2" s="144"/>
      <c r="Q2" s="144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" si="0">+D3</f>
        <v>수량 및 금액</v>
      </c>
      <c r="J3" s="34" t="str">
        <f>+'[1](1)'!J3</f>
        <v>제   목</v>
      </c>
      <c r="K3" s="29" t="str">
        <f>F3</f>
        <v>수량 및 금액</v>
      </c>
      <c r="L3" s="21">
        <f>+L2*C1</f>
        <v>147.92400000000001</v>
      </c>
      <c r="M3" s="18" t="s">
        <v>10</v>
      </c>
      <c r="N3" s="3"/>
      <c r="O3" s="3"/>
      <c r="P3" s="145" t="str">
        <f>+'(1)'!C1&amp;"년"&amp;'(1)'!E1&amp;"월"&amp;C1&amp;"일"</f>
        <v>2023년8월14일</v>
      </c>
      <c r="Q3" s="145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9446.98</v>
      </c>
      <c r="E4" s="34" t="str">
        <f>+'[1](1)'!E4</f>
        <v>고액권</v>
      </c>
      <c r="F4" s="36">
        <v>175000</v>
      </c>
      <c r="G4" s="27"/>
      <c r="H4" s="34" t="str">
        <f>+C4</f>
        <v>판매량</v>
      </c>
      <c r="I4" s="35">
        <v>7931.03</v>
      </c>
      <c r="J4" s="42" t="str">
        <f>+'[1](1)'!J4</f>
        <v>고액권</v>
      </c>
      <c r="K4" s="36">
        <v>220000</v>
      </c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50261</v>
      </c>
      <c r="S4" s="6" t="s">
        <v>2</v>
      </c>
      <c r="T4" s="1"/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>
        <v>4000</v>
      </c>
      <c r="G5" s="27"/>
      <c r="H5" s="42" t="str">
        <f t="shared" ref="H5:H13" si="2">+C5</f>
        <v>법인전표</v>
      </c>
      <c r="I5" s="43"/>
      <c r="J5" s="42" t="str">
        <f>+'[1](1)'!J5</f>
        <v>천원권</v>
      </c>
      <c r="K5" s="44">
        <v>4000</v>
      </c>
      <c r="L5" s="2"/>
      <c r="M5" s="20"/>
      <c r="N5" s="45" t="str">
        <f>+C4</f>
        <v>판매량</v>
      </c>
      <c r="O5" s="46">
        <f>SUM(D4+I4+D17+I17+D35+I35)</f>
        <v>17378.009999999998</v>
      </c>
      <c r="P5" s="47" t="str">
        <f>+E4</f>
        <v>고액권</v>
      </c>
      <c r="Q5" s="48">
        <f>SUM(F4+K4+F17+K17+F35+K35)</f>
        <v>395000</v>
      </c>
      <c r="R5" s="7">
        <v>33</v>
      </c>
      <c r="S5" s="6" t="s">
        <v>3</v>
      </c>
      <c r="T5" s="1"/>
      <c r="U5" s="1"/>
      <c r="V5" s="1"/>
    </row>
    <row r="6" spans="3:22" ht="16.5" customHeight="1">
      <c r="C6" s="83" t="str">
        <f>+'(1)'!C6</f>
        <v>외상전표</v>
      </c>
      <c r="D6" s="50">
        <v>266.40899999999999</v>
      </c>
      <c r="E6" s="105" t="str">
        <f>+'[1](1)'!E6</f>
        <v>블루/레드포인트</v>
      </c>
      <c r="F6" s="44"/>
      <c r="G6" s="27"/>
      <c r="H6" s="42" t="str">
        <f t="shared" si="2"/>
        <v>외상전표</v>
      </c>
      <c r="I6" s="50"/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8000</v>
      </c>
      <c r="R6" s="7">
        <v>3</v>
      </c>
      <c r="S6" s="6" t="s">
        <v>4</v>
      </c>
      <c r="T6" s="1"/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/>
      <c r="G7" s="27"/>
      <c r="H7" s="83" t="str">
        <f t="shared" si="2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3">+C6</f>
        <v>외상전표</v>
      </c>
      <c r="O7" s="54">
        <f>SUM(D6+I6+D19+I19+D37+I37)</f>
        <v>266.40899999999999</v>
      </c>
      <c r="P7" s="106" t="str">
        <f t="shared" ref="P7:P14" si="4">+E6</f>
        <v>블루/레드포인트</v>
      </c>
      <c r="Q7" s="53">
        <f>SUM(F6+K6+F19+K19+F37+K37)</f>
        <v>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>
        <v>8245065</v>
      </c>
      <c r="G8" s="27"/>
      <c r="H8" s="34" t="str">
        <f t="shared" si="2"/>
        <v>자가소비</v>
      </c>
      <c r="I8" s="50"/>
      <c r="J8" s="42" t="str">
        <f>+'[1](1)'!J8</f>
        <v>신용카드</v>
      </c>
      <c r="K8" s="44">
        <v>15296133</v>
      </c>
      <c r="L8" s="2"/>
      <c r="M8" s="20"/>
      <c r="N8" s="51" t="str">
        <f t="shared" si="3"/>
        <v>효신(업)</v>
      </c>
      <c r="O8" s="52">
        <f>SUM(D7+I7+D20+I20+D38+I38)</f>
        <v>0</v>
      </c>
      <c r="P8" s="106" t="str">
        <f t="shared" si="4"/>
        <v>롯대칠성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/>
      <c r="G9" s="27"/>
      <c r="H9" s="42" t="str">
        <f t="shared" si="2"/>
        <v>-</v>
      </c>
      <c r="I9" s="50"/>
      <c r="J9" s="42" t="str">
        <f>+'[1](1)'!J9</f>
        <v>상품권</v>
      </c>
      <c r="K9" s="44">
        <v>50000</v>
      </c>
      <c r="L9" s="2"/>
      <c r="M9" s="20"/>
      <c r="N9" s="51" t="str">
        <f t="shared" si="3"/>
        <v>자가소비</v>
      </c>
      <c r="O9" s="54">
        <f>SUM(D8+I8+D21+I21+D39+I39)</f>
        <v>0</v>
      </c>
      <c r="P9" s="51" t="str">
        <f t="shared" si="4"/>
        <v>신용카드</v>
      </c>
      <c r="Q9" s="53">
        <f>IF(K8=0,F8,IF(F21=0,K8,IF(K21=0,F21,K21)))</f>
        <v>15296133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>
        <v>206.24299999999999</v>
      </c>
      <c r="E10" s="42" t="str">
        <f>+'[1](1)'!E10</f>
        <v>OK케시백</v>
      </c>
      <c r="F10" s="44">
        <v>2000</v>
      </c>
      <c r="G10" s="27"/>
      <c r="H10" s="42" t="str">
        <f t="shared" si="2"/>
        <v>고객우대</v>
      </c>
      <c r="I10" s="50">
        <v>146.84200000000001</v>
      </c>
      <c r="J10" s="42" t="str">
        <f>+'[1](1)'!J10</f>
        <v>OK케시백</v>
      </c>
      <c r="K10" s="44"/>
      <c r="L10" s="2"/>
      <c r="M10" s="20"/>
      <c r="N10" s="51" t="str">
        <f t="shared" si="3"/>
        <v>-</v>
      </c>
      <c r="O10" s="54"/>
      <c r="P10" s="51" t="str">
        <f t="shared" si="4"/>
        <v>상품권</v>
      </c>
      <c r="Q10" s="53">
        <f>SUM(F9+K9+F22+K22+F40+K40)</f>
        <v>50000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-7218.5050000000001</v>
      </c>
      <c r="E11" s="42" t="str">
        <f>+'[1](1)'!E11</f>
        <v>모바일</v>
      </c>
      <c r="F11" s="44">
        <v>50000</v>
      </c>
      <c r="G11" s="27"/>
      <c r="H11" s="83" t="str">
        <f t="shared" si="2"/>
        <v>-</v>
      </c>
      <c r="I11" s="55">
        <f>SUM(I10*-35)</f>
        <v>-5139.47</v>
      </c>
      <c r="J11" s="56" t="str">
        <f>+'[1](1)'!J11</f>
        <v>모바일</v>
      </c>
      <c r="K11" s="44"/>
      <c r="L11" s="2"/>
      <c r="M11" s="20"/>
      <c r="N11" s="51" t="str">
        <f t="shared" si="3"/>
        <v>고객우대</v>
      </c>
      <c r="O11" s="54">
        <f>SUM(D10+I10+D23+I23+D41+I41)</f>
        <v>353.08500000000004</v>
      </c>
      <c r="P11" s="51" t="str">
        <f t="shared" si="4"/>
        <v>OK케시백</v>
      </c>
      <c r="Q11" s="53">
        <f>SUM(F10+K10+F23+K23+F41+K41)</f>
        <v>2000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/>
      <c r="G12" s="27"/>
      <c r="H12" s="84" t="str">
        <f t="shared" si="2"/>
        <v>-</v>
      </c>
      <c r="I12" s="57"/>
      <c r="J12" s="29" t="str">
        <f>+'[1](1)'!J12</f>
        <v>제로페이</v>
      </c>
      <c r="K12" s="58"/>
      <c r="L12" s="2"/>
      <c r="M12" s="20"/>
      <c r="N12" s="51" t="str">
        <f t="shared" si="3"/>
        <v>-</v>
      </c>
      <c r="O12" s="55">
        <f>SUM(O11*-35)</f>
        <v>-12357.975000000002</v>
      </c>
      <c r="P12" s="51" t="str">
        <f t="shared" si="4"/>
        <v>모바일</v>
      </c>
      <c r="Q12" s="53">
        <f>SUM(F11+K11+F24+K24+F42+K42)</f>
        <v>50000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SUM((D4-D5-D6-D7-D8-D9)*$I$1+D11)</f>
        <v>8475629.0989999995</v>
      </c>
      <c r="E13" s="29" t="str">
        <f>+'[1](1)'!E13</f>
        <v>합계</v>
      </c>
      <c r="F13" s="61">
        <f>SUM(F4:F12)</f>
        <v>8476065</v>
      </c>
      <c r="G13" s="62"/>
      <c r="H13" s="29" t="str">
        <f t="shared" si="2"/>
        <v>합계</v>
      </c>
      <c r="I13" s="60">
        <f>SUM((I4-I5-I6-I7-I8-I9)*$I$1+I11)</f>
        <v>7323132.25</v>
      </c>
      <c r="J13" s="29" t="str">
        <f t="shared" ref="J13" si="5">+E13</f>
        <v>합계</v>
      </c>
      <c r="K13" s="61">
        <f>IF(K8=0,0,SUM(K4:K12)-F8)</f>
        <v>7325068</v>
      </c>
      <c r="L13" s="2"/>
      <c r="M13" s="20"/>
      <c r="N13" s="63" t="str">
        <f t="shared" si="3"/>
        <v>-</v>
      </c>
      <c r="O13" s="64"/>
      <c r="P13" s="63" t="str">
        <f t="shared" si="4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435.90100000053644</v>
      </c>
      <c r="G14" s="27"/>
      <c r="H14" s="27"/>
      <c r="I14" s="27"/>
      <c r="J14" s="27"/>
      <c r="K14" s="67">
        <f>SUM(K13-I13)</f>
        <v>1935.75</v>
      </c>
      <c r="L14" s="2">
        <f>SUM(L4:L13)</f>
        <v>0</v>
      </c>
      <c r="M14" s="18" t="s">
        <v>9</v>
      </c>
      <c r="N14" s="39" t="str">
        <f t="shared" si="3"/>
        <v>합계</v>
      </c>
      <c r="O14" s="68">
        <f>SUM((O5-O6-O7-O8-O9-O10)*+E1+O12)</f>
        <v>124534.83299999998</v>
      </c>
      <c r="P14" s="39" t="str">
        <f t="shared" si="4"/>
        <v>합계</v>
      </c>
      <c r="Q14" s="69">
        <f>SUM(Q5:Q13)</f>
        <v>15801133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2371.6510000005364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30" t="s">
        <v>34</v>
      </c>
      <c r="O18" s="143"/>
      <c r="P18" s="116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105" t="str">
        <f t="shared" ref="E19:E25" si="9">+E6</f>
        <v>블루/레드포인트</v>
      </c>
      <c r="F19" s="44"/>
      <c r="G19" s="27"/>
      <c r="H19" s="42" t="str">
        <f t="shared" ref="H19:H25" si="10">+C6</f>
        <v>외상전표</v>
      </c>
      <c r="I19" s="50"/>
      <c r="J19" s="105" t="str">
        <f t="shared" ref="J19:J25" si="11">+E6</f>
        <v>블루/레드포인트</v>
      </c>
      <c r="K19" s="44"/>
      <c r="L19" s="2"/>
      <c r="M19" s="1"/>
      <c r="N19" s="134" t="s">
        <v>37</v>
      </c>
      <c r="O19" s="135"/>
      <c r="P19" s="117">
        <v>16</v>
      </c>
      <c r="Q19" s="48">
        <f>SUM(P19*1000)</f>
        <v>16000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롯대칠성</v>
      </c>
      <c r="F20" s="44"/>
      <c r="G20" s="27"/>
      <c r="H20" s="42" t="str">
        <f t="shared" si="10"/>
        <v>효신(업)</v>
      </c>
      <c r="I20" s="50"/>
      <c r="J20" s="42" t="str">
        <f t="shared" si="11"/>
        <v>롯대칠성</v>
      </c>
      <c r="K20" s="44"/>
      <c r="L20" s="2"/>
      <c r="M20" s="1"/>
      <c r="N20" s="140" t="s">
        <v>38</v>
      </c>
      <c r="O20" s="141"/>
      <c r="P20" s="118">
        <v>92</v>
      </c>
      <c r="Q20" s="53">
        <f>SUM(P20*1000)</f>
        <v>92000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40" t="s">
        <v>57</v>
      </c>
      <c r="O21" s="141"/>
      <c r="P21" s="118">
        <v>8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42" t="s">
        <v>59</v>
      </c>
      <c r="O22" s="137"/>
      <c r="P22" s="118">
        <v>17</v>
      </c>
      <c r="Q22" s="53"/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36" t="s">
        <v>61</v>
      </c>
      <c r="O23" s="137"/>
      <c r="P23" s="118">
        <v>14</v>
      </c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36" t="s">
        <v>62</v>
      </c>
      <c r="O24" s="137"/>
      <c r="P24" s="118">
        <v>6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36"/>
      <c r="O25" s="137"/>
      <c r="P25" s="121"/>
      <c r="Q25" s="12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SUM((D17-D18-D19-D20-D21-D22)*$I$1+D24)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SUM((I17-I18-I19-I20-I21-I22)*$I$1+I24)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36"/>
      <c r="O26" s="137"/>
      <c r="P26" s="123"/>
      <c r="Q26" s="114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38" t="s">
        <v>39</v>
      </c>
      <c r="O27" s="139"/>
      <c r="P27" s="119">
        <f>+P28-SUM(P19:P26)</f>
        <v>-10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30" t="s">
        <v>40</v>
      </c>
      <c r="O28" s="131"/>
      <c r="P28" s="120">
        <v>143</v>
      </c>
      <c r="Q28" s="69">
        <f>SUM(Q19:Q27)</f>
        <v>108000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1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2"/>
      <c r="O31" s="103">
        <v>25283</v>
      </c>
      <c r="P31" s="103">
        <v>25343</v>
      </c>
      <c r="Q31" s="104">
        <f>P31-O31</f>
        <v>60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1:O21"/>
    <mergeCell ref="N2:Q2"/>
    <mergeCell ref="P3:Q3"/>
    <mergeCell ref="N19:O19"/>
    <mergeCell ref="N20:O20"/>
    <mergeCell ref="N18:O18"/>
    <mergeCell ref="N28:O28"/>
    <mergeCell ref="N22:O22"/>
    <mergeCell ref="N23:O23"/>
    <mergeCell ref="N24:O24"/>
    <mergeCell ref="N27:O27"/>
    <mergeCell ref="N25:O25"/>
    <mergeCell ref="N26:O26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workbookViewId="0">
      <selection activeCell="D11" sqref="D11"/>
    </sheetView>
  </sheetViews>
  <sheetFormatPr defaultRowHeight="27.75" customHeight="1"/>
  <cols>
    <col min="1" max="2" width="9" style="10"/>
    <col min="3" max="3" width="9" style="10" bestFit="1" customWidth="1"/>
    <col min="4" max="4" width="11.375" style="10" customWidth="1"/>
    <col min="5" max="5" width="11.25" style="10" bestFit="1" customWidth="1"/>
    <col min="6" max="6" width="11.375" style="10" customWidth="1"/>
    <col min="7" max="7" width="5" style="10" customWidth="1"/>
    <col min="8" max="8" width="9" style="10"/>
    <col min="9" max="9" width="11.375" style="10" customWidth="1"/>
    <col min="10" max="10" width="11.25" style="10" bestFit="1" customWidth="1"/>
    <col min="11" max="11" width="11.37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15</v>
      </c>
      <c r="D1" s="9" t="s">
        <v>0</v>
      </c>
      <c r="E1" s="97">
        <v>8</v>
      </c>
      <c r="F1" s="1"/>
      <c r="G1" s="1"/>
      <c r="H1" s="1"/>
      <c r="I1" s="1">
        <v>924</v>
      </c>
      <c r="J1" s="1"/>
      <c r="K1" s="1"/>
      <c r="L1" s="22">
        <f>+ROUND(+O5*0.584/1000,3)</f>
        <v>6.9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ROUND((+'(14)'!L2*(C1-1)+L1)/C1,3)</f>
        <v>10.321999999999999</v>
      </c>
      <c r="M2" s="18" t="s">
        <v>7</v>
      </c>
      <c r="N2" s="144" t="s">
        <v>1</v>
      </c>
      <c r="O2" s="144"/>
      <c r="P2" s="144"/>
      <c r="Q2" s="144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" si="0">+D3</f>
        <v>수량 및 금액</v>
      </c>
      <c r="J3" s="34" t="str">
        <f>+'[1](1)'!J3</f>
        <v>제   목</v>
      </c>
      <c r="K3" s="29" t="str">
        <f>F3</f>
        <v>수량 및 금액</v>
      </c>
      <c r="L3" s="21">
        <f>+L2*C1</f>
        <v>154.82999999999998</v>
      </c>
      <c r="M3" s="18" t="s">
        <v>10</v>
      </c>
      <c r="N3" s="3"/>
      <c r="O3" s="3"/>
      <c r="P3" s="145" t="str">
        <f>+'(1)'!C1&amp;"년"&amp;'(1)'!E1&amp;"월"&amp;C1&amp;"일"</f>
        <v>2023년8월15일</v>
      </c>
      <c r="Q3" s="145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6890.8459999999995</v>
      </c>
      <c r="E4" s="34" t="str">
        <f>+'[1](1)'!E4</f>
        <v>고액권</v>
      </c>
      <c r="F4" s="36">
        <v>110000</v>
      </c>
      <c r="G4" s="27"/>
      <c r="H4" s="34" t="str">
        <f>+C4</f>
        <v>판매량</v>
      </c>
      <c r="I4" s="35">
        <v>4924.8379999999997</v>
      </c>
      <c r="J4" s="42" t="str">
        <f>+'[1](1)'!J4</f>
        <v>고액권</v>
      </c>
      <c r="K4" s="36">
        <v>35000</v>
      </c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37976</v>
      </c>
      <c r="S4" s="6" t="s">
        <v>2</v>
      </c>
      <c r="T4" s="1"/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/>
      <c r="G5" s="27"/>
      <c r="H5" s="42" t="str">
        <f t="shared" ref="H5:H13" si="2">+C5</f>
        <v>법인전표</v>
      </c>
      <c r="I5" s="43"/>
      <c r="J5" s="42" t="str">
        <f>+'[1](1)'!J5</f>
        <v>천원권</v>
      </c>
      <c r="K5" s="44">
        <v>2000</v>
      </c>
      <c r="L5" s="2"/>
      <c r="M5" s="20"/>
      <c r="N5" s="45" t="str">
        <f>+C4</f>
        <v>판매량</v>
      </c>
      <c r="O5" s="46">
        <f>SUM(D4+I4+D17+I17+D35+I35)</f>
        <v>11815.683999999999</v>
      </c>
      <c r="P5" s="47" t="str">
        <f>+E4</f>
        <v>고액권</v>
      </c>
      <c r="Q5" s="48">
        <f>SUM(F4+K4+F17+K17+F35+K35)</f>
        <v>145000</v>
      </c>
      <c r="R5" s="7">
        <v>32</v>
      </c>
      <c r="S5" s="6" t="s">
        <v>3</v>
      </c>
      <c r="T5" s="1"/>
      <c r="U5" s="1"/>
      <c r="V5" s="1"/>
    </row>
    <row r="6" spans="3:22" ht="16.5" customHeight="1">
      <c r="C6" s="83" t="str">
        <f>+'(1)'!C6</f>
        <v>외상전표</v>
      </c>
      <c r="D6" s="50"/>
      <c r="E6" s="105" t="str">
        <f>+'[1](1)'!E6</f>
        <v>블루/레드포인트</v>
      </c>
      <c r="F6" s="44"/>
      <c r="G6" s="27"/>
      <c r="H6" s="42" t="str">
        <f t="shared" si="2"/>
        <v>외상전표</v>
      </c>
      <c r="I6" s="50">
        <v>13.276999999999999</v>
      </c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2000</v>
      </c>
      <c r="R6" s="7">
        <v>3</v>
      </c>
      <c r="S6" s="6" t="s">
        <v>4</v>
      </c>
      <c r="T6" s="1"/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/>
      <c r="G7" s="27"/>
      <c r="H7" s="83" t="str">
        <f t="shared" si="2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3">+C6</f>
        <v>외상전표</v>
      </c>
      <c r="O7" s="54">
        <f>SUM(D6+I6+D19+I19+D37+I37)</f>
        <v>13.276999999999999</v>
      </c>
      <c r="P7" s="106" t="str">
        <f t="shared" ref="P7:P14" si="4">+E6</f>
        <v>블루/레드포인트</v>
      </c>
      <c r="Q7" s="53">
        <f>SUM(F6+K6+F19+K19+F37+K37)</f>
        <v>0</v>
      </c>
      <c r="R7" s="5" t="s">
        <v>64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>
        <v>6185886</v>
      </c>
      <c r="G8" s="27"/>
      <c r="H8" s="34" t="str">
        <f t="shared" si="2"/>
        <v>자가소비</v>
      </c>
      <c r="I8" s="50"/>
      <c r="J8" s="42" t="str">
        <f>+'[1](1)'!J8</f>
        <v>신용카드</v>
      </c>
      <c r="K8" s="44">
        <v>10664928</v>
      </c>
      <c r="L8" s="2"/>
      <c r="M8" s="20"/>
      <c r="N8" s="51" t="str">
        <f t="shared" si="3"/>
        <v>효신(업)</v>
      </c>
      <c r="O8" s="52">
        <f>SUM(D7+I7+D20+I20+D38+I38)</f>
        <v>0</v>
      </c>
      <c r="P8" s="106" t="str">
        <f t="shared" si="4"/>
        <v>롯대칠성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/>
      <c r="G9" s="27"/>
      <c r="H9" s="42" t="str">
        <f t="shared" si="2"/>
        <v>-</v>
      </c>
      <c r="I9" s="50"/>
      <c r="J9" s="42" t="str">
        <f>+'[1](1)'!J9</f>
        <v>상품권</v>
      </c>
      <c r="K9" s="44"/>
      <c r="L9" s="2"/>
      <c r="M9" s="20"/>
      <c r="N9" s="51" t="str">
        <f t="shared" si="3"/>
        <v>자가소비</v>
      </c>
      <c r="O9" s="54">
        <f>SUM(D8+I8+D21+I21+D39+I39)</f>
        <v>0</v>
      </c>
      <c r="P9" s="51" t="str">
        <f t="shared" si="4"/>
        <v>신용카드</v>
      </c>
      <c r="Q9" s="53">
        <f>IF(K8=0,F8,IF(F21=0,K8,IF(K21=0,F21,K21)))</f>
        <v>10664928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>
        <v>56.042000000000002</v>
      </c>
      <c r="E10" s="42" t="str">
        <f>+'[1](1)'!E10</f>
        <v>OK케시백</v>
      </c>
      <c r="F10" s="44">
        <v>29000</v>
      </c>
      <c r="G10" s="27"/>
      <c r="H10" s="42" t="str">
        <f t="shared" si="2"/>
        <v>고객우대</v>
      </c>
      <c r="I10" s="50">
        <v>52.585999999999999</v>
      </c>
      <c r="J10" s="42" t="str">
        <f>+'[1](1)'!J10</f>
        <v>OK케시백</v>
      </c>
      <c r="K10" s="44">
        <v>20000</v>
      </c>
      <c r="L10" s="2"/>
      <c r="M10" s="20"/>
      <c r="N10" s="51" t="str">
        <f t="shared" si="3"/>
        <v>-</v>
      </c>
      <c r="O10" s="54"/>
      <c r="P10" s="51" t="str">
        <f t="shared" si="4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-1961.47</v>
      </c>
      <c r="E11" s="42" t="str">
        <f>+'[1](1)'!E11</f>
        <v>모바일</v>
      </c>
      <c r="F11" s="44">
        <v>40000</v>
      </c>
      <c r="G11" s="27"/>
      <c r="H11" s="83" t="str">
        <f t="shared" si="2"/>
        <v>-</v>
      </c>
      <c r="I11" s="55">
        <f>SUM(I10*-35)</f>
        <v>-1840.51</v>
      </c>
      <c r="J11" s="56" t="str">
        <f>+'[1](1)'!J11</f>
        <v>모바일</v>
      </c>
      <c r="K11" s="44"/>
      <c r="L11" s="2"/>
      <c r="M11" s="20"/>
      <c r="N11" s="51" t="str">
        <f t="shared" si="3"/>
        <v>고객우대</v>
      </c>
      <c r="O11" s="54">
        <f>SUM(D10+I10+D23+I23+D41+I41)</f>
        <v>108.628</v>
      </c>
      <c r="P11" s="51" t="str">
        <f t="shared" si="4"/>
        <v>OK케시백</v>
      </c>
      <c r="Q11" s="53">
        <f>SUM(F10+K10+F23+K23+F41+K41)</f>
        <v>49000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/>
      <c r="G12" s="27"/>
      <c r="H12" s="84" t="str">
        <f t="shared" si="2"/>
        <v>-</v>
      </c>
      <c r="I12" s="57"/>
      <c r="J12" s="29" t="str">
        <f>+'[1](1)'!J12</f>
        <v>제로페이</v>
      </c>
      <c r="K12" s="58"/>
      <c r="L12" s="2"/>
      <c r="M12" s="20"/>
      <c r="N12" s="51" t="str">
        <f t="shared" si="3"/>
        <v>-</v>
      </c>
      <c r="O12" s="55">
        <f>SUM(O11*-35)</f>
        <v>-3801.98</v>
      </c>
      <c r="P12" s="51" t="str">
        <f t="shared" si="4"/>
        <v>모바일</v>
      </c>
      <c r="Q12" s="53">
        <f>SUM(F11+K11+F24+K24+F42+K42)</f>
        <v>40000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SUM((D4-D5-D6-D7-D8-D9)*$I$1+D11)</f>
        <v>6365180.2340000002</v>
      </c>
      <c r="E13" s="29" t="str">
        <f>+'[1](1)'!E13</f>
        <v>합계</v>
      </c>
      <c r="F13" s="61">
        <f>SUM(F4:F12)</f>
        <v>6364886</v>
      </c>
      <c r="G13" s="62"/>
      <c r="H13" s="29" t="str">
        <f t="shared" si="2"/>
        <v>합계</v>
      </c>
      <c r="I13" s="60">
        <f>SUM((I4-I5-I6-I7-I8-I9)*$I$1+I11)</f>
        <v>4536441.8540000003</v>
      </c>
      <c r="J13" s="29" t="str">
        <f t="shared" ref="J13" si="5">+E13</f>
        <v>합계</v>
      </c>
      <c r="K13" s="61">
        <f>IF(K8=0,0,SUM(K4:K12)-F8)</f>
        <v>4536042</v>
      </c>
      <c r="L13" s="2"/>
      <c r="M13" s="20"/>
      <c r="N13" s="63" t="str">
        <f t="shared" si="3"/>
        <v>-</v>
      </c>
      <c r="O13" s="64"/>
      <c r="P13" s="63" t="str">
        <f t="shared" si="4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-294.23400000017136</v>
      </c>
      <c r="G14" s="27"/>
      <c r="H14" s="27"/>
      <c r="I14" s="27"/>
      <c r="J14" s="27"/>
      <c r="K14" s="67">
        <f>SUM(K13-I13)</f>
        <v>-399.85400000028312</v>
      </c>
      <c r="L14" s="2">
        <f>SUM(L4:L13)</f>
        <v>0</v>
      </c>
      <c r="M14" s="18" t="s">
        <v>9</v>
      </c>
      <c r="N14" s="39" t="str">
        <f t="shared" si="3"/>
        <v>합계</v>
      </c>
      <c r="O14" s="68">
        <f>SUM((O5-O6-O7-O8-O9-O10)*+E1+O12)</f>
        <v>90617.275999999998</v>
      </c>
      <c r="P14" s="39" t="str">
        <f t="shared" si="4"/>
        <v>합계</v>
      </c>
      <c r="Q14" s="69">
        <f>SUM(Q5:Q13)</f>
        <v>10900928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-694.08800000045449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30" t="s">
        <v>34</v>
      </c>
      <c r="O18" s="143"/>
      <c r="P18" s="116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105" t="str">
        <f t="shared" ref="E19:E25" si="9">+E6</f>
        <v>블루/레드포인트</v>
      </c>
      <c r="F19" s="44"/>
      <c r="G19" s="27"/>
      <c r="H19" s="42" t="str">
        <f t="shared" ref="H19:H25" si="10">+C6</f>
        <v>외상전표</v>
      </c>
      <c r="I19" s="50"/>
      <c r="J19" s="105" t="str">
        <f t="shared" ref="J19:J25" si="11">+E6</f>
        <v>블루/레드포인트</v>
      </c>
      <c r="K19" s="44"/>
      <c r="L19" s="2"/>
      <c r="M19" s="1"/>
      <c r="N19" s="134" t="s">
        <v>37</v>
      </c>
      <c r="O19" s="135"/>
      <c r="P19" s="117">
        <v>12</v>
      </c>
      <c r="Q19" s="48">
        <f>SUM(P19*1000)</f>
        <v>12000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롯대칠성</v>
      </c>
      <c r="F20" s="44"/>
      <c r="G20" s="27"/>
      <c r="H20" s="42" t="str">
        <f t="shared" si="10"/>
        <v>효신(업)</v>
      </c>
      <c r="I20" s="50"/>
      <c r="J20" s="42" t="str">
        <f t="shared" si="11"/>
        <v>롯대칠성</v>
      </c>
      <c r="K20" s="44"/>
      <c r="L20" s="2"/>
      <c r="M20" s="1"/>
      <c r="N20" s="140" t="s">
        <v>38</v>
      </c>
      <c r="O20" s="141"/>
      <c r="P20" s="118">
        <v>64</v>
      </c>
      <c r="Q20" s="53">
        <f>SUM(P20*1000)</f>
        <v>64000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40" t="s">
        <v>57</v>
      </c>
      <c r="O21" s="141"/>
      <c r="P21" s="118">
        <v>3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42" t="s">
        <v>59</v>
      </c>
      <c r="O22" s="137"/>
      <c r="P22" s="118">
        <v>17</v>
      </c>
      <c r="Q22" s="53"/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36" t="s">
        <v>61</v>
      </c>
      <c r="O23" s="137"/>
      <c r="P23" s="118">
        <v>9</v>
      </c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36" t="s">
        <v>62</v>
      </c>
      <c r="O24" s="137"/>
      <c r="P24" s="118">
        <v>3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36"/>
      <c r="O25" s="137"/>
      <c r="P25" s="121"/>
      <c r="Q25" s="12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SUM((D17-D18-D19-D20-D21-D22)*$I$1+D24)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SUM((I17-I18-I19-I20-I21-I22)*$I$1+I24)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36"/>
      <c r="O26" s="137"/>
      <c r="P26" s="123"/>
      <c r="Q26" s="114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38" t="s">
        <v>39</v>
      </c>
      <c r="O27" s="139"/>
      <c r="P27" s="119">
        <f>+P28-SUM(P19:P26)</f>
        <v>-8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30" t="s">
        <v>40</v>
      </c>
      <c r="O28" s="131"/>
      <c r="P28" s="120">
        <v>100</v>
      </c>
      <c r="Q28" s="69">
        <f>SUM(Q19:Q27)</f>
        <v>76000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1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2"/>
      <c r="O31" s="103">
        <v>25343</v>
      </c>
      <c r="P31" s="103">
        <v>25382</v>
      </c>
      <c r="Q31" s="104">
        <f>P31-O31</f>
        <v>39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1:O21"/>
    <mergeCell ref="N2:Q2"/>
    <mergeCell ref="P3:Q3"/>
    <mergeCell ref="N19:O19"/>
    <mergeCell ref="N20:O20"/>
    <mergeCell ref="N18:O18"/>
    <mergeCell ref="N28:O28"/>
    <mergeCell ref="N22:O22"/>
    <mergeCell ref="N23:O23"/>
    <mergeCell ref="N24:O24"/>
    <mergeCell ref="N27:O27"/>
    <mergeCell ref="N25:O25"/>
    <mergeCell ref="N26:O26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A4" workbookViewId="0">
      <selection activeCell="O11" sqref="O11"/>
    </sheetView>
  </sheetViews>
  <sheetFormatPr defaultRowHeight="27.75" customHeight="1"/>
  <cols>
    <col min="1" max="2" width="9" style="10"/>
    <col min="3" max="3" width="9" style="10" bestFit="1" customWidth="1"/>
    <col min="4" max="4" width="11.375" style="10" customWidth="1"/>
    <col min="5" max="5" width="11.25" style="10" bestFit="1" customWidth="1"/>
    <col min="6" max="6" width="11.375" style="10" customWidth="1"/>
    <col min="7" max="7" width="5" style="10" customWidth="1"/>
    <col min="8" max="8" width="9" style="10"/>
    <col min="9" max="9" width="11.375" style="10" customWidth="1"/>
    <col min="10" max="10" width="11.25" style="10" bestFit="1" customWidth="1"/>
    <col min="11" max="11" width="11.37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16</v>
      </c>
      <c r="D1" s="9" t="s">
        <v>0</v>
      </c>
      <c r="E1" s="97">
        <v>8</v>
      </c>
      <c r="F1" s="1"/>
      <c r="G1" s="1"/>
      <c r="H1" s="1"/>
      <c r="I1" s="1">
        <v>924</v>
      </c>
      <c r="J1" s="1"/>
      <c r="K1" s="1"/>
      <c r="L1" s="22">
        <f>+ROUND(+O5*0.584/1000,3)</f>
        <v>11.663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ROUND((+'(15)'!L2*(C1-1)+L1)/C1,3)</f>
        <v>10.406000000000001</v>
      </c>
      <c r="M2" s="18" t="s">
        <v>7</v>
      </c>
      <c r="N2" s="144" t="s">
        <v>1</v>
      </c>
      <c r="O2" s="144"/>
      <c r="P2" s="144"/>
      <c r="Q2" s="144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" si="0">+D3</f>
        <v>수량 및 금액</v>
      </c>
      <c r="J3" s="34" t="str">
        <f>+'[1](1)'!J3</f>
        <v>제   목</v>
      </c>
      <c r="K3" s="29" t="str">
        <f>F3</f>
        <v>수량 및 금액</v>
      </c>
      <c r="L3" s="21">
        <f>+L2*C1</f>
        <v>166.49600000000001</v>
      </c>
      <c r="M3" s="18" t="s">
        <v>10</v>
      </c>
      <c r="N3" s="3"/>
      <c r="O3" s="3"/>
      <c r="P3" s="145" t="str">
        <f>+'(1)'!C1&amp;"년"&amp;'(1)'!E1&amp;"월"&amp;C1&amp;"일"</f>
        <v>2023년8월16일</v>
      </c>
      <c r="Q3" s="145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11175.674000000001</v>
      </c>
      <c r="E4" s="34" t="str">
        <f>+'[1](1)'!E4</f>
        <v>고액권</v>
      </c>
      <c r="F4" s="36">
        <v>175000</v>
      </c>
      <c r="G4" s="27"/>
      <c r="H4" s="34" t="str">
        <f>+C4</f>
        <v>판매량</v>
      </c>
      <c r="I4" s="35">
        <v>8795.1380000000008</v>
      </c>
      <c r="J4" s="42" t="str">
        <f>+'[1](1)'!J4</f>
        <v>고액권</v>
      </c>
      <c r="K4" s="36">
        <v>115000</v>
      </c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16071</v>
      </c>
      <c r="S4" s="6" t="s">
        <v>2</v>
      </c>
      <c r="T4" s="1"/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>
        <v>1000</v>
      </c>
      <c r="G5" s="27"/>
      <c r="H5" s="42" t="str">
        <f t="shared" ref="H5:H13" si="2">+C5</f>
        <v>법인전표</v>
      </c>
      <c r="I5" s="43"/>
      <c r="J5" s="42" t="str">
        <f>+'[1](1)'!J5</f>
        <v>천원권</v>
      </c>
      <c r="K5" s="44">
        <v>2000</v>
      </c>
      <c r="L5" s="2"/>
      <c r="M5" s="20"/>
      <c r="N5" s="45" t="str">
        <f>+C4</f>
        <v>판매량</v>
      </c>
      <c r="O5" s="46">
        <f>SUM(D4+I4+D17+I17+D35+I35)</f>
        <v>19970.812000000002</v>
      </c>
      <c r="P5" s="47" t="str">
        <f>+E4</f>
        <v>고액권</v>
      </c>
      <c r="Q5" s="48">
        <f>SUM(F4+K4+F17+K17+F35+K35)</f>
        <v>290000</v>
      </c>
      <c r="R5" s="7">
        <v>33</v>
      </c>
      <c r="S5" s="6" t="s">
        <v>3</v>
      </c>
      <c r="T5" s="1"/>
      <c r="U5" s="1"/>
      <c r="V5" s="1"/>
    </row>
    <row r="6" spans="3:22" ht="16.5" customHeight="1">
      <c r="C6" s="83" t="str">
        <f>+'(1)'!C6</f>
        <v>외상전표</v>
      </c>
      <c r="D6" s="50">
        <v>310.69099999999997</v>
      </c>
      <c r="E6" s="105" t="str">
        <f>+'[1](1)'!E6</f>
        <v>블루/레드포인트</v>
      </c>
      <c r="F6" s="44"/>
      <c r="G6" s="27"/>
      <c r="H6" s="42" t="str">
        <f t="shared" si="2"/>
        <v>외상전표</v>
      </c>
      <c r="I6" s="50">
        <v>68.947999999999993</v>
      </c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3000</v>
      </c>
      <c r="R6" s="7">
        <v>3</v>
      </c>
      <c r="S6" s="6" t="s">
        <v>4</v>
      </c>
      <c r="T6" s="1"/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/>
      <c r="G7" s="27"/>
      <c r="H7" s="83" t="str">
        <f t="shared" si="2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3">+C6</f>
        <v>외상전표</v>
      </c>
      <c r="O7" s="54">
        <f>SUM(D6+I6+D19+I19+D37+I37)</f>
        <v>379.63899999999995</v>
      </c>
      <c r="P7" s="106" t="str">
        <f t="shared" ref="P7:P14" si="4">+E6</f>
        <v>블루/레드포인트</v>
      </c>
      <c r="Q7" s="53">
        <f>SUM(F6+K6+F19+K19+F37+K37)</f>
        <v>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>
        <v>9849088</v>
      </c>
      <c r="G8" s="27"/>
      <c r="H8" s="34" t="str">
        <f t="shared" si="2"/>
        <v>자가소비</v>
      </c>
      <c r="I8" s="50"/>
      <c r="J8" s="42" t="str">
        <f>+'[1](1)'!J8</f>
        <v>신용카드</v>
      </c>
      <c r="K8" s="44">
        <f>7930975+F8</f>
        <v>17780063</v>
      </c>
      <c r="L8" s="2"/>
      <c r="M8" s="20"/>
      <c r="N8" s="51" t="str">
        <f t="shared" si="3"/>
        <v>효신(업)</v>
      </c>
      <c r="O8" s="52">
        <f>SUM(D7+I7+D20+I20+D38+I38)</f>
        <v>0</v>
      </c>
      <c r="P8" s="106" t="str">
        <f t="shared" si="4"/>
        <v>롯대칠성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/>
      <c r="G9" s="27"/>
      <c r="H9" s="42" t="str">
        <f t="shared" si="2"/>
        <v>-</v>
      </c>
      <c r="I9" s="50"/>
      <c r="J9" s="42" t="str">
        <f>+'[1](1)'!J9</f>
        <v>상품권</v>
      </c>
      <c r="K9" s="44"/>
      <c r="L9" s="2"/>
      <c r="M9" s="20"/>
      <c r="N9" s="51" t="str">
        <f t="shared" si="3"/>
        <v>자가소비</v>
      </c>
      <c r="O9" s="54">
        <f>SUM(D8+I8+D21+I21+D39+I39)</f>
        <v>0</v>
      </c>
      <c r="P9" s="51" t="str">
        <f t="shared" si="4"/>
        <v>신용카드</v>
      </c>
      <c r="Q9" s="53">
        <f>IF(K8=0,F8,IF(F21=0,K8,IF(K21=0,F21,K21)))</f>
        <v>17780063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>
        <v>393.29399999999998</v>
      </c>
      <c r="E10" s="42" t="str">
        <f>+'[1](1)'!E10</f>
        <v>OK케시백</v>
      </c>
      <c r="F10" s="44"/>
      <c r="G10" s="27"/>
      <c r="H10" s="42" t="str">
        <f t="shared" si="2"/>
        <v>고객우대</v>
      </c>
      <c r="I10" s="50">
        <v>59.381999999999998</v>
      </c>
      <c r="J10" s="42" t="str">
        <f>+'[1](1)'!J10</f>
        <v>OK케시백</v>
      </c>
      <c r="K10" s="44">
        <v>3000</v>
      </c>
      <c r="L10" s="2"/>
      <c r="M10" s="20"/>
      <c r="N10" s="51" t="str">
        <f t="shared" si="3"/>
        <v>-</v>
      </c>
      <c r="O10" s="54"/>
      <c r="P10" s="51" t="str">
        <f t="shared" si="4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-13765.289999999999</v>
      </c>
      <c r="E11" s="42" t="str">
        <f>+'[1](1)'!E11</f>
        <v>모바일</v>
      </c>
      <c r="F11" s="44"/>
      <c r="G11" s="27"/>
      <c r="H11" s="83" t="str">
        <f t="shared" si="2"/>
        <v>-</v>
      </c>
      <c r="I11" s="55">
        <f>SUM(I10*-35)</f>
        <v>-2078.37</v>
      </c>
      <c r="J11" s="56" t="str">
        <f>+'[1](1)'!J11</f>
        <v>모바일</v>
      </c>
      <c r="K11" s="44">
        <v>9000</v>
      </c>
      <c r="L11" s="2"/>
      <c r="M11" s="20"/>
      <c r="N11" s="51" t="str">
        <f t="shared" si="3"/>
        <v>고객우대</v>
      </c>
      <c r="O11" s="54">
        <f>SUM(D10+I10+D23+I23+D41+I41)</f>
        <v>452.67599999999999</v>
      </c>
      <c r="P11" s="51" t="str">
        <f t="shared" si="4"/>
        <v>OK케시백</v>
      </c>
      <c r="Q11" s="53">
        <f>SUM(F10+K10+F23+K23+F41+K41)</f>
        <v>3000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/>
      <c r="G12" s="27"/>
      <c r="H12" s="84" t="str">
        <f t="shared" si="2"/>
        <v>-</v>
      </c>
      <c r="I12" s="57"/>
      <c r="J12" s="29" t="str">
        <f>+'[1](1)'!J12</f>
        <v>제로페이</v>
      </c>
      <c r="K12" s="58"/>
      <c r="L12" s="2"/>
      <c r="M12" s="20"/>
      <c r="N12" s="51" t="str">
        <f t="shared" si="3"/>
        <v>-</v>
      </c>
      <c r="O12" s="55">
        <f>SUM(O11*-35)</f>
        <v>-15843.66</v>
      </c>
      <c r="P12" s="51" t="str">
        <f t="shared" si="4"/>
        <v>모바일</v>
      </c>
      <c r="Q12" s="53">
        <f>SUM(F11+K11+F24+K24+F42+K42)</f>
        <v>9000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SUM((D4-D5-D6-D7-D8-D9)*$I$1+D11)</f>
        <v>10025479.002</v>
      </c>
      <c r="E13" s="29" t="str">
        <f>+'[1](1)'!E13</f>
        <v>합계</v>
      </c>
      <c r="F13" s="61">
        <f>SUM(F4:F12)</f>
        <v>10025088</v>
      </c>
      <c r="G13" s="62"/>
      <c r="H13" s="29" t="str">
        <f t="shared" si="2"/>
        <v>합계</v>
      </c>
      <c r="I13" s="60">
        <f>SUM((I4-I5-I6-I7-I8-I9)*$I$1+I11)</f>
        <v>8060921.1900000004</v>
      </c>
      <c r="J13" s="29" t="str">
        <f t="shared" ref="J13" si="5">+E13</f>
        <v>합계</v>
      </c>
      <c r="K13" s="61">
        <f>IF(K8=0,0,SUM(K4:K12)-F8)</f>
        <v>8059975</v>
      </c>
      <c r="L13" s="2"/>
      <c r="M13" s="20"/>
      <c r="N13" s="63" t="str">
        <f t="shared" si="3"/>
        <v>-</v>
      </c>
      <c r="O13" s="64"/>
      <c r="P13" s="63" t="str">
        <f t="shared" si="4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-391.00200000032783</v>
      </c>
      <c r="G14" s="27"/>
      <c r="H14" s="27"/>
      <c r="I14" s="27"/>
      <c r="J14" s="27"/>
      <c r="K14" s="67">
        <f>SUM(K13-I13)</f>
        <v>-946.19000000040978</v>
      </c>
      <c r="L14" s="2">
        <f>SUM(L4:L13)</f>
        <v>0</v>
      </c>
      <c r="M14" s="18" t="s">
        <v>9</v>
      </c>
      <c r="N14" s="39" t="str">
        <f t="shared" si="3"/>
        <v>합계</v>
      </c>
      <c r="O14" s="68">
        <f>SUM((O5-O6-O7-O8-O9-O10)*+E1+O12)</f>
        <v>140885.72400000002</v>
      </c>
      <c r="P14" s="39" t="str">
        <f t="shared" si="4"/>
        <v>합계</v>
      </c>
      <c r="Q14" s="69">
        <f>SUM(Q5:Q13)</f>
        <v>18085063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-1337.1920000007376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30" t="s">
        <v>34</v>
      </c>
      <c r="O18" s="143"/>
      <c r="P18" s="116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105" t="str">
        <f t="shared" ref="E19:E25" si="9">+E6</f>
        <v>블루/레드포인트</v>
      </c>
      <c r="F19" s="44"/>
      <c r="G19" s="27"/>
      <c r="H19" s="42" t="str">
        <f t="shared" ref="H19:H25" si="10">+C6</f>
        <v>외상전표</v>
      </c>
      <c r="I19" s="50"/>
      <c r="J19" s="105" t="str">
        <f t="shared" ref="J19:J25" si="11">+E6</f>
        <v>블루/레드포인트</v>
      </c>
      <c r="K19" s="44"/>
      <c r="L19" s="2"/>
      <c r="M19" s="1"/>
      <c r="N19" s="134" t="s">
        <v>37</v>
      </c>
      <c r="O19" s="135"/>
      <c r="P19" s="117">
        <v>13</v>
      </c>
      <c r="Q19" s="48">
        <f>SUM(P19*1000)</f>
        <v>13000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롯대칠성</v>
      </c>
      <c r="F20" s="44"/>
      <c r="G20" s="27"/>
      <c r="H20" s="42" t="str">
        <f t="shared" si="10"/>
        <v>효신(업)</v>
      </c>
      <c r="I20" s="50"/>
      <c r="J20" s="42" t="str">
        <f t="shared" si="11"/>
        <v>롯대칠성</v>
      </c>
      <c r="K20" s="44"/>
      <c r="L20" s="2"/>
      <c r="M20" s="1"/>
      <c r="N20" s="140" t="s">
        <v>38</v>
      </c>
      <c r="O20" s="141"/>
      <c r="P20" s="118">
        <v>79</v>
      </c>
      <c r="Q20" s="53">
        <f>SUM(P20*1000)</f>
        <v>79000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40" t="s">
        <v>57</v>
      </c>
      <c r="O21" s="141"/>
      <c r="P21" s="118">
        <v>10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42" t="s">
        <v>59</v>
      </c>
      <c r="O22" s="137"/>
      <c r="P22" s="118">
        <v>16</v>
      </c>
      <c r="Q22" s="53"/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36" t="s">
        <v>61</v>
      </c>
      <c r="O23" s="137"/>
      <c r="P23" s="118">
        <v>17</v>
      </c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36" t="s">
        <v>62</v>
      </c>
      <c r="O24" s="137"/>
      <c r="P24" s="118">
        <v>8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36"/>
      <c r="O25" s="137"/>
      <c r="P25" s="121"/>
      <c r="Q25" s="12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SUM((D17-D18-D19-D20-D21-D22)*$I$1+D24)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SUM((I17-I18-I19-I20-I21-I22)*$I$1+I24)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36"/>
      <c r="O26" s="137"/>
      <c r="P26" s="123"/>
      <c r="Q26" s="114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38" t="s">
        <v>39</v>
      </c>
      <c r="O27" s="139"/>
      <c r="P27" s="119">
        <f>+P28-SUM(P19:P26)</f>
        <v>-9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30" t="s">
        <v>40</v>
      </c>
      <c r="O28" s="131"/>
      <c r="P28" s="120">
        <v>134</v>
      </c>
      <c r="Q28" s="69">
        <f>SUM(Q19:Q27)</f>
        <v>92000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1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2"/>
      <c r="O31" s="102">
        <v>25382</v>
      </c>
      <c r="P31" s="103">
        <v>25435</v>
      </c>
      <c r="Q31" s="104">
        <f>P31-O31</f>
        <v>53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1:O21"/>
    <mergeCell ref="N2:Q2"/>
    <mergeCell ref="P3:Q3"/>
    <mergeCell ref="N19:O19"/>
    <mergeCell ref="N20:O20"/>
    <mergeCell ref="N18:O18"/>
    <mergeCell ref="N28:O28"/>
    <mergeCell ref="N22:O22"/>
    <mergeCell ref="N23:O23"/>
    <mergeCell ref="N24:O24"/>
    <mergeCell ref="N27:O27"/>
    <mergeCell ref="N25:O25"/>
    <mergeCell ref="N26:O26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A4" workbookViewId="0">
      <selection activeCell="F9" sqref="F9"/>
    </sheetView>
  </sheetViews>
  <sheetFormatPr defaultRowHeight="27.75" customHeight="1"/>
  <cols>
    <col min="1" max="2" width="9" style="10"/>
    <col min="3" max="3" width="9" style="10" bestFit="1" customWidth="1"/>
    <col min="4" max="4" width="11.375" style="10" customWidth="1"/>
    <col min="5" max="5" width="11.25" style="10" bestFit="1" customWidth="1"/>
    <col min="6" max="6" width="11.375" style="10" customWidth="1"/>
    <col min="7" max="7" width="5" style="10" customWidth="1"/>
    <col min="8" max="8" width="9" style="10"/>
    <col min="9" max="9" width="11.375" style="10" customWidth="1"/>
    <col min="10" max="10" width="11.25" style="10" bestFit="1" customWidth="1"/>
    <col min="11" max="11" width="11.37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17</v>
      </c>
      <c r="D1" s="9" t="s">
        <v>0</v>
      </c>
      <c r="E1" s="97">
        <v>8</v>
      </c>
      <c r="F1" s="1"/>
      <c r="G1" s="1"/>
      <c r="H1" s="1"/>
      <c r="I1" s="1">
        <v>924</v>
      </c>
      <c r="J1" s="1"/>
      <c r="K1" s="1"/>
      <c r="L1" s="22">
        <f>+ROUND(+O5*0.584/1000,3)</f>
        <v>11.353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ROUND((+'(16)'!L2*(C1-1)+L1)/C1,3)</f>
        <v>10.462</v>
      </c>
      <c r="M2" s="18" t="s">
        <v>7</v>
      </c>
      <c r="N2" s="144" t="s">
        <v>1</v>
      </c>
      <c r="O2" s="144"/>
      <c r="P2" s="144"/>
      <c r="Q2" s="144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" si="0">+D3</f>
        <v>수량 및 금액</v>
      </c>
      <c r="J3" s="34" t="str">
        <f>+'[1](1)'!J3</f>
        <v>제   목</v>
      </c>
      <c r="K3" s="29" t="str">
        <f>F3</f>
        <v>수량 및 금액</v>
      </c>
      <c r="L3" s="21">
        <f>+L2*C1</f>
        <v>177.85399999999998</v>
      </c>
      <c r="M3" s="18" t="s">
        <v>10</v>
      </c>
      <c r="N3" s="3"/>
      <c r="O3" s="3"/>
      <c r="P3" s="145" t="str">
        <f>+'(1)'!C1&amp;"년"&amp;'(1)'!E1&amp;"월"&amp;C1&amp;"일"</f>
        <v>2023년8월17일</v>
      </c>
      <c r="Q3" s="145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10961.388999999999</v>
      </c>
      <c r="E4" s="34" t="str">
        <f>+'[1](1)'!E4</f>
        <v>고액권</v>
      </c>
      <c r="F4" s="36">
        <v>100000</v>
      </c>
      <c r="G4" s="27"/>
      <c r="H4" s="34" t="str">
        <f>+C4</f>
        <v>판매량</v>
      </c>
      <c r="I4" s="35">
        <v>8478.1990000000005</v>
      </c>
      <c r="J4" s="42" t="str">
        <f>+'[1](1)'!J4</f>
        <v>고액권</v>
      </c>
      <c r="K4" s="36">
        <v>85000</v>
      </c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33088</v>
      </c>
      <c r="S4" s="6" t="s">
        <v>2</v>
      </c>
      <c r="T4" s="1"/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>
        <v>3000</v>
      </c>
      <c r="G5" s="27"/>
      <c r="H5" s="42" t="str">
        <f t="shared" ref="H5:H13" si="2">+C5</f>
        <v>법인전표</v>
      </c>
      <c r="I5" s="43"/>
      <c r="J5" s="42" t="str">
        <f>+'[1](1)'!J5</f>
        <v>천원권</v>
      </c>
      <c r="K5" s="44">
        <v>4000</v>
      </c>
      <c r="L5" s="2"/>
      <c r="M5" s="20"/>
      <c r="N5" s="45" t="str">
        <f>+C4</f>
        <v>판매량</v>
      </c>
      <c r="O5" s="46">
        <f>SUM(D4+I4+D17+I17+D35+I35)</f>
        <v>19439.588</v>
      </c>
      <c r="P5" s="47" t="str">
        <f>+E4</f>
        <v>고액권</v>
      </c>
      <c r="Q5" s="48">
        <f>SUM(F4+K4+F17+K17+F35+K35)</f>
        <v>185000</v>
      </c>
      <c r="R5" s="7">
        <v>34</v>
      </c>
      <c r="S5" s="6" t="s">
        <v>3</v>
      </c>
      <c r="T5" s="1"/>
      <c r="U5" s="1"/>
      <c r="V5" s="1"/>
    </row>
    <row r="6" spans="3:22" ht="16.5" customHeight="1">
      <c r="C6" s="83" t="str">
        <f>+'(1)'!C6</f>
        <v>외상전표</v>
      </c>
      <c r="D6" s="50">
        <v>266.65899999999999</v>
      </c>
      <c r="E6" s="105" t="str">
        <f>+'[1](1)'!E6</f>
        <v>블루/레드포인트</v>
      </c>
      <c r="F6" s="44"/>
      <c r="G6" s="27"/>
      <c r="H6" s="42" t="str">
        <f t="shared" si="2"/>
        <v>외상전표</v>
      </c>
      <c r="I6" s="50">
        <v>38.427</v>
      </c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7000</v>
      </c>
      <c r="R6" s="7">
        <v>3.1</v>
      </c>
      <c r="S6" s="6" t="s">
        <v>4</v>
      </c>
      <c r="T6" s="1"/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>
        <v>380</v>
      </c>
      <c r="G7" s="27"/>
      <c r="H7" s="83" t="str">
        <f t="shared" si="2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3">+C6</f>
        <v>외상전표</v>
      </c>
      <c r="O7" s="54">
        <f>SUM(D6+I6+D19+I19+D37+I37)</f>
        <v>305.08600000000001</v>
      </c>
      <c r="P7" s="106" t="str">
        <f t="shared" ref="P7:P14" si="4">+E6</f>
        <v>블루/레드포인트</v>
      </c>
      <c r="Q7" s="53">
        <f>SUM(F6+K6+F19+K19+F37+K37)</f>
        <v>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>
        <v>9735646</v>
      </c>
      <c r="G8" s="27"/>
      <c r="H8" s="34" t="str">
        <f t="shared" si="2"/>
        <v>자가소비</v>
      </c>
      <c r="I8" s="50"/>
      <c r="J8" s="42" t="str">
        <f>+'[1](1)'!J8</f>
        <v>신용카드</v>
      </c>
      <c r="K8" s="44">
        <f>F8+7707349</f>
        <v>17442995</v>
      </c>
      <c r="L8" s="2"/>
      <c r="M8" s="20"/>
      <c r="N8" s="51" t="str">
        <f t="shared" si="3"/>
        <v>효신(업)</v>
      </c>
      <c r="O8" s="52">
        <f>SUM(D7+I7+D20+I20+D38+I38)</f>
        <v>0</v>
      </c>
      <c r="P8" s="106" t="str">
        <f t="shared" si="4"/>
        <v>롯대칠성</v>
      </c>
      <c r="Q8" s="53">
        <f>SUM(F7+K7+F20+K20+F38+K38)</f>
        <v>380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/>
      <c r="G9" s="27"/>
      <c r="H9" s="42" t="str">
        <f t="shared" si="2"/>
        <v>-</v>
      </c>
      <c r="I9" s="50"/>
      <c r="J9" s="42" t="str">
        <f>+'[1](1)'!J9</f>
        <v>상품권</v>
      </c>
      <c r="K9" s="44"/>
      <c r="L9" s="2"/>
      <c r="M9" s="20"/>
      <c r="N9" s="51" t="str">
        <f t="shared" si="3"/>
        <v>자가소비</v>
      </c>
      <c r="O9" s="54">
        <f>SUM(D8+I8+D21+I21+D39+I39)</f>
        <v>0</v>
      </c>
      <c r="P9" s="51" t="str">
        <f t="shared" si="4"/>
        <v>신용카드</v>
      </c>
      <c r="Q9" s="53">
        <f>IF(K8=0,F8,IF(F21=0,K8,IF(K21=0,F21,K21)))</f>
        <v>17442995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>
        <v>281.5</v>
      </c>
      <c r="E10" s="42" t="str">
        <f>+'[1](1)'!E10</f>
        <v>OK케시백</v>
      </c>
      <c r="F10" s="44">
        <v>27000</v>
      </c>
      <c r="G10" s="27"/>
      <c r="H10" s="42" t="str">
        <f t="shared" si="2"/>
        <v>고객우대</v>
      </c>
      <c r="I10" s="50">
        <v>64.638999999999996</v>
      </c>
      <c r="J10" s="42" t="str">
        <f>+'[1](1)'!J10</f>
        <v>OK케시백</v>
      </c>
      <c r="K10" s="44"/>
      <c r="L10" s="2"/>
      <c r="M10" s="20"/>
      <c r="N10" s="51" t="str">
        <f t="shared" si="3"/>
        <v>-</v>
      </c>
      <c r="O10" s="54"/>
      <c r="P10" s="51" t="str">
        <f t="shared" si="4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-9852.5</v>
      </c>
      <c r="E11" s="42" t="str">
        <f>+'[1](1)'!E11</f>
        <v>모바일</v>
      </c>
      <c r="F11" s="44">
        <v>5000</v>
      </c>
      <c r="G11" s="27"/>
      <c r="H11" s="83" t="str">
        <f t="shared" si="2"/>
        <v>-</v>
      </c>
      <c r="I11" s="55">
        <f>SUM(I10*-35)</f>
        <v>-2262.3649999999998</v>
      </c>
      <c r="J11" s="56" t="str">
        <f>+'[1](1)'!J11</f>
        <v>모바일</v>
      </c>
      <c r="K11" s="44"/>
      <c r="L11" s="2"/>
      <c r="M11" s="20"/>
      <c r="N11" s="51" t="str">
        <f t="shared" si="3"/>
        <v>고객우대</v>
      </c>
      <c r="O11" s="54">
        <f>SUM(D10+I10+D23+I23+D41+I41)</f>
        <v>346.13900000000001</v>
      </c>
      <c r="P11" s="51" t="str">
        <f t="shared" si="4"/>
        <v>OK케시백</v>
      </c>
      <c r="Q11" s="53">
        <f>SUM(F10+K10+F23+K23+F41+K41)</f>
        <v>27000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/>
      <c r="G12" s="27"/>
      <c r="H12" s="84" t="str">
        <f t="shared" si="2"/>
        <v>-</v>
      </c>
      <c r="I12" s="57"/>
      <c r="J12" s="29" t="str">
        <f>+'[1](1)'!J12</f>
        <v>제로페이</v>
      </c>
      <c r="K12" s="58"/>
      <c r="L12" s="2"/>
      <c r="M12" s="20"/>
      <c r="N12" s="51" t="str">
        <f t="shared" si="3"/>
        <v>-</v>
      </c>
      <c r="O12" s="55">
        <f>SUM(O11*-35)</f>
        <v>-12114.865</v>
      </c>
      <c r="P12" s="51" t="str">
        <f t="shared" si="4"/>
        <v>모바일</v>
      </c>
      <c r="Q12" s="53">
        <f>SUM(F11+K11+F24+K24+F42+K42)</f>
        <v>5000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SUM((D4-D5-D6-D7-D8-D9)*$I$1+D11)</f>
        <v>9872078.0199999996</v>
      </c>
      <c r="E13" s="29" t="str">
        <f>+'[1](1)'!E13</f>
        <v>합계</v>
      </c>
      <c r="F13" s="61">
        <f>SUM(F4:F12)</f>
        <v>9871026</v>
      </c>
      <c r="G13" s="62"/>
      <c r="H13" s="29" t="str">
        <f t="shared" si="2"/>
        <v>합계</v>
      </c>
      <c r="I13" s="60">
        <f>SUM((I4-I5-I6-I7-I8-I9)*$I$1+I11)</f>
        <v>7796086.9630000005</v>
      </c>
      <c r="J13" s="29" t="str">
        <f t="shared" ref="J13" si="5">+E13</f>
        <v>합계</v>
      </c>
      <c r="K13" s="61">
        <f>IF(K8=0,0,SUM(K4:K12)-F8)</f>
        <v>7796349</v>
      </c>
      <c r="L13" s="2"/>
      <c r="M13" s="20"/>
      <c r="N13" s="63" t="str">
        <f t="shared" si="3"/>
        <v>-</v>
      </c>
      <c r="O13" s="64"/>
      <c r="P13" s="63" t="str">
        <f t="shared" si="4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-1052.019999999553</v>
      </c>
      <c r="G14" s="27"/>
      <c r="H14" s="27"/>
      <c r="I14" s="27"/>
      <c r="J14" s="27"/>
      <c r="K14" s="67">
        <f>SUM(K13-I13)</f>
        <v>262.03699999954551</v>
      </c>
      <c r="L14" s="2">
        <f>SUM(L4:L13)</f>
        <v>0</v>
      </c>
      <c r="M14" s="18" t="s">
        <v>9</v>
      </c>
      <c r="N14" s="39" t="str">
        <f t="shared" si="3"/>
        <v>합계</v>
      </c>
      <c r="O14" s="68">
        <f>SUM((O5-O6-O7-O8-O9-O10)*+E1+O12)</f>
        <v>140961.15100000001</v>
      </c>
      <c r="P14" s="39" t="str">
        <f t="shared" si="4"/>
        <v>합계</v>
      </c>
      <c r="Q14" s="69">
        <f>SUM(Q5:Q13)</f>
        <v>17667375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-789.98300000000745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30" t="s">
        <v>34</v>
      </c>
      <c r="O18" s="143"/>
      <c r="P18" s="116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105" t="str">
        <f t="shared" ref="E19:E25" si="9">+E6</f>
        <v>블루/레드포인트</v>
      </c>
      <c r="F19" s="44"/>
      <c r="G19" s="27"/>
      <c r="H19" s="42" t="str">
        <f t="shared" ref="H19:H25" si="10">+C6</f>
        <v>외상전표</v>
      </c>
      <c r="I19" s="50"/>
      <c r="J19" s="105" t="str">
        <f t="shared" ref="J19:J25" si="11">+E6</f>
        <v>블루/레드포인트</v>
      </c>
      <c r="K19" s="44"/>
      <c r="L19" s="2"/>
      <c r="M19" s="1"/>
      <c r="N19" s="134" t="s">
        <v>37</v>
      </c>
      <c r="O19" s="135"/>
      <c r="P19" s="117">
        <v>7</v>
      </c>
      <c r="Q19" s="48">
        <f>SUM(P19*1000)</f>
        <v>7000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롯대칠성</v>
      </c>
      <c r="F20" s="44"/>
      <c r="G20" s="27"/>
      <c r="H20" s="42" t="str">
        <f t="shared" si="10"/>
        <v>효신(업)</v>
      </c>
      <c r="I20" s="50"/>
      <c r="J20" s="42" t="str">
        <f t="shared" si="11"/>
        <v>롯대칠성</v>
      </c>
      <c r="K20" s="44"/>
      <c r="L20" s="2"/>
      <c r="M20" s="1"/>
      <c r="N20" s="140" t="s">
        <v>38</v>
      </c>
      <c r="O20" s="141"/>
      <c r="P20" s="118">
        <v>72</v>
      </c>
      <c r="Q20" s="53">
        <f>SUM(P20*1000)</f>
        <v>72000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40" t="s">
        <v>57</v>
      </c>
      <c r="O21" s="141"/>
      <c r="P21" s="118">
        <v>8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42" t="s">
        <v>59</v>
      </c>
      <c r="O22" s="137"/>
      <c r="P22" s="118">
        <v>28</v>
      </c>
      <c r="Q22" s="53"/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36" t="s">
        <v>61</v>
      </c>
      <c r="O23" s="137"/>
      <c r="P23" s="118">
        <v>11</v>
      </c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36" t="s">
        <v>62</v>
      </c>
      <c r="O24" s="137"/>
      <c r="P24" s="118">
        <v>7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36"/>
      <c r="O25" s="137"/>
      <c r="P25" s="121"/>
      <c r="Q25" s="12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SUM((D17-D18-D19-D20-D21-D22)*$I$1+D24)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SUM((I17-I18-I19-I20-I21-I22)*$I$1+I24)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36"/>
      <c r="O26" s="137"/>
      <c r="P26" s="123"/>
      <c r="Q26" s="114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38" t="s">
        <v>39</v>
      </c>
      <c r="O27" s="139"/>
      <c r="P27" s="119">
        <f>+P28-SUM(P19:P26)</f>
        <v>-5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30" t="s">
        <v>40</v>
      </c>
      <c r="O28" s="131"/>
      <c r="P28" s="120">
        <v>128</v>
      </c>
      <c r="Q28" s="69">
        <f>SUM(Q19:Q27)</f>
        <v>79000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1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2"/>
      <c r="O31" s="102">
        <v>25435</v>
      </c>
      <c r="P31" s="103">
        <v>25488</v>
      </c>
      <c r="Q31" s="104">
        <f>P31-O31</f>
        <v>53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1:O21"/>
    <mergeCell ref="N2:Q2"/>
    <mergeCell ref="P3:Q3"/>
    <mergeCell ref="N19:O19"/>
    <mergeCell ref="N20:O20"/>
    <mergeCell ref="N18:O18"/>
    <mergeCell ref="N28:O28"/>
    <mergeCell ref="N22:O22"/>
    <mergeCell ref="N23:O23"/>
    <mergeCell ref="N24:O24"/>
    <mergeCell ref="N27:O27"/>
    <mergeCell ref="N25:O25"/>
    <mergeCell ref="N26:O26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A13" workbookViewId="0">
      <selection activeCell="P31" sqref="P31"/>
    </sheetView>
  </sheetViews>
  <sheetFormatPr defaultRowHeight="27.75" customHeight="1"/>
  <cols>
    <col min="1" max="2" width="9" style="10"/>
    <col min="3" max="3" width="9" style="10" bestFit="1" customWidth="1"/>
    <col min="4" max="4" width="11.5" style="10" customWidth="1"/>
    <col min="5" max="5" width="11.25" style="10" bestFit="1" customWidth="1"/>
    <col min="6" max="6" width="11.5" style="10" customWidth="1"/>
    <col min="7" max="7" width="5" style="10" customWidth="1"/>
    <col min="8" max="8" width="9" style="10"/>
    <col min="9" max="9" width="11.5" style="10" customWidth="1"/>
    <col min="10" max="10" width="11.25" style="10" bestFit="1" customWidth="1"/>
    <col min="11" max="11" width="11.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18</v>
      </c>
      <c r="D1" s="9" t="s">
        <v>0</v>
      </c>
      <c r="E1" s="97">
        <v>8</v>
      </c>
      <c r="F1" s="1"/>
      <c r="G1" s="1"/>
      <c r="H1" s="1"/>
      <c r="I1" s="1">
        <v>924</v>
      </c>
      <c r="J1" s="1"/>
      <c r="K1" s="1"/>
      <c r="L1" s="22">
        <f>+ROUND(+O5*0.584/1000,3)</f>
        <v>12.138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ROUND((+'(17)'!L2*(C1-1)+L1)/C1,3)</f>
        <v>10.555</v>
      </c>
      <c r="M2" s="18" t="s">
        <v>7</v>
      </c>
      <c r="N2" s="144" t="s">
        <v>1</v>
      </c>
      <c r="O2" s="144"/>
      <c r="P2" s="144"/>
      <c r="Q2" s="144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" si="0">+D3</f>
        <v>수량 및 금액</v>
      </c>
      <c r="J3" s="34" t="str">
        <f>+'[1](1)'!J3</f>
        <v>제   목</v>
      </c>
      <c r="K3" s="29" t="str">
        <f>F3</f>
        <v>수량 및 금액</v>
      </c>
      <c r="L3" s="21">
        <f>+L2*C1</f>
        <v>189.99</v>
      </c>
      <c r="M3" s="18" t="s">
        <v>10</v>
      </c>
      <c r="N3" s="3"/>
      <c r="O3" s="3"/>
      <c r="P3" s="145" t="str">
        <f>+'(1)'!C1&amp;"년"&amp;'(1)'!E1&amp;"월"&amp;C1&amp;"일"</f>
        <v>2023년8월18일</v>
      </c>
      <c r="Q3" s="145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11192.825000000001</v>
      </c>
      <c r="E4" s="34" t="str">
        <f>+'[1](1)'!E4</f>
        <v>고액권</v>
      </c>
      <c r="F4" s="36">
        <v>30000</v>
      </c>
      <c r="G4" s="27"/>
      <c r="H4" s="34" t="str">
        <f>+C4</f>
        <v>판매량</v>
      </c>
      <c r="I4" s="35">
        <v>9591.0759999999991</v>
      </c>
      <c r="J4" s="42" t="str">
        <f>+'[1](1)'!J4</f>
        <v>고액권</v>
      </c>
      <c r="K4" s="36">
        <v>100000</v>
      </c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47760</v>
      </c>
      <c r="S4" s="6" t="s">
        <v>2</v>
      </c>
      <c r="T4" s="1"/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>
        <v>3000</v>
      </c>
      <c r="G5" s="27"/>
      <c r="H5" s="42" t="str">
        <f t="shared" ref="H5:H13" si="2">+C5</f>
        <v>법인전표</v>
      </c>
      <c r="I5" s="43"/>
      <c r="J5" s="42" t="str">
        <f>+'[1](1)'!J5</f>
        <v>천원권</v>
      </c>
      <c r="K5" s="44">
        <v>3000</v>
      </c>
      <c r="L5" s="2"/>
      <c r="M5" s="20"/>
      <c r="N5" s="45" t="str">
        <f>+C4</f>
        <v>판매량</v>
      </c>
      <c r="O5" s="46">
        <f>SUM(D4+I4+D17+I17+D35+I35)</f>
        <v>20783.900999999998</v>
      </c>
      <c r="P5" s="47" t="str">
        <f>+E4</f>
        <v>고액권</v>
      </c>
      <c r="Q5" s="48">
        <f>SUM(F4+K4+F17+K17+F35+K35)</f>
        <v>130000</v>
      </c>
      <c r="R5" s="7">
        <v>36</v>
      </c>
      <c r="S5" s="6" t="s">
        <v>3</v>
      </c>
      <c r="T5" s="1"/>
      <c r="U5" s="1"/>
      <c r="V5" s="1"/>
    </row>
    <row r="6" spans="3:22" ht="16.5" customHeight="1">
      <c r="C6" s="83" t="str">
        <f>+'(1)'!C6</f>
        <v>외상전표</v>
      </c>
      <c r="D6" s="50">
        <v>256.41300000000001</v>
      </c>
      <c r="E6" s="105" t="str">
        <f>+'[1](1)'!E6</f>
        <v>블루/레드포인트</v>
      </c>
      <c r="F6" s="44"/>
      <c r="G6" s="27"/>
      <c r="H6" s="42" t="str">
        <f t="shared" si="2"/>
        <v>외상전표</v>
      </c>
      <c r="I6" s="50"/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6000</v>
      </c>
      <c r="R6" s="7">
        <v>3.3</v>
      </c>
      <c r="S6" s="6" t="s">
        <v>4</v>
      </c>
      <c r="T6" s="1"/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/>
      <c r="G7" s="27"/>
      <c r="H7" s="83" t="str">
        <f t="shared" si="2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3">+C6</f>
        <v>외상전표</v>
      </c>
      <c r="O7" s="54">
        <f>SUM(D6+I6+D19+I19+D37+I37)</f>
        <v>256.41300000000001</v>
      </c>
      <c r="P7" s="106" t="str">
        <f t="shared" ref="P7:P14" si="4">+E6</f>
        <v>블루/레드포인트</v>
      </c>
      <c r="Q7" s="53">
        <f>SUM(F6+K6+F19+K19+F37+K37)</f>
        <v>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>
        <v>10051058</v>
      </c>
      <c r="G8" s="27"/>
      <c r="H8" s="34" t="str">
        <f t="shared" si="2"/>
        <v>자가소비</v>
      </c>
      <c r="I8" s="50"/>
      <c r="J8" s="42" t="str">
        <f>+'[1](1)'!J8</f>
        <v>신용카드</v>
      </c>
      <c r="K8" s="44">
        <v>18802636</v>
      </c>
      <c r="L8" s="2"/>
      <c r="M8" s="20"/>
      <c r="N8" s="51" t="str">
        <f t="shared" si="3"/>
        <v>효신(업)</v>
      </c>
      <c r="O8" s="52">
        <f>SUM(D7+I7+D20+I20+D38+I38)</f>
        <v>0</v>
      </c>
      <c r="P8" s="106" t="str">
        <f t="shared" si="4"/>
        <v>롯대칠성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/>
      <c r="G9" s="27"/>
      <c r="H9" s="42" t="str">
        <f t="shared" si="2"/>
        <v>-</v>
      </c>
      <c r="I9" s="50"/>
      <c r="J9" s="42" t="str">
        <f>+'[1](1)'!J9</f>
        <v>상품권</v>
      </c>
      <c r="K9" s="44"/>
      <c r="L9" s="2"/>
      <c r="M9" s="20"/>
      <c r="N9" s="51" t="str">
        <f t="shared" si="3"/>
        <v>자가소비</v>
      </c>
      <c r="O9" s="54">
        <f>SUM(D8+I8+D21+I21+D39+I39)</f>
        <v>0</v>
      </c>
      <c r="P9" s="51" t="str">
        <f t="shared" si="4"/>
        <v>신용카드</v>
      </c>
      <c r="Q9" s="53">
        <f>IF(K8=0,F8,IF(F21=0,K8,IF(K21=0,F21,K21)))</f>
        <v>18802636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>
        <v>286.33100000000002</v>
      </c>
      <c r="E10" s="42" t="str">
        <f>+'[1](1)'!E10</f>
        <v>OK케시백</v>
      </c>
      <c r="F10" s="44">
        <v>6000</v>
      </c>
      <c r="G10" s="27"/>
      <c r="H10" s="42" t="str">
        <f t="shared" si="2"/>
        <v>고객우대</v>
      </c>
      <c r="I10" s="50">
        <v>221.11699999999999</v>
      </c>
      <c r="J10" s="42" t="str">
        <f>+'[1](1)'!J10</f>
        <v>OK케시백</v>
      </c>
      <c r="K10" s="44"/>
      <c r="L10" s="2"/>
      <c r="M10" s="20"/>
      <c r="N10" s="51" t="str">
        <f t="shared" si="3"/>
        <v>-</v>
      </c>
      <c r="O10" s="54"/>
      <c r="P10" s="51" t="str">
        <f t="shared" si="4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-10021.585000000001</v>
      </c>
      <c r="E11" s="42" t="str">
        <f>+'[1](1)'!E11</f>
        <v>모바일</v>
      </c>
      <c r="F11" s="44">
        <v>5000</v>
      </c>
      <c r="G11" s="27"/>
      <c r="H11" s="83" t="str">
        <f t="shared" si="2"/>
        <v>-</v>
      </c>
      <c r="I11" s="55">
        <f>SUM(I10*-35)</f>
        <v>-7739.0949999999993</v>
      </c>
      <c r="J11" s="56" t="str">
        <f>+'[1](1)'!J11</f>
        <v>모바일</v>
      </c>
      <c r="K11" s="44"/>
      <c r="L11" s="2"/>
      <c r="M11" s="20"/>
      <c r="N11" s="51" t="str">
        <f t="shared" si="3"/>
        <v>고객우대</v>
      </c>
      <c r="O11" s="54">
        <f>SUM(D10+I10+D23+I23+D41+I41)</f>
        <v>507.44799999999998</v>
      </c>
      <c r="P11" s="51" t="str">
        <f t="shared" si="4"/>
        <v>OK케시백</v>
      </c>
      <c r="Q11" s="53">
        <f>SUM(F10+K10+F23+K23+F41+K41)</f>
        <v>6000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/>
      <c r="G12" s="27"/>
      <c r="H12" s="84" t="str">
        <f t="shared" si="2"/>
        <v>-</v>
      </c>
      <c r="I12" s="57"/>
      <c r="J12" s="29" t="str">
        <f>+'[1](1)'!J12</f>
        <v>제로페이</v>
      </c>
      <c r="K12" s="58"/>
      <c r="L12" s="2"/>
      <c r="M12" s="20"/>
      <c r="N12" s="51" t="str">
        <f t="shared" si="3"/>
        <v>-</v>
      </c>
      <c r="O12" s="55">
        <f>SUM(O11*-35)</f>
        <v>-17760.68</v>
      </c>
      <c r="P12" s="51" t="str">
        <f t="shared" si="4"/>
        <v>모바일</v>
      </c>
      <c r="Q12" s="53">
        <f>SUM(F11+K11+F24+K24+F42+K42)</f>
        <v>5000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SUM((D4-D5-D6-D7-D8-D9)*$I$1+D11)</f>
        <v>10095223.103</v>
      </c>
      <c r="E13" s="29" t="str">
        <f>+'[1](1)'!E13</f>
        <v>합계</v>
      </c>
      <c r="F13" s="61">
        <f>SUM(F4:F12)</f>
        <v>10095058</v>
      </c>
      <c r="G13" s="62"/>
      <c r="H13" s="29" t="str">
        <f t="shared" si="2"/>
        <v>합계</v>
      </c>
      <c r="I13" s="60">
        <f>SUM((I4-I5-I6-I7-I8-I9)*$I$1+I11)</f>
        <v>8854415.1289999988</v>
      </c>
      <c r="J13" s="29" t="str">
        <f t="shared" ref="J13" si="5">+E13</f>
        <v>합계</v>
      </c>
      <c r="K13" s="61">
        <f>IF(K8=0,0,SUM(K4:K12)-F8)</f>
        <v>8854578</v>
      </c>
      <c r="L13" s="2"/>
      <c r="M13" s="20"/>
      <c r="N13" s="63" t="str">
        <f t="shared" si="3"/>
        <v>-</v>
      </c>
      <c r="O13" s="64"/>
      <c r="P13" s="63" t="str">
        <f t="shared" si="4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-165.10300000011921</v>
      </c>
      <c r="G14" s="27"/>
      <c r="H14" s="27"/>
      <c r="I14" s="27"/>
      <c r="J14" s="27"/>
      <c r="K14" s="67">
        <f>SUM(K13-I13)</f>
        <v>162.87100000120699</v>
      </c>
      <c r="L14" s="2">
        <f>SUM(L4:L13)</f>
        <v>0</v>
      </c>
      <c r="M14" s="18" t="s">
        <v>9</v>
      </c>
      <c r="N14" s="39" t="str">
        <f t="shared" si="3"/>
        <v>합계</v>
      </c>
      <c r="O14" s="68">
        <f>SUM((O5-O6-O7-O8-O9-O10)*+E1+O12)</f>
        <v>146459.22399999999</v>
      </c>
      <c r="P14" s="39" t="str">
        <f t="shared" si="4"/>
        <v>합계</v>
      </c>
      <c r="Q14" s="69">
        <f>SUM(Q5:Q13)</f>
        <v>18949636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-2.2319999989122152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30" t="s">
        <v>34</v>
      </c>
      <c r="O18" s="143"/>
      <c r="P18" s="116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105" t="str">
        <f t="shared" ref="E19:E25" si="9">+E6</f>
        <v>블루/레드포인트</v>
      </c>
      <c r="F19" s="44"/>
      <c r="G19" s="27"/>
      <c r="H19" s="42" t="str">
        <f t="shared" ref="H19:H25" si="10">+C6</f>
        <v>외상전표</v>
      </c>
      <c r="I19" s="50"/>
      <c r="J19" s="105" t="str">
        <f t="shared" ref="J19:J25" si="11">+E6</f>
        <v>블루/레드포인트</v>
      </c>
      <c r="K19" s="44"/>
      <c r="L19" s="2"/>
      <c r="M19" s="1"/>
      <c r="N19" s="134" t="s">
        <v>37</v>
      </c>
      <c r="O19" s="135"/>
      <c r="P19" s="117">
        <v>16</v>
      </c>
      <c r="Q19" s="48">
        <f>SUM(P19*1000)</f>
        <v>16000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롯대칠성</v>
      </c>
      <c r="F20" s="44"/>
      <c r="G20" s="27"/>
      <c r="H20" s="42" t="str">
        <f t="shared" si="10"/>
        <v>효신(업)</v>
      </c>
      <c r="I20" s="50"/>
      <c r="J20" s="42" t="str">
        <f t="shared" si="11"/>
        <v>롯대칠성</v>
      </c>
      <c r="K20" s="44"/>
      <c r="L20" s="2"/>
      <c r="M20" s="1"/>
      <c r="N20" s="140" t="s">
        <v>38</v>
      </c>
      <c r="O20" s="141"/>
      <c r="P20" s="118">
        <v>105</v>
      </c>
      <c r="Q20" s="53">
        <f>SUM(P20*1000)</f>
        <v>105000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40" t="s">
        <v>57</v>
      </c>
      <c r="O21" s="141"/>
      <c r="P21" s="118">
        <v>10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42" t="s">
        <v>59</v>
      </c>
      <c r="O22" s="137"/>
      <c r="P22" s="118">
        <v>22</v>
      </c>
      <c r="Q22" s="53"/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36" t="s">
        <v>61</v>
      </c>
      <c r="O23" s="137"/>
      <c r="P23" s="118">
        <v>10</v>
      </c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36" t="s">
        <v>62</v>
      </c>
      <c r="O24" s="137"/>
      <c r="P24" s="118">
        <v>7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36"/>
      <c r="O25" s="137"/>
      <c r="P25" s="121"/>
      <c r="Q25" s="12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SUM((D17-D18-D19-D20-D21-D22)*$I$1+D24)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SUM((I17-I18-I19-I20-I21-I22)*$I$1+I24)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36"/>
      <c r="O26" s="137"/>
      <c r="P26" s="123"/>
      <c r="Q26" s="114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38" t="s">
        <v>39</v>
      </c>
      <c r="O27" s="139"/>
      <c r="P27" s="119">
        <f>+P28-SUM(P19:P26)</f>
        <v>-27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30" t="s">
        <v>40</v>
      </c>
      <c r="O28" s="131"/>
      <c r="P28" s="120">
        <v>143</v>
      </c>
      <c r="Q28" s="69">
        <f>SUM(Q19:Q27)</f>
        <v>121000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1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2"/>
      <c r="O31" s="102">
        <v>25488</v>
      </c>
      <c r="P31" s="103">
        <v>25545</v>
      </c>
      <c r="Q31" s="104">
        <f>P31-O31</f>
        <v>57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1:O21"/>
    <mergeCell ref="N2:Q2"/>
    <mergeCell ref="P3:Q3"/>
    <mergeCell ref="N19:O19"/>
    <mergeCell ref="N20:O20"/>
    <mergeCell ref="N18:O18"/>
    <mergeCell ref="N28:O28"/>
    <mergeCell ref="N22:O22"/>
    <mergeCell ref="N23:O23"/>
    <mergeCell ref="N24:O24"/>
    <mergeCell ref="N27:O27"/>
    <mergeCell ref="N25:O25"/>
    <mergeCell ref="N26:O26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workbookViewId="0">
      <selection activeCell="I11" sqref="I11"/>
    </sheetView>
  </sheetViews>
  <sheetFormatPr defaultRowHeight="27.75" customHeight="1"/>
  <cols>
    <col min="1" max="2" width="9" style="10"/>
    <col min="3" max="3" width="9" style="10" bestFit="1" customWidth="1"/>
    <col min="4" max="4" width="11.375" style="10" customWidth="1"/>
    <col min="5" max="5" width="11.25" style="10" bestFit="1" customWidth="1"/>
    <col min="6" max="6" width="11.375" style="10" customWidth="1"/>
    <col min="7" max="7" width="5" style="10" customWidth="1"/>
    <col min="8" max="8" width="9" style="10"/>
    <col min="9" max="9" width="11.5" style="10" customWidth="1"/>
    <col min="10" max="10" width="11.25" style="10" bestFit="1" customWidth="1"/>
    <col min="11" max="11" width="11.37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19</v>
      </c>
      <c r="D1" s="9" t="s">
        <v>0</v>
      </c>
      <c r="E1" s="97">
        <v>8</v>
      </c>
      <c r="F1" s="1"/>
      <c r="G1" s="1"/>
      <c r="H1" s="1"/>
      <c r="I1" s="1">
        <v>924</v>
      </c>
      <c r="J1" s="1"/>
      <c r="K1" s="1"/>
      <c r="L1" s="22">
        <f>+ROUND(+O5*0.584/1000,3)</f>
        <v>10.375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ROUND((+'(18)'!L2*(C1-1)+L1)/C1,3)</f>
        <v>10.545999999999999</v>
      </c>
      <c r="M2" s="18" t="s">
        <v>7</v>
      </c>
      <c r="N2" s="144" t="s">
        <v>1</v>
      </c>
      <c r="O2" s="144"/>
      <c r="P2" s="144"/>
      <c r="Q2" s="144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" si="0">+D3</f>
        <v>수량 및 금액</v>
      </c>
      <c r="J3" s="34" t="str">
        <f>+'[1](1)'!J3</f>
        <v>제   목</v>
      </c>
      <c r="K3" s="29" t="str">
        <f>F3</f>
        <v>수량 및 금액</v>
      </c>
      <c r="L3" s="21">
        <f>+L2*C1</f>
        <v>200.374</v>
      </c>
      <c r="M3" s="18" t="s">
        <v>10</v>
      </c>
      <c r="N3" s="3"/>
      <c r="O3" s="3"/>
      <c r="P3" s="145" t="str">
        <f>+'(1)'!C1&amp;"년"&amp;'(1)'!E1&amp;"월"&amp;C1&amp;"일"</f>
        <v>2023년8월19일</v>
      </c>
      <c r="Q3" s="145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9098.4279999999999</v>
      </c>
      <c r="E4" s="34" t="str">
        <f>+'[1](1)'!E4</f>
        <v>고액권</v>
      </c>
      <c r="F4" s="36">
        <v>35000</v>
      </c>
      <c r="G4" s="27"/>
      <c r="H4" s="34" t="str">
        <f>+C4</f>
        <v>판매량</v>
      </c>
      <c r="I4" s="35">
        <v>8666.3780000000006</v>
      </c>
      <c r="J4" s="42" t="str">
        <f>+'[1](1)'!J4</f>
        <v>고액권</v>
      </c>
      <c r="K4" s="36">
        <v>290000</v>
      </c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28692</v>
      </c>
      <c r="S4" s="6" t="s">
        <v>2</v>
      </c>
      <c r="T4" s="1"/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/>
      <c r="G5" s="27"/>
      <c r="H5" s="42" t="str">
        <f t="shared" ref="H5:H13" si="2">+C5</f>
        <v>법인전표</v>
      </c>
      <c r="I5" s="43"/>
      <c r="J5" s="42" t="str">
        <f>+'[1](1)'!J5</f>
        <v>천원권</v>
      </c>
      <c r="K5" s="44">
        <v>3000</v>
      </c>
      <c r="L5" s="2"/>
      <c r="M5" s="20"/>
      <c r="N5" s="45" t="str">
        <f>+C4</f>
        <v>판매량</v>
      </c>
      <c r="O5" s="46">
        <f>SUM(D4+I4+D17+I17+D35+I35)</f>
        <v>17764.806</v>
      </c>
      <c r="P5" s="47" t="str">
        <f>+E4</f>
        <v>고액권</v>
      </c>
      <c r="Q5" s="48">
        <f>SUM(F4+K4+F17+K17+F35+K35)</f>
        <v>325000</v>
      </c>
      <c r="R5" s="7">
        <v>32</v>
      </c>
      <c r="S5" s="6" t="s">
        <v>3</v>
      </c>
      <c r="T5" s="1"/>
      <c r="U5" s="1"/>
      <c r="V5" s="1"/>
    </row>
    <row r="6" spans="3:22" ht="16.5" customHeight="1">
      <c r="C6" s="83" t="str">
        <f>+'(1)'!C6</f>
        <v>외상전표</v>
      </c>
      <c r="D6" s="50">
        <v>80.477999999999994</v>
      </c>
      <c r="E6" s="105" t="str">
        <f>+'[1](1)'!E6</f>
        <v>블루/레드포인트</v>
      </c>
      <c r="F6" s="44"/>
      <c r="G6" s="27"/>
      <c r="H6" s="42" t="str">
        <f t="shared" si="2"/>
        <v>외상전표</v>
      </c>
      <c r="I6" s="50"/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3000</v>
      </c>
      <c r="R6" s="7">
        <v>3.5</v>
      </c>
      <c r="S6" s="6" t="s">
        <v>4</v>
      </c>
      <c r="T6" s="1"/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/>
      <c r="G7" s="27"/>
      <c r="H7" s="83" t="str">
        <f t="shared" si="2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3">+C6</f>
        <v>외상전표</v>
      </c>
      <c r="O7" s="54">
        <f>SUM(D6+I6+D19+I19+D37+I37)</f>
        <v>80.477999999999994</v>
      </c>
      <c r="P7" s="106" t="str">
        <f t="shared" ref="P7:P14" si="4">+E6</f>
        <v>블루/레드포인트</v>
      </c>
      <c r="Q7" s="53">
        <f>SUM(F6+K6+F19+K19+F37+K37)</f>
        <v>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>
        <v>8279023</v>
      </c>
      <c r="G8" s="27"/>
      <c r="H8" s="34" t="str">
        <f t="shared" si="2"/>
        <v>자가소비</v>
      </c>
      <c r="I8" s="50"/>
      <c r="J8" s="42" t="str">
        <f>+'[1](1)'!J8</f>
        <v>신용카드</v>
      </c>
      <c r="K8" s="44">
        <v>15991839</v>
      </c>
      <c r="L8" s="2"/>
      <c r="M8" s="20"/>
      <c r="N8" s="51" t="str">
        <f t="shared" si="3"/>
        <v>효신(업)</v>
      </c>
      <c r="O8" s="52">
        <f>SUM(D7+I7+D20+I20+D38+I38)</f>
        <v>0</v>
      </c>
      <c r="P8" s="106" t="str">
        <f t="shared" si="4"/>
        <v>롯대칠성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/>
      <c r="G9" s="27"/>
      <c r="H9" s="42" t="str">
        <f t="shared" si="2"/>
        <v>-</v>
      </c>
      <c r="I9" s="50"/>
      <c r="J9" s="42" t="str">
        <f>+'[1](1)'!J9</f>
        <v>상품권</v>
      </c>
      <c r="K9" s="44"/>
      <c r="L9" s="2"/>
      <c r="M9" s="20"/>
      <c r="N9" s="51" t="str">
        <f t="shared" si="3"/>
        <v>자가소비</v>
      </c>
      <c r="O9" s="54">
        <f>SUM(D8+I8+D21+I21+D39+I39)</f>
        <v>0</v>
      </c>
      <c r="P9" s="51" t="str">
        <f t="shared" si="4"/>
        <v>신용카드</v>
      </c>
      <c r="Q9" s="53">
        <f>IF(K8=0,F8,IF(F21=0,K8,IF(K21=0,F21,K21)))</f>
        <v>15991839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>
        <v>107.09</v>
      </c>
      <c r="E10" s="42" t="str">
        <f>+'[1](1)'!E10</f>
        <v>OK케시백</v>
      </c>
      <c r="F10" s="44"/>
      <c r="G10" s="27"/>
      <c r="H10" s="42" t="str">
        <f t="shared" si="2"/>
        <v>고객우대</v>
      </c>
      <c r="I10" s="50">
        <v>60.261000000000003</v>
      </c>
      <c r="J10" s="42" t="str">
        <f>+'[1](1)'!J10</f>
        <v>OK케시백</v>
      </c>
      <c r="K10" s="44"/>
      <c r="L10" s="2"/>
      <c r="M10" s="20"/>
      <c r="N10" s="51" t="str">
        <f t="shared" si="3"/>
        <v>-</v>
      </c>
      <c r="O10" s="54"/>
      <c r="P10" s="51" t="str">
        <f t="shared" si="4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-3748.15</v>
      </c>
      <c r="E11" s="42" t="str">
        <f>+'[1](1)'!E11</f>
        <v>모바일</v>
      </c>
      <c r="F11" s="44">
        <v>14000</v>
      </c>
      <c r="G11" s="27"/>
      <c r="H11" s="83" t="str">
        <f t="shared" si="2"/>
        <v>-</v>
      </c>
      <c r="I11" s="55">
        <f>SUM(I10*-35)</f>
        <v>-2109.1350000000002</v>
      </c>
      <c r="J11" s="56" t="str">
        <f>+'[1](1)'!J11</f>
        <v>모바일</v>
      </c>
      <c r="K11" s="44"/>
      <c r="L11" s="2"/>
      <c r="M11" s="20"/>
      <c r="N11" s="51" t="str">
        <f t="shared" si="3"/>
        <v>고객우대</v>
      </c>
      <c r="O11" s="54">
        <f>SUM(D10+I10+D23+I23+D41+I41)</f>
        <v>167.351</v>
      </c>
      <c r="P11" s="51" t="str">
        <f t="shared" si="4"/>
        <v>OK케시백</v>
      </c>
      <c r="Q11" s="53">
        <f>SUM(F10+K10+F23+K23+F41+K41)</f>
        <v>0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/>
      <c r="G12" s="27"/>
      <c r="H12" s="84" t="str">
        <f t="shared" si="2"/>
        <v>-</v>
      </c>
      <c r="I12" s="57"/>
      <c r="J12" s="29" t="str">
        <f>+'[1](1)'!J12</f>
        <v>제로페이</v>
      </c>
      <c r="K12" s="58"/>
      <c r="L12" s="2"/>
      <c r="M12" s="20"/>
      <c r="N12" s="51" t="str">
        <f t="shared" si="3"/>
        <v>-</v>
      </c>
      <c r="O12" s="55">
        <f>SUM(O11*-35)</f>
        <v>-5857.2849999999999</v>
      </c>
      <c r="P12" s="51" t="str">
        <f t="shared" si="4"/>
        <v>모바일</v>
      </c>
      <c r="Q12" s="53">
        <f>SUM(F11+K11+F24+K24+F42+K42)</f>
        <v>14000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SUM((D4-D5-D6-D7-D8-D9)*$I$1+D11)</f>
        <v>8328837.6500000004</v>
      </c>
      <c r="E13" s="29" t="str">
        <f>+'[1](1)'!E13</f>
        <v>합계</v>
      </c>
      <c r="F13" s="61">
        <f>SUM(F4:F12)</f>
        <v>8328023</v>
      </c>
      <c r="G13" s="62"/>
      <c r="H13" s="29" t="str">
        <f t="shared" si="2"/>
        <v>합계</v>
      </c>
      <c r="I13" s="60">
        <f>SUM((I4-I5-I6-I7-I8-I9)*$I$1+I11)</f>
        <v>8005624.137000001</v>
      </c>
      <c r="J13" s="29" t="str">
        <f t="shared" ref="J13" si="5">+E13</f>
        <v>합계</v>
      </c>
      <c r="K13" s="61">
        <f>IF(K8=0,0,SUM(K4:K12)-F8)</f>
        <v>8005816</v>
      </c>
      <c r="L13" s="2"/>
      <c r="M13" s="20"/>
      <c r="N13" s="63" t="str">
        <f t="shared" si="3"/>
        <v>-</v>
      </c>
      <c r="O13" s="64"/>
      <c r="P13" s="63" t="str">
        <f t="shared" si="4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-814.65000000037253</v>
      </c>
      <c r="G14" s="27"/>
      <c r="H14" s="27"/>
      <c r="I14" s="27"/>
      <c r="J14" s="27"/>
      <c r="K14" s="67">
        <f>SUM(K13-I13)</f>
        <v>191.86299999896437</v>
      </c>
      <c r="L14" s="2">
        <f>SUM(L4:L13)</f>
        <v>0</v>
      </c>
      <c r="M14" s="18" t="s">
        <v>9</v>
      </c>
      <c r="N14" s="39" t="str">
        <f t="shared" si="3"/>
        <v>합계</v>
      </c>
      <c r="O14" s="68">
        <f>SUM((O5-O6-O7-O8-O9-O10)*+E1+O12)</f>
        <v>135617.33900000001</v>
      </c>
      <c r="P14" s="39" t="str">
        <f t="shared" si="4"/>
        <v>합계</v>
      </c>
      <c r="Q14" s="69">
        <f>SUM(Q5:Q13)</f>
        <v>16333839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-622.78700000140816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30" t="s">
        <v>34</v>
      </c>
      <c r="O18" s="143"/>
      <c r="P18" s="116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105" t="str">
        <f t="shared" ref="E19:E25" si="9">+E6</f>
        <v>블루/레드포인트</v>
      </c>
      <c r="F19" s="44"/>
      <c r="G19" s="27"/>
      <c r="H19" s="42" t="str">
        <f t="shared" ref="H19:H25" si="10">+C6</f>
        <v>외상전표</v>
      </c>
      <c r="I19" s="50"/>
      <c r="J19" s="105" t="str">
        <f t="shared" ref="J19:J25" si="11">+E6</f>
        <v>블루/레드포인트</v>
      </c>
      <c r="K19" s="44"/>
      <c r="L19" s="2"/>
      <c r="M19" s="1"/>
      <c r="N19" s="134" t="s">
        <v>37</v>
      </c>
      <c r="O19" s="135"/>
      <c r="P19" s="117">
        <v>13</v>
      </c>
      <c r="Q19" s="48">
        <f>SUM(P19*1000)</f>
        <v>13000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롯대칠성</v>
      </c>
      <c r="F20" s="44"/>
      <c r="G20" s="27"/>
      <c r="H20" s="42" t="str">
        <f t="shared" si="10"/>
        <v>효신(업)</v>
      </c>
      <c r="I20" s="50"/>
      <c r="J20" s="42" t="str">
        <f t="shared" si="11"/>
        <v>롯대칠성</v>
      </c>
      <c r="K20" s="44"/>
      <c r="L20" s="2"/>
      <c r="M20" s="1"/>
      <c r="N20" s="140" t="s">
        <v>38</v>
      </c>
      <c r="O20" s="141"/>
      <c r="P20" s="118">
        <v>76</v>
      </c>
      <c r="Q20" s="53">
        <f>SUM(P20*1000)</f>
        <v>76000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40" t="s">
        <v>57</v>
      </c>
      <c r="O21" s="141"/>
      <c r="P21" s="118">
        <v>10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42" t="s">
        <v>59</v>
      </c>
      <c r="O22" s="137"/>
      <c r="P22" s="118">
        <v>33</v>
      </c>
      <c r="Q22" s="53"/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36" t="s">
        <v>61</v>
      </c>
      <c r="O23" s="137"/>
      <c r="P23" s="118">
        <v>10</v>
      </c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36" t="s">
        <v>62</v>
      </c>
      <c r="O24" s="137"/>
      <c r="P24" s="118">
        <v>10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36"/>
      <c r="O25" s="137"/>
      <c r="P25" s="121"/>
      <c r="Q25" s="12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SUM((D17-D18-D19-D20-D21-D22)*$I$1+D24)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SUM((I17-I18-I19-I20-I21-I22)*$I$1+I24)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36"/>
      <c r="O26" s="137"/>
      <c r="P26" s="123"/>
      <c r="Q26" s="114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38" t="s">
        <v>39</v>
      </c>
      <c r="O27" s="139"/>
      <c r="P27" s="119">
        <f>+P28-SUM(P19:P26)</f>
        <v>-14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30" t="s">
        <v>40</v>
      </c>
      <c r="O28" s="131"/>
      <c r="P28" s="120">
        <v>138</v>
      </c>
      <c r="Q28" s="69">
        <f>SUM(Q19:Q27)</f>
        <v>89000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1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2"/>
      <c r="O31" s="103">
        <v>25545</v>
      </c>
      <c r="P31" s="103">
        <v>25594</v>
      </c>
      <c r="Q31" s="104">
        <f>P31-O31</f>
        <v>49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1:O21"/>
    <mergeCell ref="N2:Q2"/>
    <mergeCell ref="P3:Q3"/>
    <mergeCell ref="N19:O19"/>
    <mergeCell ref="N20:O20"/>
    <mergeCell ref="N18:O18"/>
    <mergeCell ref="N28:O28"/>
    <mergeCell ref="N22:O22"/>
    <mergeCell ref="N23:O23"/>
    <mergeCell ref="N24:O24"/>
    <mergeCell ref="N27:O27"/>
    <mergeCell ref="N25:O25"/>
    <mergeCell ref="N26:O26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workbookViewId="0">
      <selection activeCell="K4" sqref="K4"/>
    </sheetView>
  </sheetViews>
  <sheetFormatPr defaultRowHeight="27.75" customHeight="1"/>
  <cols>
    <col min="1" max="2" width="9" style="81"/>
    <col min="3" max="3" width="9" style="81" bestFit="1" customWidth="1"/>
    <col min="4" max="4" width="11.375" style="81" customWidth="1"/>
    <col min="5" max="5" width="11.25" style="81" bestFit="1" customWidth="1"/>
    <col min="6" max="6" width="11.375" style="81" customWidth="1"/>
    <col min="7" max="7" width="5" style="81" customWidth="1"/>
    <col min="8" max="8" width="9" style="81"/>
    <col min="9" max="9" width="11.375" style="81" customWidth="1"/>
    <col min="10" max="10" width="11.25" style="81" bestFit="1" customWidth="1"/>
    <col min="11" max="11" width="11.25" style="81" customWidth="1"/>
    <col min="12" max="12" width="11.75" style="81" customWidth="1"/>
    <col min="13" max="13" width="9" style="81"/>
    <col min="14" max="14" width="9" style="81" bestFit="1" customWidth="1"/>
    <col min="15" max="15" width="12.375" style="81" bestFit="1" customWidth="1"/>
    <col min="16" max="16" width="9" style="81" bestFit="1" customWidth="1"/>
    <col min="17" max="18" width="12.375" style="81" bestFit="1" customWidth="1"/>
    <col min="19" max="16384" width="9" style="81"/>
  </cols>
  <sheetData>
    <row r="1" spans="3:22" ht="18.75" customHeight="1">
      <c r="C1" s="66">
        <v>2</v>
      </c>
      <c r="D1" s="80" t="s">
        <v>41</v>
      </c>
      <c r="E1" s="99">
        <v>8</v>
      </c>
      <c r="F1" s="27"/>
      <c r="G1" s="27"/>
      <c r="H1" s="27"/>
      <c r="I1" s="27">
        <v>924</v>
      </c>
      <c r="J1" s="27"/>
      <c r="K1" s="27"/>
      <c r="L1" s="31">
        <f>+ROUND(+O5*0.584/1000,3)</f>
        <v>10.894</v>
      </c>
      <c r="M1" s="27" t="s">
        <v>8</v>
      </c>
      <c r="N1" s="27"/>
      <c r="O1" s="27"/>
      <c r="P1" s="27"/>
      <c r="Q1" s="27"/>
      <c r="R1" s="27"/>
      <c r="S1" s="27"/>
      <c r="T1" s="27"/>
      <c r="U1" s="27"/>
      <c r="V1" s="27"/>
    </row>
    <row r="2" spans="3:22" ht="18.75" customHeight="1" thickBot="1">
      <c r="C2" s="27">
        <v>1</v>
      </c>
      <c r="D2" s="27"/>
      <c r="E2" s="27"/>
      <c r="F2" s="27"/>
      <c r="G2" s="27"/>
      <c r="H2" s="27">
        <v>2</v>
      </c>
      <c r="I2" s="27"/>
      <c r="J2" s="27"/>
      <c r="K2" s="27"/>
      <c r="L2" s="31">
        <f>ROUND((+'(1)'!L2*(C1-1)+L1)/C1,3)</f>
        <v>13.318</v>
      </c>
      <c r="M2" s="27" t="s">
        <v>7</v>
      </c>
      <c r="N2" s="133" t="s">
        <v>42</v>
      </c>
      <c r="O2" s="133"/>
      <c r="P2" s="133"/>
      <c r="Q2" s="133"/>
      <c r="R2" s="27"/>
      <c r="S2" s="27"/>
      <c r="T2" s="27"/>
      <c r="U2" s="27"/>
      <c r="V2" s="27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129" t="s">
        <v>14</v>
      </c>
      <c r="G3" s="27"/>
      <c r="H3" s="29" t="str">
        <f>+C3</f>
        <v>제   목</v>
      </c>
      <c r="I3" s="29" t="str">
        <f t="shared" ref="I3" si="0">+D3</f>
        <v>수량 및 금액</v>
      </c>
      <c r="J3" s="34" t="str">
        <f>+'[1](1)'!J3</f>
        <v>제   목</v>
      </c>
      <c r="K3" s="29" t="str">
        <f>F3</f>
        <v>수량 및 금액</v>
      </c>
      <c r="L3" s="31">
        <f>+L2*C1</f>
        <v>26.635999999999999</v>
      </c>
      <c r="M3" s="27" t="s">
        <v>10</v>
      </c>
      <c r="N3" s="32"/>
      <c r="O3" s="32"/>
      <c r="P3" s="132" t="str">
        <f>+'(1)'!C1&amp;"년"&amp;'(1)'!E1&amp;"월"&amp;C1&amp;"일"</f>
        <v>2023년8월2일</v>
      </c>
      <c r="Q3" s="132"/>
      <c r="R3" s="33"/>
      <c r="S3" s="27"/>
      <c r="T3" s="27"/>
      <c r="U3" s="27"/>
      <c r="V3" s="27"/>
    </row>
    <row r="4" spans="3:22" ht="16.5" customHeight="1" thickBot="1">
      <c r="C4" s="34" t="str">
        <f>+'(1)'!C4</f>
        <v>판매량</v>
      </c>
      <c r="D4" s="35">
        <v>9906.4979999999996</v>
      </c>
      <c r="E4" s="34" t="str">
        <f>+'[1](1)'!E4</f>
        <v>고액권</v>
      </c>
      <c r="F4" s="36">
        <v>170000</v>
      </c>
      <c r="G4" s="27"/>
      <c r="H4" s="34" t="str">
        <f>+C4</f>
        <v>판매량</v>
      </c>
      <c r="I4" s="35">
        <v>8747.1720000000005</v>
      </c>
      <c r="J4" s="42" t="str">
        <f>+'[1](1)'!J4</f>
        <v>고액권</v>
      </c>
      <c r="K4" s="36">
        <v>90000</v>
      </c>
      <c r="L4" s="37"/>
      <c r="M4" s="82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40">
        <v>50748</v>
      </c>
      <c r="S4" s="41" t="s">
        <v>43</v>
      </c>
      <c r="T4" s="27"/>
      <c r="U4" s="27"/>
      <c r="V4" s="27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>
        <v>3000</v>
      </c>
      <c r="G5" s="27"/>
      <c r="H5" s="42" t="str">
        <f t="shared" ref="H5:H13" si="2">+C5</f>
        <v>법인전표</v>
      </c>
      <c r="I5" s="43"/>
      <c r="J5" s="42" t="str">
        <f>+'[1](1)'!J5</f>
        <v>천원권</v>
      </c>
      <c r="K5" s="44">
        <v>4000</v>
      </c>
      <c r="L5" s="37"/>
      <c r="M5" s="82"/>
      <c r="N5" s="45" t="str">
        <f>+C4</f>
        <v>판매량</v>
      </c>
      <c r="O5" s="46">
        <f>SUM(D4+I4+D17+I17+D35+I35)</f>
        <v>18653.669999999998</v>
      </c>
      <c r="P5" s="47" t="str">
        <f>+E4</f>
        <v>고액권</v>
      </c>
      <c r="Q5" s="48">
        <f>SUM(F4+K4+F17+K17+F35+K35)</f>
        <v>260000</v>
      </c>
      <c r="R5" s="49">
        <v>34</v>
      </c>
      <c r="S5" s="41" t="s">
        <v>44</v>
      </c>
      <c r="T5" s="27"/>
      <c r="U5" s="27"/>
      <c r="V5" s="27"/>
    </row>
    <row r="6" spans="3:22" ht="16.5" customHeight="1">
      <c r="C6" s="83" t="str">
        <f>+'(1)'!C6</f>
        <v>외상전표</v>
      </c>
      <c r="D6" s="50">
        <v>238.95</v>
      </c>
      <c r="E6" s="105" t="str">
        <f>+'[1](1)'!E6</f>
        <v>블루/레드포인트</v>
      </c>
      <c r="F6" s="44"/>
      <c r="G6" s="27"/>
      <c r="H6" s="42" t="str">
        <f t="shared" si="2"/>
        <v>외상전표</v>
      </c>
      <c r="I6" s="50">
        <v>13.339</v>
      </c>
      <c r="J6" s="105" t="str">
        <f>+'[1](1)'!J6</f>
        <v>블루/레드포인트</v>
      </c>
      <c r="K6" s="44"/>
      <c r="L6" s="37"/>
      <c r="M6" s="82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7000</v>
      </c>
      <c r="R6" s="49">
        <v>3.2</v>
      </c>
      <c r="S6" s="41" t="s">
        <v>45</v>
      </c>
      <c r="T6" s="27"/>
      <c r="U6" s="27"/>
      <c r="V6" s="27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/>
      <c r="G7" s="27"/>
      <c r="H7" s="83" t="str">
        <f t="shared" si="2"/>
        <v>효신(업)</v>
      </c>
      <c r="I7" s="50"/>
      <c r="J7" s="42" t="str">
        <f>+'[1](1)'!J7</f>
        <v>롯대칠성</v>
      </c>
      <c r="K7" s="44"/>
      <c r="L7" s="37"/>
      <c r="M7" s="82"/>
      <c r="N7" s="51" t="str">
        <f t="shared" ref="N7:N14" si="3">+C6</f>
        <v>외상전표</v>
      </c>
      <c r="O7" s="54">
        <f>SUM(D6+I6+D19+I19+D37+I37)</f>
        <v>252.28899999999999</v>
      </c>
      <c r="P7" s="106" t="str">
        <f t="shared" ref="P7:P14" si="4">+E6</f>
        <v>블루/레드포인트</v>
      </c>
      <c r="Q7" s="53">
        <f>SUM(F6+K6+F19+K19+F37+K37)</f>
        <v>0</v>
      </c>
      <c r="R7" s="40" t="s">
        <v>48</v>
      </c>
      <c r="S7" s="41" t="s">
        <v>6</v>
      </c>
      <c r="T7" s="27"/>
      <c r="U7" s="27"/>
      <c r="V7" s="27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>
        <v>8735044</v>
      </c>
      <c r="G8" s="27"/>
      <c r="H8" s="34" t="str">
        <f t="shared" si="2"/>
        <v>자가소비</v>
      </c>
      <c r="I8" s="50"/>
      <c r="J8" s="42" t="str">
        <f>+'[1](1)'!J8</f>
        <v>신용카드</v>
      </c>
      <c r="K8" s="44">
        <v>16705911</v>
      </c>
      <c r="L8" s="37"/>
      <c r="M8" s="82"/>
      <c r="N8" s="51" t="str">
        <f t="shared" si="3"/>
        <v>효신(업)</v>
      </c>
      <c r="O8" s="52">
        <f>SUM(D7+I7+D20+I20+D38+I38)</f>
        <v>0</v>
      </c>
      <c r="P8" s="106" t="str">
        <f t="shared" si="4"/>
        <v>롯대칠성</v>
      </c>
      <c r="Q8" s="53">
        <f>SUM(F7+K7+F20+K20+F38+K38)</f>
        <v>0</v>
      </c>
      <c r="R8" s="49"/>
      <c r="S8" s="27"/>
      <c r="T8" s="27"/>
      <c r="U8" s="27"/>
      <c r="V8" s="27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/>
      <c r="G9" s="27"/>
      <c r="H9" s="42" t="str">
        <f t="shared" si="2"/>
        <v>-</v>
      </c>
      <c r="I9" s="50"/>
      <c r="J9" s="42" t="str">
        <f>+'[1](1)'!J9</f>
        <v>상품권</v>
      </c>
      <c r="K9" s="44"/>
      <c r="L9" s="37"/>
      <c r="M9" s="82"/>
      <c r="N9" s="51" t="str">
        <f t="shared" si="3"/>
        <v>자가소비</v>
      </c>
      <c r="O9" s="54">
        <f>SUM(D8+I8+D21+I21+D39+I39)</f>
        <v>0</v>
      </c>
      <c r="P9" s="51" t="str">
        <f t="shared" si="4"/>
        <v>신용카드</v>
      </c>
      <c r="Q9" s="53">
        <f>IF(K8=0,F8,IF(F21=0,K8,IF(K21=0,F21,K21)))</f>
        <v>16705911</v>
      </c>
      <c r="R9" s="40"/>
      <c r="S9" s="27"/>
      <c r="T9" s="27"/>
      <c r="U9" s="27"/>
      <c r="V9" s="27"/>
    </row>
    <row r="10" spans="3:22" ht="16.5" customHeight="1">
      <c r="C10" s="83" t="str">
        <f>+'(1)'!C10</f>
        <v>고객우대</v>
      </c>
      <c r="D10" s="50">
        <v>144.34399999999999</v>
      </c>
      <c r="E10" s="42" t="str">
        <f>+'[1](1)'!E10</f>
        <v>OK케시백</v>
      </c>
      <c r="F10" s="44"/>
      <c r="G10" s="27"/>
      <c r="H10" s="42" t="str">
        <f t="shared" si="2"/>
        <v>고객우대</v>
      </c>
      <c r="I10" s="50"/>
      <c r="J10" s="42" t="str">
        <f>+'[1](1)'!J10</f>
        <v>OK케시백</v>
      </c>
      <c r="K10" s="44">
        <v>5000</v>
      </c>
      <c r="L10" s="37"/>
      <c r="M10" s="82"/>
      <c r="N10" s="51" t="str">
        <f t="shared" si="3"/>
        <v>-</v>
      </c>
      <c r="O10" s="54"/>
      <c r="P10" s="51" t="str">
        <f t="shared" si="4"/>
        <v>상품권</v>
      </c>
      <c r="Q10" s="53">
        <f>SUM(F9+K9+F22+K22+F40+K40)</f>
        <v>0</v>
      </c>
      <c r="R10" s="40"/>
      <c r="S10" s="27"/>
      <c r="T10" s="27"/>
      <c r="U10" s="27"/>
      <c r="V10" s="27"/>
    </row>
    <row r="11" spans="3:22" ht="16.5" customHeight="1" thickBot="1">
      <c r="C11" s="83" t="str">
        <f>+'(1)'!C11</f>
        <v>-</v>
      </c>
      <c r="D11" s="55">
        <f>SUM(D10*-35)</f>
        <v>-5052.04</v>
      </c>
      <c r="E11" s="42" t="str">
        <f>+'[1](1)'!E11</f>
        <v>모바일</v>
      </c>
      <c r="F11" s="44">
        <v>20000</v>
      </c>
      <c r="G11" s="27"/>
      <c r="H11" s="83" t="str">
        <f t="shared" si="2"/>
        <v>-</v>
      </c>
      <c r="I11" s="55">
        <f>SUM(I10*-35)</f>
        <v>0</v>
      </c>
      <c r="J11" s="56" t="str">
        <f>+'[1](1)'!J11</f>
        <v>모바일</v>
      </c>
      <c r="K11" s="44"/>
      <c r="L11" s="37"/>
      <c r="M11" s="82"/>
      <c r="N11" s="51" t="str">
        <f t="shared" si="3"/>
        <v>고객우대</v>
      </c>
      <c r="O11" s="54">
        <f>SUM(D10+I10+D23+I23+D41+I41)</f>
        <v>144.34399999999999</v>
      </c>
      <c r="P11" s="51" t="str">
        <f t="shared" si="4"/>
        <v>OK케시백</v>
      </c>
      <c r="Q11" s="53">
        <f>SUM(F10+K10+F23+K23+F41+K41)</f>
        <v>5000</v>
      </c>
      <c r="R11" s="40"/>
      <c r="S11" s="27"/>
      <c r="T11" s="27"/>
      <c r="U11" s="27"/>
      <c r="V11" s="27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/>
      <c r="G12" s="27"/>
      <c r="H12" s="84" t="str">
        <f t="shared" si="2"/>
        <v>-</v>
      </c>
      <c r="I12" s="57"/>
      <c r="J12" s="29" t="str">
        <f>+'[1](1)'!J12</f>
        <v>제로페이</v>
      </c>
      <c r="K12" s="58"/>
      <c r="L12" s="37"/>
      <c r="M12" s="82"/>
      <c r="N12" s="51" t="str">
        <f t="shared" si="3"/>
        <v>-</v>
      </c>
      <c r="O12" s="52">
        <f>SUM(O11*-35)</f>
        <v>-5052.04</v>
      </c>
      <c r="P12" s="51" t="str">
        <f t="shared" si="4"/>
        <v>모바일</v>
      </c>
      <c r="Q12" s="53">
        <f>SUM(F11+K11+F24+K24+F42+K42)</f>
        <v>20000</v>
      </c>
      <c r="R12" s="40"/>
      <c r="S12" s="27"/>
      <c r="T12" s="27"/>
      <c r="U12" s="27"/>
      <c r="V12" s="27"/>
    </row>
    <row r="13" spans="3:22" ht="16.5" customHeight="1" thickBot="1">
      <c r="C13" s="29" t="str">
        <f>+'(1)'!C13</f>
        <v>합계</v>
      </c>
      <c r="D13" s="60">
        <f>SUM((D4-D5-D6-D7-D8-D9)*$I$1+D11)</f>
        <v>8927762.311999999</v>
      </c>
      <c r="E13" s="29" t="str">
        <f>+'[1](1)'!E13</f>
        <v>합계</v>
      </c>
      <c r="F13" s="61">
        <f>SUM(F4:F12)</f>
        <v>8928044</v>
      </c>
      <c r="G13" s="62"/>
      <c r="H13" s="29" t="str">
        <f t="shared" si="2"/>
        <v>합계</v>
      </c>
      <c r="I13" s="60">
        <f>SUM((I4-I5-I6-I7-I8-I9)*$I$1+I11)</f>
        <v>8070061.6920000007</v>
      </c>
      <c r="J13" s="29" t="str">
        <f t="shared" ref="J13" si="5">+E13</f>
        <v>합계</v>
      </c>
      <c r="K13" s="61">
        <f>IF(K8=0,0,SUM(K4:K12)-F8)</f>
        <v>8069867</v>
      </c>
      <c r="L13" s="2"/>
      <c r="M13" s="20"/>
      <c r="N13" s="63" t="str">
        <f t="shared" si="3"/>
        <v>-</v>
      </c>
      <c r="O13" s="64"/>
      <c r="P13" s="63" t="str">
        <f t="shared" si="4"/>
        <v>제로페이</v>
      </c>
      <c r="Q13" s="65">
        <f>SUM(F12+K12+F25+K25+F43+K43)</f>
        <v>0</v>
      </c>
      <c r="R13" s="40"/>
      <c r="S13" s="27"/>
      <c r="T13" s="27"/>
      <c r="U13" s="27"/>
      <c r="V13" s="27"/>
    </row>
    <row r="14" spans="3:22" ht="16.5" customHeight="1" thickBot="1">
      <c r="C14" s="37"/>
      <c r="D14" s="27"/>
      <c r="E14" s="27"/>
      <c r="F14" s="67">
        <f>SUM(F13-D13)</f>
        <v>281.68800000101328</v>
      </c>
      <c r="G14" s="27"/>
      <c r="H14" s="27"/>
      <c r="I14" s="27"/>
      <c r="J14" s="27"/>
      <c r="K14" s="67">
        <f>SUM(K13-I13)</f>
        <v>-194.69200000073761</v>
      </c>
      <c r="L14" s="2">
        <f>SUM(L4:L13)</f>
        <v>0</v>
      </c>
      <c r="M14" s="18" t="s">
        <v>9</v>
      </c>
      <c r="N14" s="39" t="str">
        <f t="shared" si="3"/>
        <v>합계</v>
      </c>
      <c r="O14" s="68">
        <f>SUM((O5-O6-O7-O8-O9-O10)*+E1+O12)</f>
        <v>142159.00799999997</v>
      </c>
      <c r="P14" s="39" t="str">
        <f t="shared" si="4"/>
        <v>합계</v>
      </c>
      <c r="Q14" s="69">
        <f>SUM(Q5:Q13)</f>
        <v>16997911</v>
      </c>
      <c r="R14" s="27"/>
      <c r="S14" s="27"/>
      <c r="T14" s="27"/>
      <c r="U14" s="27"/>
      <c r="V14" s="27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86.996000000275671</v>
      </c>
      <c r="R15" s="27"/>
      <c r="S15" s="27"/>
      <c r="T15" s="27"/>
      <c r="U15" s="27"/>
      <c r="V15" s="27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27"/>
      <c r="S16" s="27"/>
      <c r="T16" s="27"/>
      <c r="U16" s="27"/>
      <c r="V16" s="27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27"/>
      <c r="S17" s="27"/>
      <c r="T17" s="27"/>
      <c r="U17" s="27"/>
      <c r="V17" s="27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30" t="s">
        <v>34</v>
      </c>
      <c r="O18" s="143"/>
      <c r="P18" s="116" t="s">
        <v>35</v>
      </c>
      <c r="Q18" s="71" t="s">
        <v>36</v>
      </c>
      <c r="R18" s="27"/>
      <c r="S18" s="27"/>
      <c r="T18" s="27"/>
      <c r="U18" s="27"/>
      <c r="V18" s="27"/>
    </row>
    <row r="19" spans="3:22" ht="16.5" customHeight="1">
      <c r="C19" s="42" t="str">
        <f t="shared" ref="C19:C26" si="8">+C6</f>
        <v>외상전표</v>
      </c>
      <c r="D19" s="50"/>
      <c r="E19" s="105" t="str">
        <f t="shared" ref="E19:E25" si="9">+E6</f>
        <v>블루/레드포인트</v>
      </c>
      <c r="F19" s="44"/>
      <c r="G19" s="27"/>
      <c r="H19" s="42" t="str">
        <f t="shared" ref="H19:H25" si="10">+C6</f>
        <v>외상전표</v>
      </c>
      <c r="I19" s="50"/>
      <c r="J19" s="105" t="str">
        <f t="shared" ref="J19:J25" si="11">+E6</f>
        <v>블루/레드포인트</v>
      </c>
      <c r="K19" s="44"/>
      <c r="L19" s="2"/>
      <c r="M19" s="1"/>
      <c r="N19" s="134" t="s">
        <v>37</v>
      </c>
      <c r="O19" s="135"/>
      <c r="P19" s="117">
        <v>12</v>
      </c>
      <c r="Q19" s="48">
        <f>SUM(P19*1000)</f>
        <v>12000</v>
      </c>
      <c r="R19" s="27"/>
      <c r="S19" s="32"/>
      <c r="T19" s="27"/>
      <c r="U19" s="27"/>
      <c r="V19" s="27"/>
    </row>
    <row r="20" spans="3:22" ht="16.5" customHeight="1">
      <c r="C20" s="42" t="str">
        <f t="shared" si="8"/>
        <v>효신(업)</v>
      </c>
      <c r="D20" s="50"/>
      <c r="E20" s="42" t="str">
        <f t="shared" si="9"/>
        <v>롯대칠성</v>
      </c>
      <c r="F20" s="44"/>
      <c r="G20" s="27"/>
      <c r="H20" s="42" t="str">
        <f t="shared" si="10"/>
        <v>효신(업)</v>
      </c>
      <c r="I20" s="50"/>
      <c r="J20" s="42" t="str">
        <f t="shared" si="11"/>
        <v>롯대칠성</v>
      </c>
      <c r="K20" s="44"/>
      <c r="L20" s="2"/>
      <c r="M20" s="1"/>
      <c r="N20" s="140" t="s">
        <v>38</v>
      </c>
      <c r="O20" s="141"/>
      <c r="P20" s="118">
        <v>84</v>
      </c>
      <c r="Q20" s="53">
        <f>SUM(P20*1000)</f>
        <v>84000</v>
      </c>
      <c r="R20" s="27"/>
      <c r="S20" s="27"/>
      <c r="T20" s="27"/>
      <c r="U20" s="27"/>
      <c r="V20" s="27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40" t="s">
        <v>57</v>
      </c>
      <c r="O21" s="141"/>
      <c r="P21" s="118">
        <v>6</v>
      </c>
      <c r="Q21" s="53"/>
      <c r="R21" s="27"/>
      <c r="S21" s="27"/>
      <c r="T21" s="27"/>
      <c r="U21" s="27"/>
      <c r="V21" s="27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42" t="s">
        <v>59</v>
      </c>
      <c r="O22" s="137"/>
      <c r="P22" s="118">
        <v>24</v>
      </c>
      <c r="Q22" s="53"/>
      <c r="R22" s="32"/>
      <c r="S22" s="27"/>
      <c r="T22" s="27"/>
      <c r="U22" s="27"/>
      <c r="V22" s="27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36" t="s">
        <v>61</v>
      </c>
      <c r="O23" s="137"/>
      <c r="P23" s="118">
        <v>10</v>
      </c>
      <c r="Q23" s="53"/>
      <c r="R23" s="27"/>
      <c r="S23" s="27"/>
      <c r="T23" s="27"/>
      <c r="U23" s="27"/>
      <c r="V23" s="27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 t="shared" si="9"/>
        <v>모바일</v>
      </c>
      <c r="F24" s="44"/>
      <c r="G24" s="27"/>
      <c r="H24" s="42" t="str">
        <f t="shared" si="10"/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36" t="s">
        <v>62</v>
      </c>
      <c r="O24" s="137"/>
      <c r="P24" s="118">
        <v>7</v>
      </c>
      <c r="Q24" s="53"/>
      <c r="R24" s="27"/>
      <c r="S24" s="27"/>
      <c r="T24" s="27"/>
      <c r="U24" s="27"/>
      <c r="V24" s="27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36"/>
      <c r="O25" s="137"/>
      <c r="P25" s="122"/>
      <c r="Q25" s="127"/>
      <c r="R25" s="27"/>
      <c r="S25" s="27"/>
      <c r="T25" s="27"/>
      <c r="U25" s="27"/>
      <c r="V25" s="27"/>
    </row>
    <row r="26" spans="3:22" ht="16.5" customHeight="1" thickBot="1">
      <c r="C26" s="29" t="str">
        <f t="shared" si="8"/>
        <v>합계</v>
      </c>
      <c r="D26" s="60">
        <f>SUM((D17-D18-D19-D20-D21-D22)*$I$1+D24)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2">+C26</f>
        <v>합계</v>
      </c>
      <c r="I26" s="60">
        <f>SUM((I17-I18-I19-I20-I21-I22)*$I$1+I24)</f>
        <v>0</v>
      </c>
      <c r="J26" s="29" t="str">
        <f t="shared" ref="J26" si="13">+E26</f>
        <v>합계</v>
      </c>
      <c r="K26" s="61">
        <f>IF(K21=0,0,SUM(K17:K25)-F21)</f>
        <v>0</v>
      </c>
      <c r="L26" s="2"/>
      <c r="M26" s="1"/>
      <c r="N26" s="136"/>
      <c r="O26" s="137"/>
      <c r="P26" s="124"/>
      <c r="Q26" s="115"/>
      <c r="R26" s="27"/>
      <c r="S26" s="27"/>
      <c r="T26" s="27"/>
      <c r="U26" s="27"/>
      <c r="V26" s="27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38" t="s">
        <v>39</v>
      </c>
      <c r="O27" s="139"/>
      <c r="P27" s="119">
        <f>+P28-SUM(P19:P26)</f>
        <v>-13</v>
      </c>
      <c r="Q27" s="73"/>
      <c r="R27" s="27"/>
      <c r="S27" s="27"/>
      <c r="T27" s="27"/>
      <c r="U27" s="27"/>
      <c r="V27" s="27"/>
    </row>
    <row r="28" spans="3:22" ht="27.75" customHeight="1" thickBot="1">
      <c r="C28" s="32"/>
      <c r="D28" s="32"/>
      <c r="E28" s="32"/>
      <c r="F28" s="32"/>
      <c r="G28" s="32"/>
      <c r="H28" s="32"/>
      <c r="I28" s="32"/>
      <c r="J28" s="32"/>
      <c r="K28" s="32"/>
      <c r="L28" s="27"/>
      <c r="M28" s="27"/>
      <c r="N28" s="130" t="s">
        <v>40</v>
      </c>
      <c r="O28" s="131"/>
      <c r="P28" s="120">
        <v>130</v>
      </c>
      <c r="Q28" s="69">
        <f>SUM(Q19:Q27)</f>
        <v>96000</v>
      </c>
      <c r="R28" s="27"/>
      <c r="S28" s="27"/>
      <c r="T28" s="27"/>
      <c r="U28" s="27"/>
      <c r="V28" s="27"/>
    </row>
    <row r="29" spans="3:22" ht="27.75" customHeight="1" thickBot="1">
      <c r="C29" s="85"/>
      <c r="D29" s="85"/>
      <c r="E29" s="85"/>
      <c r="F29" s="85"/>
      <c r="G29" s="32"/>
      <c r="H29" s="85"/>
      <c r="I29" s="85"/>
      <c r="J29" s="85"/>
      <c r="K29" s="85"/>
      <c r="L29" s="27"/>
      <c r="M29" s="27"/>
      <c r="N29" s="1"/>
      <c r="O29" s="1"/>
      <c r="P29" s="27"/>
      <c r="Q29" s="27"/>
      <c r="R29" s="27"/>
      <c r="S29" s="27"/>
      <c r="T29" s="27"/>
      <c r="U29" s="27"/>
      <c r="V29" s="27"/>
    </row>
    <row r="30" spans="3:22" ht="27.75" customHeight="1">
      <c r="C30" s="85"/>
      <c r="D30" s="32"/>
      <c r="E30" s="85"/>
      <c r="F30" s="86"/>
      <c r="G30" s="32"/>
      <c r="H30" s="85"/>
      <c r="I30" s="32"/>
      <c r="J30" s="85"/>
      <c r="K30" s="86"/>
      <c r="L30" s="27"/>
      <c r="M30" s="27"/>
      <c r="N30" s="111" t="s">
        <v>50</v>
      </c>
      <c r="O30" s="100" t="s">
        <v>51</v>
      </c>
      <c r="P30" s="100" t="s">
        <v>52</v>
      </c>
      <c r="Q30" s="101" t="s">
        <v>53</v>
      </c>
      <c r="R30" s="27"/>
      <c r="S30" s="27"/>
      <c r="T30" s="27"/>
      <c r="U30" s="27"/>
      <c r="V30" s="27"/>
    </row>
    <row r="31" spans="3:22" ht="27.75" customHeight="1" thickBot="1">
      <c r="C31" s="85"/>
      <c r="D31" s="32"/>
      <c r="E31" s="85"/>
      <c r="F31" s="86"/>
      <c r="G31" s="32"/>
      <c r="H31" s="85"/>
      <c r="I31" s="32"/>
      <c r="J31" s="85"/>
      <c r="K31" s="86"/>
      <c r="L31" s="27"/>
      <c r="M31" s="27"/>
      <c r="N31" s="112"/>
      <c r="O31" s="103">
        <v>24861</v>
      </c>
      <c r="P31" s="103">
        <v>24916</v>
      </c>
      <c r="Q31" s="104">
        <f>P31-O31</f>
        <v>55</v>
      </c>
      <c r="R31" s="27"/>
      <c r="S31" s="27"/>
      <c r="T31" s="27"/>
      <c r="U31" s="27"/>
      <c r="V31" s="27"/>
    </row>
    <row r="32" spans="3:22" ht="27.75" customHeight="1">
      <c r="C32" s="85"/>
      <c r="D32" s="87"/>
      <c r="E32" s="85"/>
      <c r="F32" s="86"/>
      <c r="G32" s="32"/>
      <c r="H32" s="85"/>
      <c r="I32" s="87"/>
      <c r="J32" s="85"/>
      <c r="K32" s="86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</row>
    <row r="33" spans="3:22" ht="27.75" customHeight="1">
      <c r="C33" s="85"/>
      <c r="D33" s="87"/>
      <c r="E33" s="85"/>
      <c r="F33" s="86"/>
      <c r="G33" s="32"/>
      <c r="H33" s="85"/>
      <c r="I33" s="87"/>
      <c r="J33" s="85"/>
      <c r="K33" s="86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</row>
    <row r="34" spans="3:22" ht="27.75" customHeight="1">
      <c r="C34" s="85"/>
      <c r="D34" s="87"/>
      <c r="E34" s="85"/>
      <c r="F34" s="86"/>
      <c r="G34" s="32"/>
      <c r="H34" s="85"/>
      <c r="I34" s="87"/>
      <c r="J34" s="85"/>
      <c r="K34" s="86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</row>
    <row r="35" spans="3:22" ht="27.75" customHeight="1">
      <c r="C35" s="85"/>
      <c r="D35" s="87"/>
      <c r="E35" s="85"/>
      <c r="F35" s="86"/>
      <c r="G35" s="32"/>
      <c r="H35" s="85"/>
      <c r="I35" s="87"/>
      <c r="J35" s="85"/>
      <c r="K35" s="86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</row>
    <row r="36" spans="3:22" ht="27.75" customHeight="1">
      <c r="C36" s="85"/>
      <c r="D36" s="87"/>
      <c r="E36" s="85"/>
      <c r="F36" s="86"/>
      <c r="G36" s="32"/>
      <c r="H36" s="85"/>
      <c r="I36" s="87"/>
      <c r="J36" s="85"/>
      <c r="K36" s="86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</row>
    <row r="37" spans="3:22" ht="27.75" customHeight="1">
      <c r="C37" s="85"/>
      <c r="D37" s="32"/>
      <c r="E37" s="85"/>
      <c r="F37" s="86"/>
      <c r="G37" s="32"/>
      <c r="H37" s="85"/>
      <c r="I37" s="32"/>
      <c r="J37" s="85"/>
      <c r="K37" s="86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</row>
    <row r="38" spans="3:22" ht="27.75" customHeight="1">
      <c r="C38" s="88"/>
      <c r="D38" s="89"/>
      <c r="E38" s="88"/>
      <c r="F38" s="90"/>
      <c r="G38" s="89"/>
      <c r="H38" s="88"/>
      <c r="I38" s="89"/>
      <c r="J38" s="88"/>
      <c r="K38" s="90"/>
    </row>
    <row r="39" spans="3:22" ht="27.75" customHeight="1">
      <c r="C39" s="88"/>
      <c r="D39" s="89"/>
      <c r="E39" s="88"/>
      <c r="F39" s="90"/>
      <c r="G39" s="89"/>
      <c r="H39" s="88"/>
      <c r="I39" s="89"/>
      <c r="J39" s="88"/>
      <c r="K39" s="90"/>
    </row>
    <row r="40" spans="3:22" ht="27.75" customHeight="1">
      <c r="F40" s="91"/>
      <c r="K40" s="91"/>
    </row>
  </sheetData>
  <mergeCells count="13">
    <mergeCell ref="N21:O21"/>
    <mergeCell ref="N2:Q2"/>
    <mergeCell ref="P3:Q3"/>
    <mergeCell ref="N19:O19"/>
    <mergeCell ref="N20:O20"/>
    <mergeCell ref="N18:O18"/>
    <mergeCell ref="N28:O28"/>
    <mergeCell ref="N24:O24"/>
    <mergeCell ref="N27:O27"/>
    <mergeCell ref="N22:O22"/>
    <mergeCell ref="N23:O23"/>
    <mergeCell ref="N25:O25"/>
    <mergeCell ref="N26:O26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A7" workbookViewId="0">
      <selection activeCell="R5" sqref="R5"/>
    </sheetView>
  </sheetViews>
  <sheetFormatPr defaultRowHeight="27.75" customHeight="1"/>
  <cols>
    <col min="1" max="2" width="9" style="10"/>
    <col min="3" max="3" width="9" style="10" bestFit="1" customWidth="1"/>
    <col min="4" max="4" width="11.5" style="10" customWidth="1"/>
    <col min="5" max="5" width="11.25" style="10" bestFit="1" customWidth="1"/>
    <col min="6" max="6" width="11.5" style="10" customWidth="1"/>
    <col min="7" max="7" width="5" style="10" customWidth="1"/>
    <col min="8" max="8" width="9" style="10"/>
    <col min="9" max="9" width="11.375" style="10" customWidth="1"/>
    <col min="10" max="10" width="11.25" style="10" bestFit="1" customWidth="1"/>
    <col min="11" max="11" width="11.37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20</v>
      </c>
      <c r="D1" s="9" t="s">
        <v>0</v>
      </c>
      <c r="E1" s="97">
        <v>8</v>
      </c>
      <c r="F1" s="1"/>
      <c r="G1" s="1"/>
      <c r="H1" s="1"/>
      <c r="I1" s="1">
        <v>924</v>
      </c>
      <c r="J1" s="1"/>
      <c r="K1" s="1"/>
      <c r="L1" s="22">
        <f>+ROUND(+O5*0.584/1000,3)</f>
        <v>7.53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ROUND((+'(19)'!L2*(C1-1)+L1)/C1,3)</f>
        <v>10.395</v>
      </c>
      <c r="M2" s="18" t="s">
        <v>7</v>
      </c>
      <c r="N2" s="144" t="s">
        <v>1</v>
      </c>
      <c r="O2" s="144"/>
      <c r="P2" s="144"/>
      <c r="Q2" s="144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" si="0">+D3</f>
        <v>수량 및 금액</v>
      </c>
      <c r="J3" s="34" t="str">
        <f>+'[1](1)'!J3</f>
        <v>제   목</v>
      </c>
      <c r="K3" s="29" t="str">
        <f>F3</f>
        <v>수량 및 금액</v>
      </c>
      <c r="L3" s="21">
        <f>+L2*C1</f>
        <v>207.89999999999998</v>
      </c>
      <c r="M3" s="18" t="s">
        <v>10</v>
      </c>
      <c r="N3" s="3"/>
      <c r="O3" s="3"/>
      <c r="P3" s="145" t="str">
        <f>+'(1)'!C1&amp;"년"&amp;'(1)'!E1&amp;"월"&amp;C1&amp;"일"</f>
        <v>2023년8월20일</v>
      </c>
      <c r="Q3" s="145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6774.9340000000002</v>
      </c>
      <c r="E4" s="34" t="str">
        <f>+'[1](1)'!E4</f>
        <v>고액권</v>
      </c>
      <c r="F4" s="36">
        <v>135000</v>
      </c>
      <c r="G4" s="27"/>
      <c r="H4" s="34" t="str">
        <f>+C4</f>
        <v>판매량</v>
      </c>
      <c r="I4" s="35">
        <v>6119.6809999999996</v>
      </c>
      <c r="J4" s="42" t="str">
        <f>+'[1](1)'!J4</f>
        <v>고액권</v>
      </c>
      <c r="K4" s="36">
        <v>125000</v>
      </c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15090</v>
      </c>
      <c r="S4" s="6" t="s">
        <v>2</v>
      </c>
      <c r="T4" s="1"/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>
        <v>4000</v>
      </c>
      <c r="G5" s="27"/>
      <c r="H5" s="42" t="str">
        <f t="shared" ref="H5:H13" si="2">+C5</f>
        <v>법인전표</v>
      </c>
      <c r="I5" s="43"/>
      <c r="J5" s="42" t="str">
        <f>+'[1](1)'!J5</f>
        <v>천원권</v>
      </c>
      <c r="K5" s="44">
        <v>4000</v>
      </c>
      <c r="L5" s="2"/>
      <c r="M5" s="20"/>
      <c r="N5" s="45" t="str">
        <f>+C4</f>
        <v>판매량</v>
      </c>
      <c r="O5" s="46">
        <f>SUM(D4+I4+D17+I17+D35+I35)</f>
        <v>12894.615</v>
      </c>
      <c r="P5" s="47" t="str">
        <f>+E4</f>
        <v>고액권</v>
      </c>
      <c r="Q5" s="48">
        <f>SUM(F4+K4+F17+K17+F35+K35)</f>
        <v>260000</v>
      </c>
      <c r="R5" s="7">
        <v>34</v>
      </c>
      <c r="S5" s="6" t="s">
        <v>3</v>
      </c>
      <c r="T5" s="1"/>
      <c r="U5" s="1"/>
      <c r="V5" s="1"/>
    </row>
    <row r="6" spans="3:22" ht="16.5" customHeight="1">
      <c r="C6" s="83" t="str">
        <f>+'(1)'!C6</f>
        <v>외상전표</v>
      </c>
      <c r="D6" s="50"/>
      <c r="E6" s="105" t="str">
        <f>+'[1](1)'!E6</f>
        <v>블루/레드포인트</v>
      </c>
      <c r="F6" s="44"/>
      <c r="G6" s="27"/>
      <c r="H6" s="42" t="str">
        <f t="shared" si="2"/>
        <v>외상전표</v>
      </c>
      <c r="I6" s="50">
        <v>0</v>
      </c>
      <c r="J6" s="105" t="str">
        <f>+'[1](1)'!J6</f>
        <v>블루/레드포인트</v>
      </c>
      <c r="K6" s="44">
        <v>22479</v>
      </c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8000</v>
      </c>
      <c r="R6" s="7">
        <v>3.2</v>
      </c>
      <c r="S6" s="6" t="s">
        <v>4</v>
      </c>
      <c r="T6" s="1"/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/>
      <c r="G7" s="27"/>
      <c r="H7" s="83" t="str">
        <f t="shared" si="2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3">+C6</f>
        <v>외상전표</v>
      </c>
      <c r="O7" s="54">
        <f>SUM(D6+I6+D19+I19+D37+I37)</f>
        <v>0</v>
      </c>
      <c r="P7" s="106" t="str">
        <f t="shared" ref="P7:P14" si="4">+E6</f>
        <v>블루/레드포인트</v>
      </c>
      <c r="Q7" s="53">
        <f>SUM(F6+K6+F19+K19+F37+K37)</f>
        <v>22479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>
        <v>6109402</v>
      </c>
      <c r="G8" s="27"/>
      <c r="H8" s="34" t="str">
        <f t="shared" si="2"/>
        <v>자가소비</v>
      </c>
      <c r="I8" s="50"/>
      <c r="J8" s="42" t="str">
        <f>+'[1](1)'!J8</f>
        <v>신용카드</v>
      </c>
      <c r="K8" s="44">
        <v>11605318</v>
      </c>
      <c r="L8" s="2"/>
      <c r="M8" s="20"/>
      <c r="N8" s="51" t="str">
        <f t="shared" si="3"/>
        <v>효신(업)</v>
      </c>
      <c r="O8" s="52">
        <f>SUM(D7+I7+D20+I20+D38+I38)</f>
        <v>0</v>
      </c>
      <c r="P8" s="106" t="str">
        <f t="shared" si="4"/>
        <v>롯대칠성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/>
      <c r="G9" s="27"/>
      <c r="H9" s="42" t="str">
        <f t="shared" si="2"/>
        <v>-</v>
      </c>
      <c r="I9" s="50"/>
      <c r="J9" s="42" t="str">
        <f>+'[1](1)'!J9</f>
        <v>상품권</v>
      </c>
      <c r="K9" s="44"/>
      <c r="L9" s="2"/>
      <c r="M9" s="20"/>
      <c r="N9" s="51" t="str">
        <f t="shared" si="3"/>
        <v>자가소비</v>
      </c>
      <c r="O9" s="54">
        <f>SUM(D8+I8+D21+I21+D39+I39)</f>
        <v>0</v>
      </c>
      <c r="P9" s="51" t="str">
        <f t="shared" si="4"/>
        <v>신용카드</v>
      </c>
      <c r="Q9" s="53">
        <f>IF(K8=0,F8,IF(F21=0,K8,IF(K21=0,F21,K21)))</f>
        <v>11605318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/>
      <c r="E10" s="42" t="str">
        <f>+'[1](1)'!E10</f>
        <v>OK케시백</v>
      </c>
      <c r="F10" s="44">
        <v>6000</v>
      </c>
      <c r="G10" s="27"/>
      <c r="H10" s="42" t="str">
        <f t="shared" si="2"/>
        <v>고객우대</v>
      </c>
      <c r="I10" s="50">
        <v>61.424999999999997</v>
      </c>
      <c r="J10" s="42" t="str">
        <f>+'[1](1)'!J10</f>
        <v>OK케시백</v>
      </c>
      <c r="K10" s="44"/>
      <c r="L10" s="2"/>
      <c r="M10" s="20"/>
      <c r="N10" s="51" t="str">
        <f t="shared" si="3"/>
        <v>-</v>
      </c>
      <c r="O10" s="54"/>
      <c r="P10" s="51" t="str">
        <f t="shared" si="4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0</v>
      </c>
      <c r="E11" s="42" t="str">
        <f>+'[1](1)'!E11</f>
        <v>모바일</v>
      </c>
      <c r="F11" s="44">
        <v>5000</v>
      </c>
      <c r="G11" s="27"/>
      <c r="H11" s="83" t="str">
        <f t="shared" si="2"/>
        <v>-</v>
      </c>
      <c r="I11" s="55">
        <f>SUM(I10*-35)</f>
        <v>-2149.875</v>
      </c>
      <c r="J11" s="56" t="str">
        <f>+'[1](1)'!J11</f>
        <v>모바일</v>
      </c>
      <c r="K11" s="44">
        <v>5000</v>
      </c>
      <c r="L11" s="2"/>
      <c r="M11" s="20"/>
      <c r="N11" s="51" t="str">
        <f t="shared" si="3"/>
        <v>고객우대</v>
      </c>
      <c r="O11" s="54">
        <f>SUM(D10+I10+D23+I23+D41+I41)</f>
        <v>61.424999999999997</v>
      </c>
      <c r="P11" s="51" t="str">
        <f t="shared" si="4"/>
        <v>OK케시백</v>
      </c>
      <c r="Q11" s="53">
        <f>SUM(F10+K10+F23+K23+F41+K41)</f>
        <v>6000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/>
      <c r="G12" s="27"/>
      <c r="H12" s="84" t="str">
        <f t="shared" si="2"/>
        <v>-</v>
      </c>
      <c r="I12" s="57"/>
      <c r="J12" s="29" t="str">
        <f>+'[1](1)'!J12</f>
        <v>제로페이</v>
      </c>
      <c r="K12" s="58"/>
      <c r="L12" s="2"/>
      <c r="M12" s="20"/>
      <c r="N12" s="51" t="str">
        <f t="shared" si="3"/>
        <v>-</v>
      </c>
      <c r="O12" s="55">
        <f>SUM(O11*-35)</f>
        <v>-2149.875</v>
      </c>
      <c r="P12" s="51" t="str">
        <f t="shared" si="4"/>
        <v>모바일</v>
      </c>
      <c r="Q12" s="53">
        <f>SUM(F11+K11+F24+K24+F42+K42)</f>
        <v>10000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SUM((D4-D5-D6-D7-D8-D9)*$I$1+D11)</f>
        <v>6260039.0159999998</v>
      </c>
      <c r="E13" s="29" t="str">
        <f>+'[1](1)'!E13</f>
        <v>합계</v>
      </c>
      <c r="F13" s="61">
        <f>SUM(F4:F12)</f>
        <v>6259402</v>
      </c>
      <c r="G13" s="62"/>
      <c r="H13" s="29" t="str">
        <f t="shared" si="2"/>
        <v>합계</v>
      </c>
      <c r="I13" s="60">
        <f>SUM((I4-I5-I6-I7-I8-I9)*$I$1+I11)</f>
        <v>5652435.3689999999</v>
      </c>
      <c r="J13" s="29" t="str">
        <f t="shared" ref="J13" si="5">+E13</f>
        <v>합계</v>
      </c>
      <c r="K13" s="61">
        <f>IF(K8=0,0,SUM(K4:K12)-F8)</f>
        <v>5652395</v>
      </c>
      <c r="L13" s="2"/>
      <c r="M13" s="20"/>
      <c r="N13" s="63" t="str">
        <f t="shared" si="3"/>
        <v>-</v>
      </c>
      <c r="O13" s="64"/>
      <c r="P13" s="63" t="str">
        <f t="shared" si="4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-637.01599999982864</v>
      </c>
      <c r="G14" s="27"/>
      <c r="H14" s="27"/>
      <c r="I14" s="27"/>
      <c r="J14" s="27"/>
      <c r="K14" s="67">
        <f>SUM(K13-I13)</f>
        <v>-40.368999999947846</v>
      </c>
      <c r="L14" s="2">
        <f>SUM(L4:L13)</f>
        <v>0</v>
      </c>
      <c r="M14" s="18" t="s">
        <v>9</v>
      </c>
      <c r="N14" s="39" t="str">
        <f t="shared" si="3"/>
        <v>합계</v>
      </c>
      <c r="O14" s="68">
        <f>SUM((O5-O6-O7-O8-O9-O10)*+E1+O12)</f>
        <v>101007.045</v>
      </c>
      <c r="P14" s="39" t="str">
        <f t="shared" si="4"/>
        <v>합계</v>
      </c>
      <c r="Q14" s="69">
        <f>SUM(Q5:Q13)</f>
        <v>11911797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-677.38499999977648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30" t="s">
        <v>34</v>
      </c>
      <c r="O18" s="143"/>
      <c r="P18" s="116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105" t="str">
        <f t="shared" ref="E19:E25" si="9">+E6</f>
        <v>블루/레드포인트</v>
      </c>
      <c r="F19" s="44"/>
      <c r="G19" s="27"/>
      <c r="H19" s="42" t="str">
        <f t="shared" ref="H19:H25" si="10">+C6</f>
        <v>외상전표</v>
      </c>
      <c r="I19" s="50"/>
      <c r="J19" s="105" t="str">
        <f t="shared" ref="J19:J25" si="11">+E6</f>
        <v>블루/레드포인트</v>
      </c>
      <c r="K19" s="44"/>
      <c r="L19" s="2"/>
      <c r="M19" s="1"/>
      <c r="N19" s="134" t="s">
        <v>37</v>
      </c>
      <c r="O19" s="135"/>
      <c r="P19" s="117">
        <v>5</v>
      </c>
      <c r="Q19" s="48">
        <f>SUM(P19*1000)</f>
        <v>5000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롯대칠성</v>
      </c>
      <c r="F20" s="44"/>
      <c r="G20" s="27"/>
      <c r="H20" s="42" t="str">
        <f t="shared" si="10"/>
        <v>효신(업)</v>
      </c>
      <c r="I20" s="50"/>
      <c r="J20" s="42" t="str">
        <f t="shared" si="11"/>
        <v>롯대칠성</v>
      </c>
      <c r="K20" s="44"/>
      <c r="L20" s="2"/>
      <c r="M20" s="1"/>
      <c r="N20" s="140" t="s">
        <v>38</v>
      </c>
      <c r="O20" s="141"/>
      <c r="P20" s="118">
        <v>67</v>
      </c>
      <c r="Q20" s="53">
        <f>SUM(P20*1000)</f>
        <v>67000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40" t="s">
        <v>57</v>
      </c>
      <c r="O21" s="141"/>
      <c r="P21" s="118">
        <v>2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42" t="s">
        <v>59</v>
      </c>
      <c r="O22" s="137"/>
      <c r="P22" s="118">
        <v>17</v>
      </c>
      <c r="Q22" s="53"/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36" t="s">
        <v>61</v>
      </c>
      <c r="O23" s="137"/>
      <c r="P23" s="118">
        <v>11</v>
      </c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36" t="s">
        <v>62</v>
      </c>
      <c r="O24" s="137"/>
      <c r="P24" s="118">
        <v>5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36"/>
      <c r="O25" s="137"/>
      <c r="P25" s="121"/>
      <c r="Q25" s="12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SUM((D17-D18-D19-D20-D21-D22)*$I$1+D24)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SUM((I17-I18-I19-I20-I21-I22)*$I$1+I24)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36"/>
      <c r="O26" s="137"/>
      <c r="P26" s="123"/>
      <c r="Q26" s="114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38" t="s">
        <v>39</v>
      </c>
      <c r="O27" s="139"/>
      <c r="P27" s="119">
        <f>+P28-SUM(P19:P26)</f>
        <v>-16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30" t="s">
        <v>40</v>
      </c>
      <c r="O28" s="131"/>
      <c r="P28" s="120">
        <v>91</v>
      </c>
      <c r="Q28" s="69">
        <f>SUM(Q19:Q27)</f>
        <v>72000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1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2"/>
      <c r="O31" s="103">
        <v>25594</v>
      </c>
      <c r="P31" s="103">
        <v>25635</v>
      </c>
      <c r="Q31" s="104">
        <f>P31-O31</f>
        <v>41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1:O21"/>
    <mergeCell ref="N2:Q2"/>
    <mergeCell ref="P3:Q3"/>
    <mergeCell ref="N19:O19"/>
    <mergeCell ref="N20:O20"/>
    <mergeCell ref="N18:O18"/>
    <mergeCell ref="N28:O28"/>
    <mergeCell ref="N22:O22"/>
    <mergeCell ref="N23:O23"/>
    <mergeCell ref="N24:O24"/>
    <mergeCell ref="N27:O27"/>
    <mergeCell ref="N25:O25"/>
    <mergeCell ref="N26:O26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workbookViewId="0">
      <selection activeCell="P31" sqref="P31"/>
    </sheetView>
  </sheetViews>
  <sheetFormatPr defaultRowHeight="27.75" customHeight="1"/>
  <cols>
    <col min="1" max="2" width="9" style="10"/>
    <col min="3" max="3" width="9" style="10" bestFit="1" customWidth="1"/>
    <col min="4" max="4" width="11.375" style="10" customWidth="1"/>
    <col min="5" max="5" width="11.25" style="10" bestFit="1" customWidth="1"/>
    <col min="6" max="6" width="11.375" style="10" customWidth="1"/>
    <col min="7" max="7" width="5" style="10" customWidth="1"/>
    <col min="8" max="8" width="9" style="10"/>
    <col min="9" max="9" width="11.5" style="10" customWidth="1"/>
    <col min="10" max="10" width="11.25" style="10" bestFit="1" customWidth="1"/>
    <col min="11" max="11" width="11.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21</v>
      </c>
      <c r="D1" s="9" t="s">
        <v>0</v>
      </c>
      <c r="E1" s="97">
        <v>8</v>
      </c>
      <c r="F1" s="1"/>
      <c r="G1" s="1"/>
      <c r="H1" s="1"/>
      <c r="I1" s="1">
        <v>924</v>
      </c>
      <c r="J1" s="1"/>
      <c r="K1" s="1"/>
      <c r="L1" s="22">
        <f>+ROUND(+O5*0.584/1000,3)</f>
        <v>11.202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ROUND((+'(20)'!L2*(C1-1)+L1)/C1,3)</f>
        <v>10.433</v>
      </c>
      <c r="M2" s="18" t="s">
        <v>7</v>
      </c>
      <c r="N2" s="144" t="s">
        <v>1</v>
      </c>
      <c r="O2" s="144"/>
      <c r="P2" s="144"/>
      <c r="Q2" s="144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" si="0">+D3</f>
        <v>수량 및 금액</v>
      </c>
      <c r="J3" s="34" t="str">
        <f>+'[1](1)'!J3</f>
        <v>제   목</v>
      </c>
      <c r="K3" s="29" t="str">
        <f>F3</f>
        <v>수량 및 금액</v>
      </c>
      <c r="L3" s="21">
        <f>+L2*C1</f>
        <v>219.09299999999999</v>
      </c>
      <c r="M3" s="18" t="s">
        <v>10</v>
      </c>
      <c r="N3" s="3"/>
      <c r="O3" s="3"/>
      <c r="P3" s="145" t="str">
        <f>+'(1)'!C1&amp;"년"&amp;'(1)'!E1&amp;"월"&amp;C1&amp;"일"</f>
        <v>2023년8월21일</v>
      </c>
      <c r="Q3" s="145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10395.793</v>
      </c>
      <c r="E4" s="34" t="str">
        <f>+'[1](1)'!E4</f>
        <v>고액권</v>
      </c>
      <c r="F4" s="36">
        <v>240000</v>
      </c>
      <c r="G4" s="27"/>
      <c r="H4" s="34" t="str">
        <f>+C4</f>
        <v>판매량</v>
      </c>
      <c r="I4" s="35">
        <v>8785.7970000000005</v>
      </c>
      <c r="J4" s="42" t="str">
        <f>+'[1](1)'!J4</f>
        <v>고액권</v>
      </c>
      <c r="K4" s="36">
        <v>230000</v>
      </c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31154</v>
      </c>
      <c r="S4" s="6" t="s">
        <v>2</v>
      </c>
      <c r="T4" s="1"/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>
        <v>1000</v>
      </c>
      <c r="G5" s="27"/>
      <c r="H5" s="42" t="str">
        <f t="shared" ref="H5:H13" si="2">+C5</f>
        <v>법인전표</v>
      </c>
      <c r="I5" s="43"/>
      <c r="J5" s="42" t="str">
        <f>+'[1](1)'!J5</f>
        <v>천원권</v>
      </c>
      <c r="K5" s="44">
        <v>1000</v>
      </c>
      <c r="L5" s="2"/>
      <c r="M5" s="20"/>
      <c r="N5" s="45" t="str">
        <f>+C4</f>
        <v>판매량</v>
      </c>
      <c r="O5" s="46">
        <f>SUM(D4+I4+D17+I17+D35+I35)</f>
        <v>19181.59</v>
      </c>
      <c r="P5" s="47" t="str">
        <f>+E4</f>
        <v>고액권</v>
      </c>
      <c r="Q5" s="48">
        <f>SUM(F4+K4+F17+K17+F35+K35)</f>
        <v>470000</v>
      </c>
      <c r="R5" s="7">
        <v>33</v>
      </c>
      <c r="S5" s="6" t="s">
        <v>3</v>
      </c>
      <c r="T5" s="1"/>
      <c r="U5" s="1"/>
      <c r="V5" s="1"/>
    </row>
    <row r="6" spans="3:22" ht="16.5" customHeight="1">
      <c r="C6" s="83" t="str">
        <f>+'(1)'!C6</f>
        <v>외상전표</v>
      </c>
      <c r="D6" s="50">
        <v>199.47800000000001</v>
      </c>
      <c r="E6" s="105" t="str">
        <f>+'[1](1)'!E6</f>
        <v>블루/레드포인트</v>
      </c>
      <c r="F6" s="44"/>
      <c r="G6" s="27"/>
      <c r="H6" s="42" t="str">
        <f t="shared" si="2"/>
        <v>외상전표</v>
      </c>
      <c r="I6" s="50">
        <v>15.17</v>
      </c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2000</v>
      </c>
      <c r="R6" s="7">
        <v>2.7</v>
      </c>
      <c r="S6" s="6" t="s">
        <v>4</v>
      </c>
      <c r="T6" s="1"/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/>
      <c r="G7" s="27"/>
      <c r="H7" s="83" t="str">
        <f t="shared" si="2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3">+C6</f>
        <v>외상전표</v>
      </c>
      <c r="O7" s="54">
        <f>SUM(D6+I6+D19+I19+D37+I37)</f>
        <v>214.648</v>
      </c>
      <c r="P7" s="106" t="str">
        <f t="shared" ref="P7:P14" si="4">+E6</f>
        <v>블루/레드포인트</v>
      </c>
      <c r="Q7" s="53">
        <f>SUM(F6+K6+F19+K19+F37+K37)</f>
        <v>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>
        <v>9151960</v>
      </c>
      <c r="G8" s="27"/>
      <c r="H8" s="34" t="str">
        <f t="shared" si="2"/>
        <v>자가소비</v>
      </c>
      <c r="I8" s="50"/>
      <c r="J8" s="42" t="str">
        <f>+'[1](1)'!J8</f>
        <v>신용카드</v>
      </c>
      <c r="K8" s="44">
        <v>17022452</v>
      </c>
      <c r="L8" s="2"/>
      <c r="M8" s="20"/>
      <c r="N8" s="51" t="str">
        <f t="shared" si="3"/>
        <v>효신(업)</v>
      </c>
      <c r="O8" s="52">
        <f>SUM(D7+I7+D20+I20+D38+I38)</f>
        <v>0</v>
      </c>
      <c r="P8" s="106" t="str">
        <f t="shared" si="4"/>
        <v>롯대칠성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/>
      <c r="G9" s="27"/>
      <c r="H9" s="42" t="str">
        <f t="shared" si="2"/>
        <v>-</v>
      </c>
      <c r="I9" s="50"/>
      <c r="J9" s="42" t="str">
        <f>+'[1](1)'!J9</f>
        <v>상품권</v>
      </c>
      <c r="K9" s="44"/>
      <c r="L9" s="2"/>
      <c r="M9" s="20"/>
      <c r="N9" s="51" t="str">
        <f t="shared" si="3"/>
        <v>자가소비</v>
      </c>
      <c r="O9" s="54">
        <f>SUM(D8+I8+D21+I21+D39+I39)</f>
        <v>0</v>
      </c>
      <c r="P9" s="51" t="str">
        <f t="shared" si="4"/>
        <v>신용카드</v>
      </c>
      <c r="Q9" s="53">
        <f>IF(K8=0,F8,IF(F21=0,K8,IF(K21=0,F21,K21)))</f>
        <v>17022452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>
        <v>153.40199999999999</v>
      </c>
      <c r="E10" s="42" t="str">
        <f>+'[1](1)'!E10</f>
        <v>OK케시백</v>
      </c>
      <c r="F10" s="44">
        <v>3000</v>
      </c>
      <c r="G10" s="27"/>
      <c r="H10" s="42" t="str">
        <f t="shared" si="2"/>
        <v>고객우대</v>
      </c>
      <c r="I10" s="50">
        <v>54.500999999999998</v>
      </c>
      <c r="J10" s="42" t="str">
        <f>+'[1](1)'!J10</f>
        <v>OK케시백</v>
      </c>
      <c r="K10" s="44"/>
      <c r="L10" s="2"/>
      <c r="M10" s="20"/>
      <c r="N10" s="51" t="str">
        <f t="shared" si="3"/>
        <v>-</v>
      </c>
      <c r="O10" s="54"/>
      <c r="P10" s="51" t="str">
        <f t="shared" si="4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-5369.07</v>
      </c>
      <c r="E11" s="42" t="str">
        <f>+'[1](1)'!E11</f>
        <v>모바일</v>
      </c>
      <c r="F11" s="44">
        <v>20000</v>
      </c>
      <c r="G11" s="27"/>
      <c r="H11" s="83" t="str">
        <f t="shared" si="2"/>
        <v>-</v>
      </c>
      <c r="I11" s="55">
        <f>SUM(I10*-35)</f>
        <v>-1907.5349999999999</v>
      </c>
      <c r="J11" s="56" t="str">
        <f>+'[1](1)'!J11</f>
        <v>모바일</v>
      </c>
      <c r="K11" s="44"/>
      <c r="L11" s="2"/>
      <c r="M11" s="20"/>
      <c r="N11" s="51" t="str">
        <f t="shared" si="3"/>
        <v>고객우대</v>
      </c>
      <c r="O11" s="54">
        <f>SUM(D10+I10+D23+I23+D41+I41)</f>
        <v>207.90299999999999</v>
      </c>
      <c r="P11" s="51" t="str">
        <f t="shared" si="4"/>
        <v>OK케시백</v>
      </c>
      <c r="Q11" s="53">
        <f>SUM(F10+K10+F23+K23+F41+K41)</f>
        <v>3000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/>
      <c r="G12" s="27"/>
      <c r="H12" s="84" t="str">
        <f t="shared" si="2"/>
        <v>-</v>
      </c>
      <c r="I12" s="57"/>
      <c r="J12" s="29" t="str">
        <f>+'[1](1)'!J12</f>
        <v>제로페이</v>
      </c>
      <c r="K12" s="58"/>
      <c r="L12" s="2"/>
      <c r="M12" s="20"/>
      <c r="N12" s="51" t="str">
        <f t="shared" si="3"/>
        <v>-</v>
      </c>
      <c r="O12" s="55">
        <f>SUM(O11*-35)</f>
        <v>-7276.6049999999996</v>
      </c>
      <c r="P12" s="51" t="str">
        <f t="shared" si="4"/>
        <v>모바일</v>
      </c>
      <c r="Q12" s="53">
        <f>SUM(F11+K11+F24+K24+F42+K42)</f>
        <v>20000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SUM((D4-D5-D6-D7-D8-D9)*$I$1+D11)</f>
        <v>9416025.9900000002</v>
      </c>
      <c r="E13" s="29" t="str">
        <f>+'[1](1)'!E13</f>
        <v>합계</v>
      </c>
      <c r="F13" s="61">
        <f>SUM(F4:F12)</f>
        <v>9415960</v>
      </c>
      <c r="G13" s="62"/>
      <c r="H13" s="29" t="str">
        <f t="shared" si="2"/>
        <v>합계</v>
      </c>
      <c r="I13" s="60">
        <f>SUM((I4-I5-I6-I7-I8-I9)*$I$1+I11)</f>
        <v>8102151.8130000001</v>
      </c>
      <c r="J13" s="29" t="str">
        <f t="shared" ref="J13" si="5">+E13</f>
        <v>합계</v>
      </c>
      <c r="K13" s="61">
        <f>IF(K8=0,0,SUM(K4:K12)-F8)</f>
        <v>8101492</v>
      </c>
      <c r="L13" s="2"/>
      <c r="M13" s="20"/>
      <c r="N13" s="63" t="str">
        <f t="shared" si="3"/>
        <v>-</v>
      </c>
      <c r="O13" s="64"/>
      <c r="P13" s="63" t="str">
        <f t="shared" si="4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-65.990000000223517</v>
      </c>
      <c r="G14" s="27"/>
      <c r="H14" s="27"/>
      <c r="I14" s="27"/>
      <c r="J14" s="27"/>
      <c r="K14" s="67">
        <f>SUM(K13-I13)</f>
        <v>-659.81300000008196</v>
      </c>
      <c r="L14" s="2">
        <f>SUM(L4:L13)</f>
        <v>0</v>
      </c>
      <c r="M14" s="18" t="s">
        <v>9</v>
      </c>
      <c r="N14" s="39" t="str">
        <f t="shared" si="3"/>
        <v>합계</v>
      </c>
      <c r="O14" s="68">
        <f>SUM((O5-O6-O7-O8-O9-O10)*+E1+O12)</f>
        <v>144458.93099999998</v>
      </c>
      <c r="P14" s="39" t="str">
        <f t="shared" si="4"/>
        <v>합계</v>
      </c>
      <c r="Q14" s="69">
        <f>SUM(Q5:Q13)</f>
        <v>17517452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-725.80300000030547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30" t="s">
        <v>34</v>
      </c>
      <c r="O18" s="143"/>
      <c r="P18" s="116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105" t="str">
        <f t="shared" ref="E19:E25" si="9">+E6</f>
        <v>블루/레드포인트</v>
      </c>
      <c r="F19" s="44"/>
      <c r="G19" s="27"/>
      <c r="H19" s="42" t="str">
        <f t="shared" ref="H19:H25" si="10">+C6</f>
        <v>외상전표</v>
      </c>
      <c r="I19" s="50"/>
      <c r="J19" s="105" t="str">
        <f t="shared" ref="J19:J25" si="11">+E6</f>
        <v>블루/레드포인트</v>
      </c>
      <c r="K19" s="44"/>
      <c r="L19" s="2"/>
      <c r="M19" s="1"/>
      <c r="N19" s="134" t="s">
        <v>37</v>
      </c>
      <c r="O19" s="135"/>
      <c r="P19" s="117">
        <v>18</v>
      </c>
      <c r="Q19" s="48">
        <f>SUM(P19*1000)</f>
        <v>18000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롯대칠성</v>
      </c>
      <c r="F20" s="44"/>
      <c r="G20" s="27"/>
      <c r="H20" s="42" t="str">
        <f t="shared" si="10"/>
        <v>효신(업)</v>
      </c>
      <c r="I20" s="50"/>
      <c r="J20" s="42" t="str">
        <f t="shared" si="11"/>
        <v>롯대칠성</v>
      </c>
      <c r="K20" s="44"/>
      <c r="L20" s="2"/>
      <c r="M20" s="1"/>
      <c r="N20" s="140" t="s">
        <v>38</v>
      </c>
      <c r="O20" s="141"/>
      <c r="P20" s="118">
        <v>88</v>
      </c>
      <c r="Q20" s="53">
        <f>SUM(P20*1000)</f>
        <v>88000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40" t="s">
        <v>57</v>
      </c>
      <c r="O21" s="141"/>
      <c r="P21" s="118">
        <v>8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42" t="s">
        <v>59</v>
      </c>
      <c r="O22" s="137"/>
      <c r="P22" s="118">
        <v>23</v>
      </c>
      <c r="Q22" s="53"/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36" t="s">
        <v>61</v>
      </c>
      <c r="O23" s="137"/>
      <c r="P23" s="118">
        <v>12</v>
      </c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36" t="s">
        <v>62</v>
      </c>
      <c r="O24" s="137"/>
      <c r="P24" s="118">
        <v>8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36"/>
      <c r="O25" s="137"/>
      <c r="P25" s="121"/>
      <c r="Q25" s="12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SUM((D17-D18-D19-D20-D21-D22)*$I$1+D24)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SUM((I17-I18-I19-I20-I21-I22)*$I$1+I24)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36"/>
      <c r="O26" s="137"/>
      <c r="P26" s="123"/>
      <c r="Q26" s="114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38" t="s">
        <v>39</v>
      </c>
      <c r="O27" s="139"/>
      <c r="P27" s="119">
        <f>+P28-SUM(P19:P26)</f>
        <v>-28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30" t="s">
        <v>40</v>
      </c>
      <c r="O28" s="131"/>
      <c r="P28" s="120">
        <v>129</v>
      </c>
      <c r="Q28" s="69">
        <f>SUM(Q19:Q27)</f>
        <v>106000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1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2"/>
      <c r="O31" s="103">
        <v>25635</v>
      </c>
      <c r="P31" s="103">
        <v>25677</v>
      </c>
      <c r="Q31" s="104">
        <f>P31-O31</f>
        <v>42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1:O21"/>
    <mergeCell ref="N2:Q2"/>
    <mergeCell ref="P3:Q3"/>
    <mergeCell ref="N19:O19"/>
    <mergeCell ref="N20:O20"/>
    <mergeCell ref="N18:O18"/>
    <mergeCell ref="N28:O28"/>
    <mergeCell ref="N22:O22"/>
    <mergeCell ref="N23:O23"/>
    <mergeCell ref="N24:O24"/>
    <mergeCell ref="N27:O27"/>
    <mergeCell ref="N25:O25"/>
    <mergeCell ref="N26:O26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A7" workbookViewId="0">
      <selection activeCell="K6" sqref="K6"/>
    </sheetView>
  </sheetViews>
  <sheetFormatPr defaultRowHeight="27.75" customHeight="1"/>
  <cols>
    <col min="1" max="2" width="9" style="10"/>
    <col min="3" max="3" width="9" style="10" bestFit="1" customWidth="1"/>
    <col min="4" max="4" width="11.375" style="10" customWidth="1"/>
    <col min="5" max="5" width="11.25" style="10" bestFit="1" customWidth="1"/>
    <col min="6" max="6" width="11.375" style="10" customWidth="1"/>
    <col min="7" max="7" width="5" style="10" customWidth="1"/>
    <col min="8" max="8" width="9" style="10"/>
    <col min="9" max="9" width="11.375" style="10" customWidth="1"/>
    <col min="10" max="10" width="11.25" style="10" bestFit="1" customWidth="1"/>
    <col min="11" max="11" width="11.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22</v>
      </c>
      <c r="D1" s="9" t="s">
        <v>0</v>
      </c>
      <c r="E1" s="97">
        <v>8</v>
      </c>
      <c r="F1" s="1"/>
      <c r="G1" s="1"/>
      <c r="H1" s="1"/>
      <c r="I1" s="1">
        <v>924</v>
      </c>
      <c r="J1" s="1"/>
      <c r="K1" s="1"/>
      <c r="L1" s="22">
        <f>+ROUND(+O5*0.584/1000,3)</f>
        <v>10.821999999999999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ROUND((+'(21)'!L2*(C1-1)+L1)/C1,3)</f>
        <v>10.451000000000001</v>
      </c>
      <c r="M2" s="18" t="s">
        <v>7</v>
      </c>
      <c r="N2" s="144" t="s">
        <v>1</v>
      </c>
      <c r="O2" s="144"/>
      <c r="P2" s="144"/>
      <c r="Q2" s="144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" si="0">+D3</f>
        <v>수량 및 금액</v>
      </c>
      <c r="J3" s="34" t="str">
        <f>+'[1](1)'!J3</f>
        <v>제   목</v>
      </c>
      <c r="K3" s="29" t="str">
        <f>F3</f>
        <v>수량 및 금액</v>
      </c>
      <c r="L3" s="21">
        <f>+L2*C1</f>
        <v>229.92200000000003</v>
      </c>
      <c r="M3" s="18" t="s">
        <v>10</v>
      </c>
      <c r="N3" s="3"/>
      <c r="O3" s="3"/>
      <c r="P3" s="145" t="str">
        <f>+'(1)'!C1&amp;"년"&amp;'(1)'!E1&amp;"월"&amp;C1&amp;"일"</f>
        <v>2023년8월22일</v>
      </c>
      <c r="Q3" s="145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10089.290000000001</v>
      </c>
      <c r="E4" s="34" t="str">
        <f>+'[1](1)'!E4</f>
        <v>고액권</v>
      </c>
      <c r="F4" s="36">
        <v>160000</v>
      </c>
      <c r="G4" s="27"/>
      <c r="H4" s="34" t="str">
        <f>+C4</f>
        <v>판매량</v>
      </c>
      <c r="I4" s="35">
        <v>8440.7309999999998</v>
      </c>
      <c r="J4" s="42" t="str">
        <f>+'[1](1)'!J4</f>
        <v>고액권</v>
      </c>
      <c r="K4" s="36">
        <v>140000</v>
      </c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48250</v>
      </c>
      <c r="S4" s="6" t="s">
        <v>2</v>
      </c>
      <c r="T4" s="1"/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>
        <v>4000</v>
      </c>
      <c r="G5" s="27"/>
      <c r="H5" s="42" t="str">
        <f t="shared" ref="H5:H13" si="2">+C5</f>
        <v>법인전표</v>
      </c>
      <c r="I5" s="43"/>
      <c r="J5" s="42" t="str">
        <f>+'[1](1)'!J5</f>
        <v>천원권</v>
      </c>
      <c r="K5" s="44">
        <v>2000</v>
      </c>
      <c r="L5" s="2"/>
      <c r="M5" s="20"/>
      <c r="N5" s="45" t="str">
        <f>+C4</f>
        <v>판매량</v>
      </c>
      <c r="O5" s="46">
        <f>SUM(D4+I4+D17+I17+D35+I35)</f>
        <v>18530.021000000001</v>
      </c>
      <c r="P5" s="47" t="str">
        <f>+E4</f>
        <v>고액권</v>
      </c>
      <c r="Q5" s="48">
        <f>SUM(F4+K4+F17+K17+F35+K35)</f>
        <v>300000</v>
      </c>
      <c r="R5" s="7">
        <v>34</v>
      </c>
      <c r="S5" s="6" t="s">
        <v>3</v>
      </c>
      <c r="T5" s="1"/>
      <c r="U5" s="1"/>
      <c r="V5" s="1"/>
    </row>
    <row r="6" spans="3:22" ht="16.5" customHeight="1">
      <c r="C6" s="83" t="str">
        <f>+'(1)'!C6</f>
        <v>외상전표</v>
      </c>
      <c r="D6" s="50">
        <v>321.21899999999999</v>
      </c>
      <c r="E6" s="105" t="str">
        <f>+'[1](1)'!E6</f>
        <v>블루/레드포인트</v>
      </c>
      <c r="F6" s="44"/>
      <c r="G6" s="27"/>
      <c r="H6" s="42" t="str">
        <f t="shared" si="2"/>
        <v>외상전표</v>
      </c>
      <c r="I6" s="50">
        <v>0</v>
      </c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6000</v>
      </c>
      <c r="R6" s="7">
        <v>2.8</v>
      </c>
      <c r="S6" s="6" t="s">
        <v>4</v>
      </c>
      <c r="T6" s="1"/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/>
      <c r="G7" s="27"/>
      <c r="H7" s="83" t="str">
        <f t="shared" si="2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3">+C6</f>
        <v>외상전표</v>
      </c>
      <c r="O7" s="54">
        <f>SUM(D6+I6+D19+I19+D37+I37)</f>
        <v>321.21899999999999</v>
      </c>
      <c r="P7" s="106" t="str">
        <f t="shared" ref="P7:P14" si="4">+E6</f>
        <v>블루/레드포인트</v>
      </c>
      <c r="Q7" s="53">
        <f>SUM(F6+K6+F19+K19+F37+K37)</f>
        <v>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>
        <v>8839512</v>
      </c>
      <c r="G8" s="27"/>
      <c r="H8" s="34" t="str">
        <f t="shared" si="2"/>
        <v>자가소비</v>
      </c>
      <c r="I8" s="50"/>
      <c r="J8" s="42" t="str">
        <f>+'[1](1)'!J8</f>
        <v>신용카드</v>
      </c>
      <c r="K8" s="44">
        <v>16495181</v>
      </c>
      <c r="L8" s="2"/>
      <c r="M8" s="20"/>
      <c r="N8" s="51" t="str">
        <f t="shared" si="3"/>
        <v>효신(업)</v>
      </c>
      <c r="O8" s="52">
        <f>SUM(D7+I7+D20+I20+D38+I38)</f>
        <v>0</v>
      </c>
      <c r="P8" s="106" t="str">
        <f t="shared" si="4"/>
        <v>롯대칠성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/>
      <c r="G9" s="27"/>
      <c r="H9" s="42" t="str">
        <f t="shared" si="2"/>
        <v>-</v>
      </c>
      <c r="I9" s="50"/>
      <c r="J9" s="42" t="str">
        <f>+'[1](1)'!J9</f>
        <v>상품권</v>
      </c>
      <c r="K9" s="44"/>
      <c r="L9" s="2"/>
      <c r="M9" s="20"/>
      <c r="N9" s="51" t="str">
        <f t="shared" si="3"/>
        <v>자가소비</v>
      </c>
      <c r="O9" s="54">
        <f>SUM(D8+I8+D21+I21+D39+I39)</f>
        <v>0</v>
      </c>
      <c r="P9" s="51" t="str">
        <f t="shared" si="4"/>
        <v>신용카드</v>
      </c>
      <c r="Q9" s="53">
        <f>IF(K8=0,F8,IF(F21=0,K8,IF(K21=0,F21,K21)))</f>
        <v>16495181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>
        <v>534.71299999999997</v>
      </c>
      <c r="E10" s="42" t="str">
        <f>+'[1](1)'!E10</f>
        <v>OK케시백</v>
      </c>
      <c r="F10" s="44">
        <v>3000</v>
      </c>
      <c r="G10" s="27"/>
      <c r="H10" s="42" t="str">
        <f t="shared" si="2"/>
        <v>고객우대</v>
      </c>
      <c r="I10" s="50">
        <v>152.46299999999999</v>
      </c>
      <c r="J10" s="42" t="str">
        <f>+'[1](1)'!J10</f>
        <v>OK케시백</v>
      </c>
      <c r="K10" s="44"/>
      <c r="L10" s="2"/>
      <c r="M10" s="20"/>
      <c r="N10" s="51" t="str">
        <f t="shared" si="3"/>
        <v>-</v>
      </c>
      <c r="O10" s="54"/>
      <c r="P10" s="51" t="str">
        <f t="shared" si="4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-18714.954999999998</v>
      </c>
      <c r="E11" s="42" t="str">
        <f>+'[1](1)'!E11</f>
        <v>모바일</v>
      </c>
      <c r="F11" s="44"/>
      <c r="G11" s="27"/>
      <c r="H11" s="83" t="str">
        <f t="shared" si="2"/>
        <v>-</v>
      </c>
      <c r="I11" s="55">
        <f>SUM(I10*-35)</f>
        <v>-5336.2049999999999</v>
      </c>
      <c r="J11" s="56" t="str">
        <f>+'[1](1)'!J11</f>
        <v>모바일</v>
      </c>
      <c r="K11" s="44"/>
      <c r="L11" s="2"/>
      <c r="M11" s="20"/>
      <c r="N11" s="51" t="str">
        <f t="shared" si="3"/>
        <v>고객우대</v>
      </c>
      <c r="O11" s="54">
        <f>SUM(D10+I10+D23+I23+D41+I41)</f>
        <v>687.17599999999993</v>
      </c>
      <c r="P11" s="51" t="str">
        <f t="shared" si="4"/>
        <v>OK케시백</v>
      </c>
      <c r="Q11" s="53">
        <f>SUM(F10+K10+F23+K23+F41+K41)</f>
        <v>3000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/>
      <c r="G12" s="27"/>
      <c r="H12" s="84" t="str">
        <f t="shared" si="2"/>
        <v>-</v>
      </c>
      <c r="I12" s="57"/>
      <c r="J12" s="29" t="str">
        <f>+'[1](1)'!J12</f>
        <v>제로페이</v>
      </c>
      <c r="K12" s="58"/>
      <c r="L12" s="2"/>
      <c r="M12" s="20"/>
      <c r="N12" s="51" t="str">
        <f t="shared" si="3"/>
        <v>-</v>
      </c>
      <c r="O12" s="55">
        <f>SUM(O11*-35)</f>
        <v>-24051.159999999996</v>
      </c>
      <c r="P12" s="51" t="str">
        <f t="shared" si="4"/>
        <v>모바일</v>
      </c>
      <c r="Q12" s="53">
        <f>SUM(F11+K11+F24+K24+F42+K42)</f>
        <v>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SUM((D4-D5-D6-D7-D8-D9)*$I$1+D11)</f>
        <v>9006982.6490000021</v>
      </c>
      <c r="E13" s="29" t="str">
        <f>+'[1](1)'!E13</f>
        <v>합계</v>
      </c>
      <c r="F13" s="61">
        <f>SUM(F4:F12)</f>
        <v>9006512</v>
      </c>
      <c r="G13" s="62"/>
      <c r="H13" s="29" t="str">
        <f t="shared" si="2"/>
        <v>합계</v>
      </c>
      <c r="I13" s="60">
        <f>SUM((I4-I5-I6-I7-I8-I9)*$I$1+I11)</f>
        <v>7793899.2390000001</v>
      </c>
      <c r="J13" s="29" t="str">
        <f t="shared" ref="J13" si="5">+E13</f>
        <v>합계</v>
      </c>
      <c r="K13" s="61">
        <f>IF(K8=0,0,SUM(K4:K12)-F8)</f>
        <v>7797669</v>
      </c>
      <c r="L13" s="2"/>
      <c r="M13" s="20"/>
      <c r="N13" s="63" t="str">
        <f t="shared" si="3"/>
        <v>-</v>
      </c>
      <c r="O13" s="64"/>
      <c r="P13" s="63" t="str">
        <f t="shared" si="4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-470.64900000207126</v>
      </c>
      <c r="G14" s="27"/>
      <c r="H14" s="27"/>
      <c r="I14" s="27"/>
      <c r="J14" s="27"/>
      <c r="K14" s="67">
        <f>SUM(K13-I13)</f>
        <v>3769.7609999999404</v>
      </c>
      <c r="L14" s="2">
        <f>SUM(L4:L13)</f>
        <v>0</v>
      </c>
      <c r="M14" s="18" t="s">
        <v>9</v>
      </c>
      <c r="N14" s="39" t="str">
        <f t="shared" si="3"/>
        <v>합계</v>
      </c>
      <c r="O14" s="68">
        <f>SUM((O5-O6-O7-O8-O9-O10)*+E1+O12)</f>
        <v>121619.25599999999</v>
      </c>
      <c r="P14" s="39" t="str">
        <f t="shared" si="4"/>
        <v>합계</v>
      </c>
      <c r="Q14" s="69">
        <f>SUM(Q5:Q13)</f>
        <v>16804181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3299.1119999978691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30" t="s">
        <v>34</v>
      </c>
      <c r="O18" s="143"/>
      <c r="P18" s="116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105" t="str">
        <f t="shared" ref="E19:E25" si="9">+E6</f>
        <v>블루/레드포인트</v>
      </c>
      <c r="F19" s="44"/>
      <c r="G19" s="27"/>
      <c r="H19" s="42" t="str">
        <f t="shared" ref="H19:H25" si="10">+C6</f>
        <v>외상전표</v>
      </c>
      <c r="I19" s="50"/>
      <c r="J19" s="105" t="str">
        <f t="shared" ref="J19:J25" si="11">+E6</f>
        <v>블루/레드포인트</v>
      </c>
      <c r="K19" s="44"/>
      <c r="L19" s="2"/>
      <c r="M19" s="1"/>
      <c r="N19" s="134" t="s">
        <v>37</v>
      </c>
      <c r="O19" s="135"/>
      <c r="P19" s="117">
        <v>4</v>
      </c>
      <c r="Q19" s="48">
        <f>SUM(P19*1000)</f>
        <v>4000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롯대칠성</v>
      </c>
      <c r="F20" s="44"/>
      <c r="G20" s="27"/>
      <c r="H20" s="42" t="str">
        <f t="shared" si="10"/>
        <v>효신(업)</v>
      </c>
      <c r="I20" s="50"/>
      <c r="J20" s="42" t="str">
        <f t="shared" si="11"/>
        <v>롯대칠성</v>
      </c>
      <c r="K20" s="44"/>
      <c r="L20" s="2"/>
      <c r="M20" s="1"/>
      <c r="N20" s="140" t="s">
        <v>38</v>
      </c>
      <c r="O20" s="141"/>
      <c r="P20" s="118">
        <v>5</v>
      </c>
      <c r="Q20" s="53">
        <f>SUM(P20*1000)</f>
        <v>5000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40" t="s">
        <v>57</v>
      </c>
      <c r="O21" s="141"/>
      <c r="P21" s="118">
        <v>1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42" t="s">
        <v>59</v>
      </c>
      <c r="O22" s="137"/>
      <c r="P22" s="118">
        <v>8</v>
      </c>
      <c r="Q22" s="53"/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36" t="s">
        <v>61</v>
      </c>
      <c r="O23" s="137"/>
      <c r="P23" s="118">
        <v>4</v>
      </c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36" t="s">
        <v>62</v>
      </c>
      <c r="O24" s="137"/>
      <c r="P24" s="118">
        <v>2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36"/>
      <c r="O25" s="137"/>
      <c r="P25" s="121"/>
      <c r="Q25" s="12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SUM((D17-D18-D19-D20-D21-D22)*$I$1+D24)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SUM((I17-I18-I19-I20-I21-I22)*$I$1+I24)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36"/>
      <c r="O26" s="137"/>
      <c r="P26" s="123"/>
      <c r="Q26" s="114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38" t="s">
        <v>39</v>
      </c>
      <c r="O27" s="139"/>
      <c r="P27" s="119">
        <f>+P28-SUM(P19:P26)</f>
        <v>4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30" t="s">
        <v>40</v>
      </c>
      <c r="O28" s="131"/>
      <c r="P28" s="120">
        <v>28</v>
      </c>
      <c r="Q28" s="69">
        <f>SUM(Q19:Q27)</f>
        <v>9000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1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2"/>
      <c r="O31" s="103">
        <v>25677</v>
      </c>
      <c r="P31" s="103">
        <v>25687</v>
      </c>
      <c r="Q31" s="104">
        <f>P31-O31</f>
        <v>10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1:O21"/>
    <mergeCell ref="N2:Q2"/>
    <mergeCell ref="P3:Q3"/>
    <mergeCell ref="N19:O19"/>
    <mergeCell ref="N20:O20"/>
    <mergeCell ref="N18:O18"/>
    <mergeCell ref="N28:O28"/>
    <mergeCell ref="N22:O22"/>
    <mergeCell ref="N23:O23"/>
    <mergeCell ref="N24:O24"/>
    <mergeCell ref="N27:O27"/>
    <mergeCell ref="N25:O25"/>
    <mergeCell ref="N26:O26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A16" workbookViewId="0">
      <selection activeCell="P31" sqref="P31"/>
    </sheetView>
  </sheetViews>
  <sheetFormatPr defaultRowHeight="27.75" customHeight="1"/>
  <cols>
    <col min="1" max="2" width="9" style="10"/>
    <col min="3" max="3" width="9" style="10" bestFit="1" customWidth="1"/>
    <col min="4" max="4" width="11.375" style="10" customWidth="1"/>
    <col min="5" max="5" width="11.25" style="10" bestFit="1" customWidth="1"/>
    <col min="6" max="6" width="11.5" style="10" customWidth="1"/>
    <col min="7" max="7" width="5" style="10" customWidth="1"/>
    <col min="8" max="8" width="9" style="10"/>
    <col min="9" max="9" width="11.375" style="10" customWidth="1"/>
    <col min="10" max="10" width="11.25" style="10" bestFit="1" customWidth="1"/>
    <col min="11" max="11" width="11.62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23</v>
      </c>
      <c r="D1" s="9" t="s">
        <v>0</v>
      </c>
      <c r="E1" s="97">
        <v>8</v>
      </c>
      <c r="F1" s="1"/>
      <c r="G1" s="1"/>
      <c r="H1" s="1"/>
      <c r="I1" s="1">
        <v>924</v>
      </c>
      <c r="J1" s="1"/>
      <c r="K1" s="1"/>
      <c r="L1" s="22">
        <f>+ROUND(+O5*0.584/1000,3)</f>
        <v>10.983000000000001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ROUND((+'(22)'!L2*(C1-1)+L1)/C1,3)</f>
        <v>10.474</v>
      </c>
      <c r="M2" s="18" t="s">
        <v>7</v>
      </c>
      <c r="N2" s="144" t="s">
        <v>1</v>
      </c>
      <c r="O2" s="144"/>
      <c r="P2" s="144"/>
      <c r="Q2" s="144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" si="0">+D3</f>
        <v>수량 및 금액</v>
      </c>
      <c r="J3" s="34" t="str">
        <f>+'[1](1)'!J3</f>
        <v>제   목</v>
      </c>
      <c r="K3" s="29" t="str">
        <f>F3</f>
        <v>수량 및 금액</v>
      </c>
      <c r="L3" s="21">
        <f>+L2*C1</f>
        <v>240.90200000000002</v>
      </c>
      <c r="M3" s="18" t="s">
        <v>10</v>
      </c>
      <c r="N3" s="3"/>
      <c r="O3" s="3"/>
      <c r="P3" s="145" t="str">
        <f>+'(1)'!C1&amp;"년"&amp;'(1)'!E1&amp;"월"&amp;C1&amp;"일"</f>
        <v>2023년8월23일</v>
      </c>
      <c r="Q3" s="145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10638.686</v>
      </c>
      <c r="E4" s="34" t="str">
        <f>+'[1](1)'!E4</f>
        <v>고액권</v>
      </c>
      <c r="F4" s="36">
        <v>95000</v>
      </c>
      <c r="G4" s="27"/>
      <c r="H4" s="34" t="str">
        <f>+C4</f>
        <v>판매량</v>
      </c>
      <c r="I4" s="35">
        <v>8167.9319999999998</v>
      </c>
      <c r="J4" s="42" t="str">
        <f>+'[1](1)'!J4</f>
        <v>고액권</v>
      </c>
      <c r="K4" s="36">
        <v>160000</v>
      </c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28235</v>
      </c>
      <c r="S4" s="6" t="s">
        <v>2</v>
      </c>
      <c r="T4" s="1"/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>
        <v>3000</v>
      </c>
      <c r="G5" s="27"/>
      <c r="H5" s="42" t="str">
        <f t="shared" ref="H5:H13" si="2">+C5</f>
        <v>법인전표</v>
      </c>
      <c r="I5" s="43"/>
      <c r="J5" s="42" t="str">
        <f>+'[1](1)'!J5</f>
        <v>천원권</v>
      </c>
      <c r="K5" s="44">
        <v>5000</v>
      </c>
      <c r="L5" s="2"/>
      <c r="M5" s="20"/>
      <c r="N5" s="45" t="str">
        <f>+C4</f>
        <v>판매량</v>
      </c>
      <c r="O5" s="46">
        <f>SUM(D4+I4+D17+I17+D35+I35)</f>
        <v>18806.617999999999</v>
      </c>
      <c r="P5" s="47" t="str">
        <f>+E4</f>
        <v>고액권</v>
      </c>
      <c r="Q5" s="48">
        <f>SUM(F4+K4+F17+K17+F35+K35)</f>
        <v>255000</v>
      </c>
      <c r="R5" s="7">
        <v>34</v>
      </c>
      <c r="S5" s="6" t="s">
        <v>3</v>
      </c>
      <c r="T5" s="1"/>
      <c r="U5" s="1"/>
      <c r="V5" s="1"/>
    </row>
    <row r="6" spans="3:22" ht="16.5" customHeight="1">
      <c r="C6" s="83" t="str">
        <f>+'(1)'!C6</f>
        <v>외상전표</v>
      </c>
      <c r="D6" s="50">
        <v>307.78800000000001</v>
      </c>
      <c r="E6" s="105" t="str">
        <f>+'[1](1)'!E6</f>
        <v>블루/레드포인트</v>
      </c>
      <c r="F6" s="44"/>
      <c r="G6" s="27"/>
      <c r="H6" s="42" t="str">
        <f t="shared" si="2"/>
        <v>외상전표</v>
      </c>
      <c r="I6" s="50">
        <v>21.212</v>
      </c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8000</v>
      </c>
      <c r="R6" s="7">
        <v>2.9</v>
      </c>
      <c r="S6" s="6" t="s">
        <v>4</v>
      </c>
      <c r="T6" s="1"/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/>
      <c r="G7" s="27"/>
      <c r="H7" s="83" t="str">
        <f t="shared" si="2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3">+C6</f>
        <v>외상전표</v>
      </c>
      <c r="O7" s="54">
        <f>SUM(D6+I6+D19+I19+D37+I37)</f>
        <v>329</v>
      </c>
      <c r="P7" s="106" t="str">
        <f t="shared" ref="P7:P14" si="4">+E6</f>
        <v>블루/레드포인트</v>
      </c>
      <c r="Q7" s="53">
        <f>SUM(F6+K6+F19+K19+F37+K37)</f>
        <v>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>
        <v>9438923</v>
      </c>
      <c r="G8" s="27"/>
      <c r="H8" s="34" t="str">
        <f t="shared" si="2"/>
        <v>자가소비</v>
      </c>
      <c r="I8" s="50"/>
      <c r="J8" s="42" t="str">
        <f>+'[1](1)'!J8</f>
        <v>신용카드</v>
      </c>
      <c r="K8" s="44">
        <v>16788265</v>
      </c>
      <c r="L8" s="2"/>
      <c r="M8" s="20"/>
      <c r="N8" s="51" t="str">
        <f t="shared" si="3"/>
        <v>효신(업)</v>
      </c>
      <c r="O8" s="52">
        <f>SUM(D7+I7+D20+I20+D38+I38)</f>
        <v>0</v>
      </c>
      <c r="P8" s="106" t="str">
        <f t="shared" si="4"/>
        <v>롯대칠성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/>
      <c r="G9" s="27"/>
      <c r="H9" s="42" t="str">
        <f t="shared" si="2"/>
        <v>-</v>
      </c>
      <c r="I9" s="50"/>
      <c r="J9" s="42" t="str">
        <f>+'[1](1)'!J9</f>
        <v>상품권</v>
      </c>
      <c r="K9" s="44"/>
      <c r="L9" s="2"/>
      <c r="M9" s="20"/>
      <c r="N9" s="51" t="str">
        <f t="shared" si="3"/>
        <v>자가소비</v>
      </c>
      <c r="O9" s="54">
        <f>SUM(D8+I8+D21+I21+D39+I39)</f>
        <v>0</v>
      </c>
      <c r="P9" s="51" t="str">
        <f t="shared" si="4"/>
        <v>신용카드</v>
      </c>
      <c r="Q9" s="53">
        <f>IF(K8=0,F8,IF(F21=0,K8,IF(K21=0,F21,K21)))</f>
        <v>16788265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>
        <v>231.453</v>
      </c>
      <c r="E10" s="42" t="str">
        <f>+'[1](1)'!E10</f>
        <v>OK케시백</v>
      </c>
      <c r="F10" s="44"/>
      <c r="G10" s="27"/>
      <c r="H10" s="42" t="str">
        <f t="shared" si="2"/>
        <v>고객우대</v>
      </c>
      <c r="I10" s="50">
        <v>121.05200000000001</v>
      </c>
      <c r="J10" s="42" t="str">
        <f>+'[1](1)'!J10</f>
        <v>OK케시백</v>
      </c>
      <c r="K10" s="44"/>
      <c r="L10" s="2"/>
      <c r="M10" s="20"/>
      <c r="N10" s="51" t="str">
        <f t="shared" si="3"/>
        <v>-</v>
      </c>
      <c r="O10" s="54"/>
      <c r="P10" s="51" t="str">
        <f t="shared" si="4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-8100.8550000000005</v>
      </c>
      <c r="E11" s="42" t="str">
        <f>+'[1](1)'!E11</f>
        <v>모바일</v>
      </c>
      <c r="F11" s="44"/>
      <c r="G11" s="27"/>
      <c r="H11" s="83" t="str">
        <f t="shared" si="2"/>
        <v>-</v>
      </c>
      <c r="I11" s="55">
        <f>SUM(I10*-35)</f>
        <v>-4236.8200000000006</v>
      </c>
      <c r="J11" s="56" t="str">
        <f>+'[1](1)'!J11</f>
        <v>모바일</v>
      </c>
      <c r="K11" s="44">
        <v>9000</v>
      </c>
      <c r="L11" s="2"/>
      <c r="M11" s="20"/>
      <c r="N11" s="51" t="str">
        <f t="shared" si="3"/>
        <v>고객우대</v>
      </c>
      <c r="O11" s="54">
        <f>SUM(D10+I10+D23+I23+D41+I41)</f>
        <v>352.505</v>
      </c>
      <c r="P11" s="51" t="str">
        <f t="shared" si="4"/>
        <v>OK케시백</v>
      </c>
      <c r="Q11" s="53">
        <f>SUM(F10+K10+F23+K23+F41+K41)</f>
        <v>0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/>
      <c r="G12" s="27"/>
      <c r="H12" s="84" t="str">
        <f t="shared" si="2"/>
        <v>-</v>
      </c>
      <c r="I12" s="57"/>
      <c r="J12" s="29" t="str">
        <f>+'[1](1)'!J12</f>
        <v>제로페이</v>
      </c>
      <c r="K12" s="58"/>
      <c r="L12" s="2"/>
      <c r="M12" s="20"/>
      <c r="N12" s="51" t="str">
        <f t="shared" si="3"/>
        <v>-</v>
      </c>
      <c r="O12" s="55">
        <f>SUM(O11*-35)</f>
        <v>-12337.674999999999</v>
      </c>
      <c r="P12" s="51" t="str">
        <f t="shared" si="4"/>
        <v>모바일</v>
      </c>
      <c r="Q12" s="53">
        <f>SUM(F11+K11+F24+K24+F42+K42)</f>
        <v>9000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SUM((D4-D5-D6-D7-D8-D9)*$I$1+D11)</f>
        <v>9537648.896999998</v>
      </c>
      <c r="E13" s="29" t="str">
        <f>+'[1](1)'!E13</f>
        <v>합계</v>
      </c>
      <c r="F13" s="61">
        <f>SUM(F4:F12)</f>
        <v>9536923</v>
      </c>
      <c r="G13" s="62"/>
      <c r="H13" s="29" t="str">
        <f t="shared" si="2"/>
        <v>합계</v>
      </c>
      <c r="I13" s="60">
        <f>SUM((I4-I5-I6-I7-I8-I9)*$I$1+I11)</f>
        <v>7523332.459999999</v>
      </c>
      <c r="J13" s="29" t="str">
        <f t="shared" ref="J13" si="5">+E13</f>
        <v>합계</v>
      </c>
      <c r="K13" s="61">
        <f>IF(K8=0,0,SUM(K4:K12)-F8)</f>
        <v>7523342</v>
      </c>
      <c r="L13" s="2"/>
      <c r="M13" s="20"/>
      <c r="N13" s="63" t="str">
        <f t="shared" si="3"/>
        <v>-</v>
      </c>
      <c r="O13" s="64"/>
      <c r="P13" s="63" t="str">
        <f t="shared" si="4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-725.89699999801815</v>
      </c>
      <c r="G14" s="27"/>
      <c r="H14" s="27"/>
      <c r="I14" s="27"/>
      <c r="J14" s="27"/>
      <c r="K14" s="67">
        <f>SUM(K13-I13)</f>
        <v>9.5400000009685755</v>
      </c>
      <c r="L14" s="2">
        <f>SUM(L4:L13)</f>
        <v>0</v>
      </c>
      <c r="M14" s="18" t="s">
        <v>9</v>
      </c>
      <c r="N14" s="39" t="str">
        <f t="shared" si="3"/>
        <v>합계</v>
      </c>
      <c r="O14" s="68">
        <f>SUM((O5-O6-O7-O8-O9-O10)*+E1+O12)</f>
        <v>135483.269</v>
      </c>
      <c r="P14" s="39" t="str">
        <f t="shared" si="4"/>
        <v>합계</v>
      </c>
      <c r="Q14" s="69">
        <f>SUM(Q5:Q13)</f>
        <v>17060265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-716.35699999704957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30" t="s">
        <v>34</v>
      </c>
      <c r="O18" s="143"/>
      <c r="P18" s="116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105" t="str">
        <f t="shared" ref="E19:E25" si="9">+E6</f>
        <v>블루/레드포인트</v>
      </c>
      <c r="F19" s="44"/>
      <c r="G19" s="27"/>
      <c r="H19" s="42" t="str">
        <f t="shared" ref="H19:H25" si="10">+C6</f>
        <v>외상전표</v>
      </c>
      <c r="I19" s="50"/>
      <c r="J19" s="105" t="str">
        <f t="shared" ref="J19:J25" si="11">+E6</f>
        <v>블루/레드포인트</v>
      </c>
      <c r="K19" s="44"/>
      <c r="L19" s="2"/>
      <c r="M19" s="1"/>
      <c r="N19" s="134" t="s">
        <v>37</v>
      </c>
      <c r="O19" s="135"/>
      <c r="P19" s="117">
        <v>0</v>
      </c>
      <c r="Q19" s="48">
        <f>SUM(P19*1000)</f>
        <v>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롯대칠성</v>
      </c>
      <c r="F20" s="44"/>
      <c r="G20" s="27"/>
      <c r="H20" s="42" t="str">
        <f t="shared" si="10"/>
        <v>효신(업)</v>
      </c>
      <c r="I20" s="50"/>
      <c r="J20" s="42" t="str">
        <f t="shared" si="11"/>
        <v>롯대칠성</v>
      </c>
      <c r="K20" s="44"/>
      <c r="L20" s="2"/>
      <c r="M20" s="1"/>
      <c r="N20" s="140" t="s">
        <v>38</v>
      </c>
      <c r="O20" s="141"/>
      <c r="P20" s="118">
        <v>0</v>
      </c>
      <c r="Q20" s="53">
        <f>SUM(P20*1000)</f>
        <v>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40" t="s">
        <v>57</v>
      </c>
      <c r="O21" s="141"/>
      <c r="P21" s="118">
        <v>0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42" t="s">
        <v>59</v>
      </c>
      <c r="O22" s="137"/>
      <c r="P22" s="118">
        <v>0</v>
      </c>
      <c r="Q22" s="53"/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36" t="s">
        <v>61</v>
      </c>
      <c r="O23" s="137"/>
      <c r="P23" s="118">
        <v>0</v>
      </c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36" t="s">
        <v>62</v>
      </c>
      <c r="O24" s="137"/>
      <c r="P24" s="118">
        <v>0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36"/>
      <c r="O25" s="137"/>
      <c r="P25" s="121"/>
      <c r="Q25" s="12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SUM((D17-D18-D19-D20-D21-D22)*$I$1+D24)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SUM((I17-I18-I19-I20-I21-I22)*$I$1+I24)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36"/>
      <c r="O26" s="137"/>
      <c r="P26" s="123"/>
      <c r="Q26" s="114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38" t="s">
        <v>39</v>
      </c>
      <c r="O27" s="139"/>
      <c r="P27" s="119">
        <f>+P28-SUM(P19:P26)</f>
        <v>0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30" t="s">
        <v>40</v>
      </c>
      <c r="O28" s="131"/>
      <c r="P28" s="120">
        <v>0</v>
      </c>
      <c r="Q28" s="69">
        <f>SUM(Q19:Q27)</f>
        <v>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1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2"/>
      <c r="O31" s="102">
        <v>25687</v>
      </c>
      <c r="P31" s="103">
        <v>25687</v>
      </c>
      <c r="Q31" s="104">
        <f>P31-O31</f>
        <v>0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1:O21"/>
    <mergeCell ref="N2:Q2"/>
    <mergeCell ref="P3:Q3"/>
    <mergeCell ref="N19:O19"/>
    <mergeCell ref="N20:O20"/>
    <mergeCell ref="N18:O18"/>
    <mergeCell ref="N28:O28"/>
    <mergeCell ref="N22:O22"/>
    <mergeCell ref="N23:O23"/>
    <mergeCell ref="N24:O24"/>
    <mergeCell ref="N27:O27"/>
    <mergeCell ref="N25:O25"/>
    <mergeCell ref="N26:O26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A10" workbookViewId="0">
      <selection activeCell="Q20" sqref="Q20"/>
    </sheetView>
  </sheetViews>
  <sheetFormatPr defaultRowHeight="27.75" customHeight="1"/>
  <cols>
    <col min="1" max="2" width="9" style="10"/>
    <col min="3" max="3" width="9" style="10" bestFit="1" customWidth="1"/>
    <col min="4" max="4" width="11.625" style="10" customWidth="1"/>
    <col min="5" max="5" width="11.25" style="10" bestFit="1" customWidth="1"/>
    <col min="6" max="6" width="11.625" style="10" customWidth="1"/>
    <col min="7" max="7" width="5" style="10" customWidth="1"/>
    <col min="8" max="8" width="9" style="10"/>
    <col min="9" max="9" width="11.5" style="10" customWidth="1"/>
    <col min="10" max="10" width="11.25" style="10" bestFit="1" customWidth="1"/>
    <col min="11" max="11" width="11.62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24</v>
      </c>
      <c r="D1" s="9" t="s">
        <v>0</v>
      </c>
      <c r="E1" s="97">
        <v>8</v>
      </c>
      <c r="F1" s="1"/>
      <c r="G1" s="1"/>
      <c r="H1" s="1"/>
      <c r="I1" s="1">
        <v>924</v>
      </c>
      <c r="J1" s="1"/>
      <c r="K1" s="1"/>
      <c r="L1" s="22">
        <f>+ROUND(+O5*0.584/1000,3)</f>
        <v>10.789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ROUND((+'(23)'!L2*(C1-1)+L1)/C1,3)</f>
        <v>10.487</v>
      </c>
      <c r="M2" s="18" t="s">
        <v>7</v>
      </c>
      <c r="N2" s="144" t="s">
        <v>1</v>
      </c>
      <c r="O2" s="144"/>
      <c r="P2" s="144"/>
      <c r="Q2" s="144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" si="0">+D3</f>
        <v>수량 및 금액</v>
      </c>
      <c r="J3" s="34" t="str">
        <f>+'[1](1)'!J3</f>
        <v>제   목</v>
      </c>
      <c r="K3" s="29" t="str">
        <f>F3</f>
        <v>수량 및 금액</v>
      </c>
      <c r="L3" s="21">
        <f>+L2*C1</f>
        <v>251.68799999999999</v>
      </c>
      <c r="M3" s="18" t="s">
        <v>10</v>
      </c>
      <c r="N3" s="3"/>
      <c r="O3" s="3"/>
      <c r="P3" s="145" t="str">
        <f>+'(1)'!C1&amp;"년"&amp;'(1)'!E1&amp;"월"&amp;C1&amp;"일"</f>
        <v>2023년8월24일</v>
      </c>
      <c r="Q3" s="145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10050.33</v>
      </c>
      <c r="E4" s="34" t="str">
        <f>+'[1](1)'!E4</f>
        <v>고액권</v>
      </c>
      <c r="F4" s="36">
        <v>180000</v>
      </c>
      <c r="G4" s="27"/>
      <c r="H4" s="34" t="str">
        <f>+C4</f>
        <v>판매량</v>
      </c>
      <c r="I4" s="35">
        <v>8424.1730000000007</v>
      </c>
      <c r="J4" s="42" t="str">
        <f>+'[1](1)'!J4</f>
        <v>고액권</v>
      </c>
      <c r="K4" s="36">
        <v>170000</v>
      </c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45087</v>
      </c>
      <c r="S4" s="6" t="s">
        <v>2</v>
      </c>
      <c r="T4" s="1"/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>
        <v>2000</v>
      </c>
      <c r="G5" s="27"/>
      <c r="H5" s="42" t="str">
        <f t="shared" ref="H5:H13" si="2">+C5</f>
        <v>법인전표</v>
      </c>
      <c r="I5" s="43"/>
      <c r="J5" s="42" t="str">
        <f>+'[1](1)'!J5</f>
        <v>천원권</v>
      </c>
      <c r="K5" s="44"/>
      <c r="L5" s="2"/>
      <c r="M5" s="20"/>
      <c r="N5" s="45" t="str">
        <f>+C4</f>
        <v>판매량</v>
      </c>
      <c r="O5" s="46">
        <f>SUM(D4+I4+D17+I17+D35+I35)</f>
        <v>18474.503000000001</v>
      </c>
      <c r="P5" s="47" t="str">
        <f>+E4</f>
        <v>고액권</v>
      </c>
      <c r="Q5" s="48">
        <f>SUM(F4+K4+F17+K17+F35+K35)</f>
        <v>350000</v>
      </c>
      <c r="R5" s="7">
        <v>32</v>
      </c>
      <c r="S5" s="6" t="s">
        <v>3</v>
      </c>
      <c r="T5" s="1"/>
      <c r="U5" s="1"/>
      <c r="V5" s="1"/>
    </row>
    <row r="6" spans="3:22" ht="16.5" customHeight="1">
      <c r="C6" s="83" t="str">
        <f>+'(1)'!C6</f>
        <v>외상전표</v>
      </c>
      <c r="D6" s="50">
        <v>304.15199999999999</v>
      </c>
      <c r="E6" s="105" t="str">
        <f>+'[1](1)'!E6</f>
        <v>블루/레드포인트</v>
      </c>
      <c r="F6" s="44"/>
      <c r="G6" s="27"/>
      <c r="H6" s="42" t="str">
        <f t="shared" si="2"/>
        <v>외상전표</v>
      </c>
      <c r="I6" s="50">
        <v>0</v>
      </c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2000</v>
      </c>
      <c r="R6" s="7">
        <v>3</v>
      </c>
      <c r="S6" s="6" t="s">
        <v>4</v>
      </c>
      <c r="T6" s="1"/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>
        <v>393</v>
      </c>
      <c r="G7" s="99"/>
      <c r="H7" s="83" t="str">
        <f t="shared" si="2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3">+C6</f>
        <v>외상전표</v>
      </c>
      <c r="O7" s="54">
        <f>SUM(D6+I6+D19+I19+D37+I37)</f>
        <v>304.15199999999999</v>
      </c>
      <c r="P7" s="106" t="str">
        <f t="shared" ref="P7:P14" si="4">+E6</f>
        <v>블루/레드포인트</v>
      </c>
      <c r="Q7" s="53">
        <f>SUM(F6+K6+F19+K19+F37+K37)</f>
        <v>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>
        <v>8773671</v>
      </c>
      <c r="G8" s="27"/>
      <c r="H8" s="34" t="str">
        <f t="shared" si="2"/>
        <v>자가소비</v>
      </c>
      <c r="I8" s="50"/>
      <c r="J8" s="42" t="str">
        <f>+'[1](1)'!J8</f>
        <v>신용카드</v>
      </c>
      <c r="K8" s="44">
        <v>16380732</v>
      </c>
      <c r="L8" s="2"/>
      <c r="M8" s="20"/>
      <c r="N8" s="51" t="str">
        <f t="shared" si="3"/>
        <v>효신(업)</v>
      </c>
      <c r="O8" s="52">
        <f>SUM(D7+I7+D20+I20+D38+I38)</f>
        <v>0</v>
      </c>
      <c r="P8" s="106" t="str">
        <f t="shared" si="4"/>
        <v>롯대칠성</v>
      </c>
      <c r="Q8" s="53">
        <f>SUM(F7+K7+F20+K20+F38+K38)</f>
        <v>393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/>
      <c r="G9" s="27"/>
      <c r="H9" s="42" t="str">
        <f t="shared" si="2"/>
        <v>-</v>
      </c>
      <c r="I9" s="50"/>
      <c r="J9" s="42" t="str">
        <f>+'[1](1)'!J9</f>
        <v>상품권</v>
      </c>
      <c r="K9" s="44"/>
      <c r="L9" s="2"/>
      <c r="M9" s="20"/>
      <c r="N9" s="51" t="str">
        <f t="shared" si="3"/>
        <v>자가소비</v>
      </c>
      <c r="O9" s="54">
        <f>SUM(D8+I8+D21+I21+D39+I39)</f>
        <v>0</v>
      </c>
      <c r="P9" s="51" t="str">
        <f t="shared" si="4"/>
        <v>신용카드</v>
      </c>
      <c r="Q9" s="53">
        <f>IF(K8=0,F8,IF(F21=0,K8,IF(K21=0,F21,K21)))</f>
        <v>16380732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>
        <v>104.131</v>
      </c>
      <c r="E10" s="42" t="str">
        <f>+'[1](1)'!E10</f>
        <v>OK케시백</v>
      </c>
      <c r="F10" s="44"/>
      <c r="G10" s="27"/>
      <c r="H10" s="42" t="str">
        <f t="shared" si="2"/>
        <v>고객우대</v>
      </c>
      <c r="I10" s="50">
        <v>56.027999999999999</v>
      </c>
      <c r="J10" s="42" t="str">
        <f>+'[1](1)'!J10</f>
        <v>OK케시백</v>
      </c>
      <c r="K10" s="44"/>
      <c r="L10" s="2"/>
      <c r="M10" s="20"/>
      <c r="N10" s="51" t="str">
        <f t="shared" si="3"/>
        <v>-</v>
      </c>
      <c r="O10" s="54"/>
      <c r="P10" s="51" t="str">
        <f t="shared" si="4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-3644.585</v>
      </c>
      <c r="E11" s="42" t="str">
        <f>+'[1](1)'!E11</f>
        <v>모바일</v>
      </c>
      <c r="F11" s="44">
        <v>5000</v>
      </c>
      <c r="G11" s="27"/>
      <c r="H11" s="83" t="str">
        <f t="shared" si="2"/>
        <v>-</v>
      </c>
      <c r="I11" s="55">
        <f>SUM(I10*-35)</f>
        <v>-1960.98</v>
      </c>
      <c r="J11" s="56" t="str">
        <f>+'[1](1)'!J11</f>
        <v>모바일</v>
      </c>
      <c r="K11" s="44">
        <v>5000</v>
      </c>
      <c r="L11" s="2"/>
      <c r="M11" s="20"/>
      <c r="N11" s="51" t="str">
        <f t="shared" si="3"/>
        <v>고객우대</v>
      </c>
      <c r="O11" s="54">
        <f>SUM(D10+I10+D23+I23+D41+I41)</f>
        <v>160.15899999999999</v>
      </c>
      <c r="P11" s="51" t="str">
        <f t="shared" si="4"/>
        <v>OK케시백</v>
      </c>
      <c r="Q11" s="53">
        <f>SUM(F10+K10+F23+K23+F41+K41)</f>
        <v>0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>
        <v>40716</v>
      </c>
      <c r="G12" s="27"/>
      <c r="H12" s="84" t="str">
        <f t="shared" si="2"/>
        <v>-</v>
      </c>
      <c r="I12" s="57"/>
      <c r="J12" s="29" t="str">
        <f>+'[1](1)'!J12</f>
        <v>제로페이</v>
      </c>
      <c r="K12" s="58"/>
      <c r="L12" s="2"/>
      <c r="M12" s="20"/>
      <c r="N12" s="51" t="str">
        <f t="shared" si="3"/>
        <v>-</v>
      </c>
      <c r="O12" s="55">
        <f>SUM(O11*-35)</f>
        <v>-5605.5649999999996</v>
      </c>
      <c r="P12" s="51" t="str">
        <f t="shared" si="4"/>
        <v>모바일</v>
      </c>
      <c r="Q12" s="53">
        <f>SUM(F11+K11+F24+K24+F42+K42)</f>
        <v>10000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SUM((D4-D5-D6-D7-D8-D9)*$I$1+D11)</f>
        <v>9001823.8869999982</v>
      </c>
      <c r="E13" s="29" t="str">
        <f>+'[1](1)'!E13</f>
        <v>합계</v>
      </c>
      <c r="F13" s="61">
        <f>SUM(F4:F12)</f>
        <v>9001780</v>
      </c>
      <c r="G13" s="62"/>
      <c r="H13" s="29" t="str">
        <f t="shared" si="2"/>
        <v>합계</v>
      </c>
      <c r="I13" s="60">
        <f>SUM((I4-I5-I6-I7-I8-I9)*$I$1+I11)</f>
        <v>7781974.8720000004</v>
      </c>
      <c r="J13" s="29" t="str">
        <f t="shared" ref="J13" si="5">+E13</f>
        <v>합계</v>
      </c>
      <c r="K13" s="61">
        <f>IF(K8=0,0,SUM(K4:K12)-F8)</f>
        <v>7782061</v>
      </c>
      <c r="L13" s="2"/>
      <c r="M13" s="20"/>
      <c r="N13" s="63" t="str">
        <f t="shared" si="3"/>
        <v>-</v>
      </c>
      <c r="O13" s="64"/>
      <c r="P13" s="63" t="str">
        <f t="shared" si="4"/>
        <v>제로페이</v>
      </c>
      <c r="Q13" s="65">
        <f>SUM(F12+K12+F25+K25+F43+K43)</f>
        <v>40716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-43.886999998241663</v>
      </c>
      <c r="G14" s="27"/>
      <c r="H14" s="27"/>
      <c r="I14" s="27"/>
      <c r="J14" s="27"/>
      <c r="K14" s="67">
        <f>SUM(K13-I13)</f>
        <v>86.127999999560416</v>
      </c>
      <c r="L14" s="2">
        <f>SUM(L4:L13)</f>
        <v>0</v>
      </c>
      <c r="M14" s="18" t="s">
        <v>9</v>
      </c>
      <c r="N14" s="39" t="str">
        <f t="shared" si="3"/>
        <v>합계</v>
      </c>
      <c r="O14" s="68">
        <f>SUM((O5-O6-O7-O8-O9-O10)*+E1+O12)</f>
        <v>139757.24300000002</v>
      </c>
      <c r="P14" s="39" t="str">
        <f t="shared" si="4"/>
        <v>합계</v>
      </c>
      <c r="Q14" s="69">
        <f>SUM(Q5:Q13)</f>
        <v>16783841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42.241000001318753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30" t="s">
        <v>34</v>
      </c>
      <c r="O18" s="143"/>
      <c r="P18" s="116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105" t="str">
        <f t="shared" ref="E19:E25" si="9">+E6</f>
        <v>블루/레드포인트</v>
      </c>
      <c r="F19" s="44"/>
      <c r="G19" s="27"/>
      <c r="H19" s="42" t="str">
        <f t="shared" ref="H19:H25" si="10">+C6</f>
        <v>외상전표</v>
      </c>
      <c r="I19" s="50"/>
      <c r="J19" s="105" t="str">
        <f t="shared" ref="J19:J25" si="11">+E6</f>
        <v>블루/레드포인트</v>
      </c>
      <c r="K19" s="44"/>
      <c r="L19" s="2"/>
      <c r="M19" s="1"/>
      <c r="N19" s="134" t="s">
        <v>37</v>
      </c>
      <c r="O19" s="135"/>
      <c r="P19" s="117">
        <v>6</v>
      </c>
      <c r="Q19" s="48">
        <f>SUM(P19*1000)</f>
        <v>6000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롯대칠성</v>
      </c>
      <c r="F20" s="44"/>
      <c r="G20" s="27"/>
      <c r="H20" s="42" t="str">
        <f t="shared" si="10"/>
        <v>효신(업)</v>
      </c>
      <c r="I20" s="50"/>
      <c r="J20" s="42" t="str">
        <f t="shared" si="11"/>
        <v>롯대칠성</v>
      </c>
      <c r="K20" s="44"/>
      <c r="L20" s="2"/>
      <c r="M20" s="1"/>
      <c r="N20" s="140" t="s">
        <v>38</v>
      </c>
      <c r="O20" s="141"/>
      <c r="P20" s="118">
        <v>22</v>
      </c>
      <c r="Q20" s="53">
        <f>SUM(P20*1000)</f>
        <v>22000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40" t="s">
        <v>57</v>
      </c>
      <c r="O21" s="141"/>
      <c r="P21" s="118">
        <v>4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42" t="s">
        <v>59</v>
      </c>
      <c r="O22" s="137"/>
      <c r="P22" s="118">
        <v>23</v>
      </c>
      <c r="Q22" s="53"/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36" t="s">
        <v>61</v>
      </c>
      <c r="O23" s="137"/>
      <c r="P23" s="118">
        <v>7</v>
      </c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36" t="s">
        <v>62</v>
      </c>
      <c r="O24" s="137"/>
      <c r="P24" s="118">
        <v>5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36"/>
      <c r="O25" s="137"/>
      <c r="P25" s="121"/>
      <c r="Q25" s="12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SUM((D17-D18-D19-D20-D21-D22)*$I$1+D24)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SUM((I17-I18-I19-I20-I21-I22)*$I$1+I24)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36"/>
      <c r="O26" s="137"/>
      <c r="P26" s="123"/>
      <c r="Q26" s="114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38" t="s">
        <v>39</v>
      </c>
      <c r="O27" s="139"/>
      <c r="P27" s="119">
        <f>+P28-SUM(P19:P26)</f>
        <v>1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30" t="s">
        <v>40</v>
      </c>
      <c r="O28" s="131"/>
      <c r="P28" s="120">
        <v>68</v>
      </c>
      <c r="Q28" s="69">
        <f>SUM(Q19:Q27)</f>
        <v>28000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1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2"/>
      <c r="O31" s="103">
        <v>25687</v>
      </c>
      <c r="P31" s="103">
        <v>25692</v>
      </c>
      <c r="Q31" s="104">
        <f>P31-O31</f>
        <v>5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1:O21"/>
    <mergeCell ref="N2:Q2"/>
    <mergeCell ref="P3:Q3"/>
    <mergeCell ref="N19:O19"/>
    <mergeCell ref="N20:O20"/>
    <mergeCell ref="N18:O18"/>
    <mergeCell ref="N28:O28"/>
    <mergeCell ref="N22:O22"/>
    <mergeCell ref="N23:O23"/>
    <mergeCell ref="N24:O24"/>
    <mergeCell ref="N27:O27"/>
    <mergeCell ref="N25:O25"/>
    <mergeCell ref="N26:O26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workbookViewId="0">
      <selection activeCell="K9" sqref="K9"/>
    </sheetView>
  </sheetViews>
  <sheetFormatPr defaultRowHeight="27.75" customHeight="1"/>
  <cols>
    <col min="1" max="2" width="9" style="10"/>
    <col min="3" max="3" width="9" style="10" bestFit="1" customWidth="1"/>
    <col min="4" max="4" width="11.375" style="10" customWidth="1"/>
    <col min="5" max="5" width="11.25" style="10" bestFit="1" customWidth="1"/>
    <col min="6" max="6" width="11.5" style="10" customWidth="1"/>
    <col min="7" max="7" width="5" style="10" customWidth="1"/>
    <col min="8" max="8" width="9" style="10"/>
    <col min="9" max="9" width="11.625" style="10" customWidth="1"/>
    <col min="10" max="10" width="11.25" style="10" bestFit="1" customWidth="1"/>
    <col min="11" max="11" width="11.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25</v>
      </c>
      <c r="D1" s="9" t="s">
        <v>0</v>
      </c>
      <c r="E1" s="97">
        <v>8</v>
      </c>
      <c r="F1" s="1"/>
      <c r="G1" s="1"/>
      <c r="H1" s="1"/>
      <c r="I1" s="1">
        <v>924</v>
      </c>
      <c r="J1" s="1"/>
      <c r="K1" s="1"/>
      <c r="L1" s="22">
        <f>+ROUND(+O5*0.584/1000,3)</f>
        <v>11.920999999999999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ROUND((+'(24)'!L2*(C1-1)+L1)/C1,3)</f>
        <v>10.544</v>
      </c>
      <c r="M2" s="18" t="s">
        <v>7</v>
      </c>
      <c r="N2" s="144" t="s">
        <v>1</v>
      </c>
      <c r="O2" s="144"/>
      <c r="P2" s="144"/>
      <c r="Q2" s="144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" si="0">+D3</f>
        <v>수량 및 금액</v>
      </c>
      <c r="J3" s="34" t="str">
        <f>+'[1](1)'!J3</f>
        <v>제   목</v>
      </c>
      <c r="K3" s="29" t="str">
        <f>F3</f>
        <v>수량 및 금액</v>
      </c>
      <c r="L3" s="21">
        <f>+L2*C1</f>
        <v>263.60000000000002</v>
      </c>
      <c r="M3" s="18" t="s">
        <v>10</v>
      </c>
      <c r="N3" s="3"/>
      <c r="O3" s="3"/>
      <c r="P3" s="145" t="str">
        <f>+'(1)'!C1&amp;"년"&amp;'(1)'!E1&amp;"월"&amp;C1&amp;"일"</f>
        <v>2023년8월25일</v>
      </c>
      <c r="Q3" s="145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10500.511</v>
      </c>
      <c r="E4" s="34" t="str">
        <f>+'[1](1)'!E4</f>
        <v>고액권</v>
      </c>
      <c r="F4" s="36">
        <v>180000</v>
      </c>
      <c r="G4" s="27"/>
      <c r="H4" s="34" t="str">
        <f>+C4</f>
        <v>판매량</v>
      </c>
      <c r="I4" s="35">
        <v>9912.1980000000003</v>
      </c>
      <c r="J4" s="42" t="str">
        <f>+'[1](1)'!J4</f>
        <v>고액권</v>
      </c>
      <c r="K4" s="36">
        <v>110000</v>
      </c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23446</v>
      </c>
      <c r="S4" s="6" t="s">
        <v>2</v>
      </c>
      <c r="T4" s="1"/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>
        <v>4000</v>
      </c>
      <c r="G5" s="27"/>
      <c r="H5" s="42" t="str">
        <f t="shared" ref="H5:H13" si="2">+C5</f>
        <v>법인전표</v>
      </c>
      <c r="I5" s="43"/>
      <c r="J5" s="42" t="str">
        <f>+'[1](1)'!J5</f>
        <v>천원권</v>
      </c>
      <c r="K5" s="44">
        <v>4000</v>
      </c>
      <c r="L5" s="2"/>
      <c r="M5" s="20"/>
      <c r="N5" s="45" t="str">
        <f>+C4</f>
        <v>판매량</v>
      </c>
      <c r="O5" s="46">
        <f>SUM(D4+I4+D17+I17+D35+I35)</f>
        <v>20412.709000000003</v>
      </c>
      <c r="P5" s="47" t="str">
        <f>+E4</f>
        <v>고액권</v>
      </c>
      <c r="Q5" s="48">
        <f>SUM(F4+K4+F17+K17+F35+K35)</f>
        <v>290000</v>
      </c>
      <c r="R5" s="7">
        <v>34</v>
      </c>
      <c r="S5" s="6" t="s">
        <v>3</v>
      </c>
      <c r="T5" s="1"/>
      <c r="U5" s="1"/>
      <c r="V5" s="1"/>
    </row>
    <row r="6" spans="3:22" ht="16.5" customHeight="1">
      <c r="C6" s="83" t="str">
        <f>+'(1)'!C6</f>
        <v>외상전표</v>
      </c>
      <c r="D6" s="50">
        <v>183.184</v>
      </c>
      <c r="E6" s="105" t="str">
        <f>+'[1](1)'!E6</f>
        <v>블루/레드포인트</v>
      </c>
      <c r="F6" s="44"/>
      <c r="G6" s="27"/>
      <c r="H6" s="42" t="str">
        <f t="shared" si="2"/>
        <v>외상전표</v>
      </c>
      <c r="I6" s="50">
        <v>44.058</v>
      </c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8000</v>
      </c>
      <c r="R6" s="7">
        <v>3</v>
      </c>
      <c r="S6" s="6" t="s">
        <v>4</v>
      </c>
      <c r="T6" s="1"/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/>
      <c r="G7" s="27"/>
      <c r="H7" s="83" t="str">
        <f t="shared" si="2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3">+C6</f>
        <v>외상전표</v>
      </c>
      <c r="O7" s="54">
        <f>SUM(D6+I6+D19+I19+D37+I37)</f>
        <v>227.24199999999999</v>
      </c>
      <c r="P7" s="106" t="str">
        <f t="shared" ref="P7:P14" si="4">+E6</f>
        <v>블루/레드포인트</v>
      </c>
      <c r="Q7" s="53">
        <f>SUM(F6+K6+F19+K19+F37+K37)</f>
        <v>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>
        <v>9326914</v>
      </c>
      <c r="G8" s="27"/>
      <c r="H8" s="34" t="str">
        <f t="shared" si="2"/>
        <v>자가소비</v>
      </c>
      <c r="I8" s="50"/>
      <c r="J8" s="42" t="str">
        <f>+'[1](1)'!J8</f>
        <v>신용카드</v>
      </c>
      <c r="K8" s="44">
        <v>18328135</v>
      </c>
      <c r="L8" s="2"/>
      <c r="M8" s="20"/>
      <c r="N8" s="51" t="str">
        <f t="shared" si="3"/>
        <v>효신(업)</v>
      </c>
      <c r="O8" s="52">
        <f>SUM(D7+I7+D20+I20+D38+I38)</f>
        <v>0</v>
      </c>
      <c r="P8" s="106" t="str">
        <f t="shared" si="4"/>
        <v>롯대칠성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/>
      <c r="G9" s="27"/>
      <c r="H9" s="42" t="str">
        <f t="shared" si="2"/>
        <v>-</v>
      </c>
      <c r="I9" s="50"/>
      <c r="J9" s="42" t="str">
        <f>+'[1](1)'!J9</f>
        <v>상품권</v>
      </c>
      <c r="K9" s="44"/>
      <c r="L9" s="2"/>
      <c r="M9" s="20"/>
      <c r="N9" s="51" t="str">
        <f t="shared" si="3"/>
        <v>자가소비</v>
      </c>
      <c r="O9" s="54">
        <f>SUM(D8+I8+D21+I21+D39+I39)</f>
        <v>0</v>
      </c>
      <c r="P9" s="51" t="str">
        <f t="shared" si="4"/>
        <v>신용카드</v>
      </c>
      <c r="Q9" s="53">
        <f>IF(K8=0,F8,IF(F21=0,K8,IF(K21=0,F21,K21)))</f>
        <v>18328135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>
        <v>460.36500000000001</v>
      </c>
      <c r="E10" s="42" t="str">
        <f>+'[1](1)'!E10</f>
        <v>OK케시백</v>
      </c>
      <c r="F10" s="44"/>
      <c r="G10" s="27"/>
      <c r="H10" s="42" t="str">
        <f t="shared" si="2"/>
        <v>고객우대</v>
      </c>
      <c r="I10" s="50">
        <v>96.956999999999994</v>
      </c>
      <c r="J10" s="42" t="str">
        <f>+'[1](1)'!J10</f>
        <v>OK케시백</v>
      </c>
      <c r="K10" s="44"/>
      <c r="L10" s="2"/>
      <c r="M10" s="20"/>
      <c r="N10" s="51" t="str">
        <f t="shared" si="3"/>
        <v>-</v>
      </c>
      <c r="O10" s="54"/>
      <c r="P10" s="51" t="str">
        <f t="shared" si="4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-16112.775</v>
      </c>
      <c r="E11" s="42" t="str">
        <f>+'[1](1)'!E11</f>
        <v>모바일</v>
      </c>
      <c r="F11" s="44">
        <v>5000</v>
      </c>
      <c r="G11" s="27"/>
      <c r="H11" s="83" t="str">
        <f t="shared" si="2"/>
        <v>-</v>
      </c>
      <c r="I11" s="55">
        <f>SUM(I10*-35)</f>
        <v>-3393.4949999999999</v>
      </c>
      <c r="J11" s="56" t="str">
        <f>+'[1](1)'!J11</f>
        <v>모바일</v>
      </c>
      <c r="K11" s="44"/>
      <c r="L11" s="2"/>
      <c r="M11" s="20"/>
      <c r="N11" s="51" t="str">
        <f t="shared" si="3"/>
        <v>고객우대</v>
      </c>
      <c r="O11" s="54">
        <f>SUM(D10+I10+D23+I23+D41+I41)</f>
        <v>557.322</v>
      </c>
      <c r="P11" s="51" t="str">
        <f t="shared" si="4"/>
        <v>OK케시백</v>
      </c>
      <c r="Q11" s="53">
        <f>SUM(F10+K10+F23+K23+F41+K41)</f>
        <v>0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/>
      <c r="G12" s="27"/>
      <c r="H12" s="84" t="str">
        <f t="shared" si="2"/>
        <v>-</v>
      </c>
      <c r="I12" s="57"/>
      <c r="J12" s="29" t="str">
        <f>+'[1](1)'!J12</f>
        <v>제로페이</v>
      </c>
      <c r="K12" s="58"/>
      <c r="L12" s="2"/>
      <c r="M12" s="20"/>
      <c r="N12" s="51" t="str">
        <f t="shared" si="3"/>
        <v>-</v>
      </c>
      <c r="O12" s="55">
        <f>SUM(O11*-35)</f>
        <v>-19506.27</v>
      </c>
      <c r="P12" s="51" t="str">
        <f t="shared" si="4"/>
        <v>모바일</v>
      </c>
      <c r="Q12" s="53">
        <f>SUM(F11+K11+F24+K24+F42+K42)</f>
        <v>5000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SUM((D4-D5-D6-D7-D8-D9)*$I$1+D11)</f>
        <v>9517097.3730000015</v>
      </c>
      <c r="E13" s="29" t="str">
        <f>+'[1](1)'!E13</f>
        <v>합계</v>
      </c>
      <c r="F13" s="61">
        <f>SUM(F4:F12)</f>
        <v>9515914</v>
      </c>
      <c r="G13" s="62"/>
      <c r="H13" s="29" t="str">
        <f t="shared" si="2"/>
        <v>합계</v>
      </c>
      <c r="I13" s="60">
        <f>SUM((I4-I5-I6-I7-I8-I9)*$I$1+I11)</f>
        <v>9114767.8650000002</v>
      </c>
      <c r="J13" s="29" t="str">
        <f t="shared" ref="J13" si="5">+E13</f>
        <v>합계</v>
      </c>
      <c r="K13" s="61">
        <f>IF(K8=0,0,SUM(K4:K12)-F8)</f>
        <v>9115221</v>
      </c>
      <c r="L13" s="2"/>
      <c r="M13" s="20"/>
      <c r="N13" s="63" t="str">
        <f t="shared" si="3"/>
        <v>-</v>
      </c>
      <c r="O13" s="64"/>
      <c r="P13" s="63" t="str">
        <f t="shared" si="4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-1183.3730000015348</v>
      </c>
      <c r="G14" s="27"/>
      <c r="H14" s="27"/>
      <c r="I14" s="27"/>
      <c r="J14" s="27"/>
      <c r="K14" s="67">
        <f>SUM(K13-I13)</f>
        <v>453.13499999977648</v>
      </c>
      <c r="L14" s="2">
        <f>SUM(L4:L13)</f>
        <v>0</v>
      </c>
      <c r="M14" s="18" t="s">
        <v>9</v>
      </c>
      <c r="N14" s="39" t="str">
        <f t="shared" si="3"/>
        <v>합계</v>
      </c>
      <c r="O14" s="68">
        <f>SUM((O5-O6-O7-O8-O9-O10)*+E1+O12)</f>
        <v>141977.46600000004</v>
      </c>
      <c r="P14" s="39" t="str">
        <f t="shared" si="4"/>
        <v>합계</v>
      </c>
      <c r="Q14" s="69">
        <f>SUM(Q5:Q13)</f>
        <v>18631135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-730.23800000175834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30" t="s">
        <v>34</v>
      </c>
      <c r="O18" s="143"/>
      <c r="P18" s="116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105" t="str">
        <f t="shared" ref="E19:E25" si="9">+E6</f>
        <v>블루/레드포인트</v>
      </c>
      <c r="F19" s="44"/>
      <c r="G19" s="27"/>
      <c r="H19" s="42" t="str">
        <f t="shared" ref="H19:H25" si="10">+C6</f>
        <v>외상전표</v>
      </c>
      <c r="I19" s="50"/>
      <c r="J19" s="105" t="str">
        <f t="shared" ref="J19:J25" si="11">+E6</f>
        <v>블루/레드포인트</v>
      </c>
      <c r="K19" s="44"/>
      <c r="L19" s="2"/>
      <c r="M19" s="1"/>
      <c r="N19" s="134" t="s">
        <v>37</v>
      </c>
      <c r="O19" s="135"/>
      <c r="P19" s="117">
        <v>12</v>
      </c>
      <c r="Q19" s="48">
        <f>SUM(P19*1000)</f>
        <v>12000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롯대칠성</v>
      </c>
      <c r="F20" s="44"/>
      <c r="G20" s="27"/>
      <c r="H20" s="42" t="str">
        <f t="shared" si="10"/>
        <v>효신(업)</v>
      </c>
      <c r="I20" s="50"/>
      <c r="J20" s="42" t="str">
        <f t="shared" si="11"/>
        <v>롯대칠성</v>
      </c>
      <c r="K20" s="44"/>
      <c r="L20" s="2"/>
      <c r="M20" s="1"/>
      <c r="N20" s="140" t="s">
        <v>38</v>
      </c>
      <c r="O20" s="141"/>
      <c r="P20" s="118">
        <v>74</v>
      </c>
      <c r="Q20" s="53">
        <f>SUM(P20*1000)</f>
        <v>74000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40" t="s">
        <v>57</v>
      </c>
      <c r="O21" s="141"/>
      <c r="P21" s="118">
        <v>7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42" t="s">
        <v>59</v>
      </c>
      <c r="O22" s="137"/>
      <c r="P22" s="118">
        <v>21</v>
      </c>
      <c r="Q22" s="53"/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36" t="s">
        <v>61</v>
      </c>
      <c r="O23" s="137"/>
      <c r="P23" s="118">
        <v>10</v>
      </c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36" t="s">
        <v>62</v>
      </c>
      <c r="O24" s="137"/>
      <c r="P24" s="118">
        <v>9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36"/>
      <c r="O25" s="137"/>
      <c r="P25" s="121"/>
      <c r="Q25" s="12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SUM((D17-D18-D19-D20-D21-D22)*$I$1+D24)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SUM((I17-I18-I19-I20-I21-I22)*$I$1+I24)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36"/>
      <c r="O26" s="137"/>
      <c r="P26" s="123"/>
      <c r="Q26" s="114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38" t="s">
        <v>39</v>
      </c>
      <c r="O27" s="139"/>
      <c r="P27" s="119">
        <f>+P28-SUM(P19:P26)</f>
        <v>-7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30" t="s">
        <v>40</v>
      </c>
      <c r="O28" s="131"/>
      <c r="P28" s="120">
        <v>126</v>
      </c>
      <c r="Q28" s="69">
        <f>SUM(Q19:Q27)</f>
        <v>86000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1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2"/>
      <c r="O31" s="102">
        <v>25692</v>
      </c>
      <c r="P31" s="103">
        <v>25735</v>
      </c>
      <c r="Q31" s="104">
        <f>P31-O31</f>
        <v>43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1:O21"/>
    <mergeCell ref="N2:Q2"/>
    <mergeCell ref="P3:Q3"/>
    <mergeCell ref="N19:O19"/>
    <mergeCell ref="N20:O20"/>
    <mergeCell ref="N18:O18"/>
    <mergeCell ref="N28:O28"/>
    <mergeCell ref="N22:O22"/>
    <mergeCell ref="N23:O23"/>
    <mergeCell ref="N24:O24"/>
    <mergeCell ref="N27:O27"/>
    <mergeCell ref="N25:O25"/>
    <mergeCell ref="N26:O26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workbookViewId="0">
      <selection activeCell="R5" sqref="R5"/>
    </sheetView>
  </sheetViews>
  <sheetFormatPr defaultRowHeight="27.75" customHeight="1"/>
  <cols>
    <col min="1" max="2" width="9" style="10"/>
    <col min="3" max="3" width="9" style="10" bestFit="1" customWidth="1"/>
    <col min="4" max="4" width="11.5" style="10" customWidth="1"/>
    <col min="5" max="5" width="11.25" style="10" bestFit="1" customWidth="1"/>
    <col min="6" max="6" width="11.375" style="10" customWidth="1"/>
    <col min="7" max="7" width="5" style="10" customWidth="1"/>
    <col min="8" max="8" width="9" style="10"/>
    <col min="9" max="9" width="11.5" style="10" customWidth="1"/>
    <col min="10" max="10" width="11.25" style="10" bestFit="1" customWidth="1"/>
    <col min="11" max="11" width="11.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26</v>
      </c>
      <c r="D1" s="9" t="s">
        <v>0</v>
      </c>
      <c r="E1" s="97">
        <v>8</v>
      </c>
      <c r="F1" s="1"/>
      <c r="G1" s="1"/>
      <c r="H1" s="1"/>
      <c r="I1" s="1">
        <v>924</v>
      </c>
      <c r="J1" s="1"/>
      <c r="K1" s="1"/>
      <c r="L1" s="22">
        <f>+ROUND(+O5*0.584/1000,3)</f>
        <v>9.5500000000000007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ROUND((+'(25)'!L2*(C1-1)+L1)/C1,3)</f>
        <v>10.506</v>
      </c>
      <c r="M2" s="18" t="s">
        <v>7</v>
      </c>
      <c r="N2" s="144" t="s">
        <v>1</v>
      </c>
      <c r="O2" s="144"/>
      <c r="P2" s="144"/>
      <c r="Q2" s="144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" si="0">+D3</f>
        <v>수량 및 금액</v>
      </c>
      <c r="J3" s="34" t="str">
        <f>+'[1](1)'!J3</f>
        <v>제   목</v>
      </c>
      <c r="K3" s="29" t="str">
        <f>F3</f>
        <v>수량 및 금액</v>
      </c>
      <c r="L3" s="21">
        <f>+L2*C1</f>
        <v>273.15600000000001</v>
      </c>
      <c r="M3" s="18" t="s">
        <v>10</v>
      </c>
      <c r="N3" s="3"/>
      <c r="O3" s="3"/>
      <c r="P3" s="145" t="str">
        <f>+'(1)'!C1&amp;"년"&amp;'(1)'!E1&amp;"월"&amp;C1&amp;"일"</f>
        <v>2023년8월26일</v>
      </c>
      <c r="Q3" s="145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7943.8440000000001</v>
      </c>
      <c r="E4" s="34" t="str">
        <f>+'[1](1)'!E4</f>
        <v>고액권</v>
      </c>
      <c r="F4" s="36">
        <v>130000</v>
      </c>
      <c r="G4" s="27"/>
      <c r="H4" s="34" t="str">
        <f>+C4</f>
        <v>판매량</v>
      </c>
      <c r="I4" s="35">
        <v>8408.6020000000008</v>
      </c>
      <c r="J4" s="42" t="str">
        <f>+'[1](1)'!J4</f>
        <v>고액권</v>
      </c>
      <c r="K4" s="36">
        <v>185000</v>
      </c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43342</v>
      </c>
      <c r="S4" s="6" t="s">
        <v>2</v>
      </c>
      <c r="T4" s="1"/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>
        <v>3000</v>
      </c>
      <c r="G5" s="27"/>
      <c r="H5" s="42" t="str">
        <f t="shared" ref="H5:H13" si="2">+C5</f>
        <v>법인전표</v>
      </c>
      <c r="I5" s="43"/>
      <c r="J5" s="42" t="str">
        <f>+'[1](1)'!J5</f>
        <v>천원권</v>
      </c>
      <c r="K5" s="44"/>
      <c r="L5" s="2"/>
      <c r="M5" s="20"/>
      <c r="N5" s="45" t="str">
        <f>+C4</f>
        <v>판매량</v>
      </c>
      <c r="O5" s="46">
        <f>SUM(D4+I4+D17+I17+D35+I35)</f>
        <v>16352.446</v>
      </c>
      <c r="P5" s="47" t="str">
        <f>+E4</f>
        <v>고액권</v>
      </c>
      <c r="Q5" s="48">
        <f>SUM(F4+K4+F17+K17+F35+K35)</f>
        <v>315000</v>
      </c>
      <c r="R5" s="7">
        <v>34</v>
      </c>
      <c r="S5" s="6" t="s">
        <v>3</v>
      </c>
      <c r="T5" s="1"/>
      <c r="U5" s="1"/>
      <c r="V5" s="1"/>
    </row>
    <row r="6" spans="3:22" ht="16.5" customHeight="1">
      <c r="C6" s="83" t="str">
        <f>+'(1)'!C6</f>
        <v>외상전표</v>
      </c>
      <c r="D6" s="50">
        <v>85.686000000000007</v>
      </c>
      <c r="E6" s="105" t="str">
        <f>+'[1](1)'!E6</f>
        <v>블루/레드포인트</v>
      </c>
      <c r="F6" s="44"/>
      <c r="G6" s="27"/>
      <c r="H6" s="42" t="str">
        <f t="shared" si="2"/>
        <v>외상전표</v>
      </c>
      <c r="I6" s="50"/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3000</v>
      </c>
      <c r="R6" s="7">
        <v>3</v>
      </c>
      <c r="S6" s="6" t="s">
        <v>4</v>
      </c>
      <c r="T6" s="1"/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/>
      <c r="G7" s="27"/>
      <c r="H7" s="83" t="str">
        <f t="shared" si="2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3">+C6</f>
        <v>외상전표</v>
      </c>
      <c r="O7" s="54">
        <f>SUM(D6+I6+D19+I19+D37+I37)</f>
        <v>85.686000000000007</v>
      </c>
      <c r="P7" s="106" t="str">
        <f t="shared" ref="P7:P14" si="4">+E6</f>
        <v>블루/레드포인트</v>
      </c>
      <c r="Q7" s="53">
        <f>SUM(F6+K6+F19+K19+F37+K37)</f>
        <v>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>
        <v>7075443</v>
      </c>
      <c r="G8" s="27"/>
      <c r="H8" s="34" t="str">
        <f t="shared" si="2"/>
        <v>자가소비</v>
      </c>
      <c r="I8" s="50"/>
      <c r="J8" s="42" t="str">
        <f>+'[1](1)'!J8</f>
        <v>신용카드</v>
      </c>
      <c r="K8" s="44">
        <f>F8+7584002</f>
        <v>14659445</v>
      </c>
      <c r="L8" s="2"/>
      <c r="M8" s="20"/>
      <c r="N8" s="51" t="str">
        <f t="shared" si="3"/>
        <v>효신(업)</v>
      </c>
      <c r="O8" s="52">
        <f>SUM(D7+I7+D20+I20+D38+I38)</f>
        <v>0</v>
      </c>
      <c r="P8" s="106" t="str">
        <f t="shared" si="4"/>
        <v>롯대칠성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/>
      <c r="G9" s="27"/>
      <c r="H9" s="42" t="str">
        <f t="shared" si="2"/>
        <v>-</v>
      </c>
      <c r="I9" s="50"/>
      <c r="J9" s="42" t="str">
        <f>+'[1](1)'!J9</f>
        <v>상품권</v>
      </c>
      <c r="K9" s="44"/>
      <c r="L9" s="2"/>
      <c r="M9" s="20"/>
      <c r="N9" s="51" t="str">
        <f t="shared" si="3"/>
        <v>자가소비</v>
      </c>
      <c r="O9" s="54">
        <f>SUM(D8+I8+D21+I21+D39+I39)</f>
        <v>0</v>
      </c>
      <c r="P9" s="51" t="str">
        <f t="shared" si="4"/>
        <v>신용카드</v>
      </c>
      <c r="Q9" s="53">
        <f>IF(K8=0,F8,IF(F21=0,K8,IF(K21=0,F21,K21)))</f>
        <v>14659445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>
        <v>59.814999999999998</v>
      </c>
      <c r="E10" s="42" t="str">
        <f>+'[1](1)'!E10</f>
        <v>OK케시백</v>
      </c>
      <c r="F10" s="44"/>
      <c r="G10" s="27"/>
      <c r="H10" s="42" t="str">
        <f t="shared" si="2"/>
        <v>고객우대</v>
      </c>
      <c r="I10" s="50"/>
      <c r="J10" s="42" t="str">
        <f>+'[1](1)'!J10</f>
        <v>OK케시백</v>
      </c>
      <c r="K10" s="44"/>
      <c r="L10" s="2"/>
      <c r="M10" s="20"/>
      <c r="N10" s="51" t="str">
        <f t="shared" si="3"/>
        <v>-</v>
      </c>
      <c r="O10" s="54"/>
      <c r="P10" s="51" t="str">
        <f t="shared" si="4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-2093.5250000000001</v>
      </c>
      <c r="E11" s="42" t="str">
        <f>+'[1](1)'!E11</f>
        <v>모바일</v>
      </c>
      <c r="F11" s="44">
        <v>50000</v>
      </c>
      <c r="G11" s="27"/>
      <c r="H11" s="83" t="str">
        <f t="shared" si="2"/>
        <v>-</v>
      </c>
      <c r="I11" s="55">
        <f>SUM(I10*-35)</f>
        <v>0</v>
      </c>
      <c r="J11" s="56" t="str">
        <f>+'[1](1)'!J11</f>
        <v>모바일</v>
      </c>
      <c r="K11" s="44"/>
      <c r="L11" s="2"/>
      <c r="M11" s="20"/>
      <c r="N11" s="51" t="str">
        <f t="shared" si="3"/>
        <v>고객우대</v>
      </c>
      <c r="O11" s="54">
        <f>SUM(D10+I10+D23+I23+D41+I41)</f>
        <v>59.814999999999998</v>
      </c>
      <c r="P11" s="51" t="str">
        <f t="shared" si="4"/>
        <v>OK케시백</v>
      </c>
      <c r="Q11" s="53">
        <f>SUM(F10+K10+F23+K23+F41+K41)</f>
        <v>0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/>
      <c r="G12" s="27"/>
      <c r="H12" s="84" t="str">
        <f t="shared" si="2"/>
        <v>-</v>
      </c>
      <c r="I12" s="57"/>
      <c r="J12" s="29" t="str">
        <f>+'[1](1)'!J12</f>
        <v>제로페이</v>
      </c>
      <c r="K12" s="58"/>
      <c r="L12" s="2"/>
      <c r="M12" s="20"/>
      <c r="N12" s="51" t="str">
        <f t="shared" si="3"/>
        <v>-</v>
      </c>
      <c r="O12" s="55">
        <f>SUM(O11*-35)</f>
        <v>-2093.5250000000001</v>
      </c>
      <c r="P12" s="51" t="str">
        <f t="shared" si="4"/>
        <v>모바일</v>
      </c>
      <c r="Q12" s="53">
        <f>SUM(F11+K11+F24+K24+F42+K42)</f>
        <v>50000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SUM((D4-D5-D6-D7-D8-D9)*$I$1+D11)</f>
        <v>7258844.4670000002</v>
      </c>
      <c r="E13" s="29" t="str">
        <f>+'[1](1)'!E13</f>
        <v>합계</v>
      </c>
      <c r="F13" s="61">
        <f>SUM(F4:F12)</f>
        <v>7258443</v>
      </c>
      <c r="G13" s="62"/>
      <c r="H13" s="29" t="str">
        <f t="shared" si="2"/>
        <v>합계</v>
      </c>
      <c r="I13" s="60">
        <f>SUM((I4-I5-I6-I7-I8-I9)*$I$1+I11)</f>
        <v>7769548.2480000006</v>
      </c>
      <c r="J13" s="29" t="str">
        <f t="shared" ref="J13" si="5">+E13</f>
        <v>합계</v>
      </c>
      <c r="K13" s="61">
        <f>IF(K8=0,0,SUM(K4:K12)-F8)</f>
        <v>7769002</v>
      </c>
      <c r="L13" s="2"/>
      <c r="M13" s="20"/>
      <c r="N13" s="63" t="str">
        <f t="shared" si="3"/>
        <v>-</v>
      </c>
      <c r="O13" s="64"/>
      <c r="P13" s="63" t="str">
        <f t="shared" si="4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-401.46700000017881</v>
      </c>
      <c r="G14" s="27"/>
      <c r="H14" s="27"/>
      <c r="I14" s="27"/>
      <c r="J14" s="27"/>
      <c r="K14" s="67">
        <f>SUM(K13-I13)</f>
        <v>-546.2480000006035</v>
      </c>
      <c r="L14" s="2">
        <f>SUM(L4:L13)</f>
        <v>0</v>
      </c>
      <c r="M14" s="18" t="s">
        <v>9</v>
      </c>
      <c r="N14" s="39" t="str">
        <f t="shared" si="3"/>
        <v>합계</v>
      </c>
      <c r="O14" s="68">
        <f>SUM((O5-O6-O7-O8-O9-O10)*+E1+O12)</f>
        <v>128040.55500000001</v>
      </c>
      <c r="P14" s="39" t="str">
        <f t="shared" si="4"/>
        <v>합계</v>
      </c>
      <c r="Q14" s="69">
        <f>SUM(Q5:Q13)</f>
        <v>15027445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-947.71500000078231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30" t="s">
        <v>34</v>
      </c>
      <c r="O18" s="143"/>
      <c r="P18" s="116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105" t="str">
        <f t="shared" ref="E19:E25" si="9">+E6</f>
        <v>블루/레드포인트</v>
      </c>
      <c r="F19" s="44"/>
      <c r="G19" s="27"/>
      <c r="H19" s="42" t="str">
        <f t="shared" ref="H19:H25" si="10">+C6</f>
        <v>외상전표</v>
      </c>
      <c r="I19" s="50"/>
      <c r="J19" s="105" t="str">
        <f t="shared" ref="J19:J25" si="11">+E6</f>
        <v>블루/레드포인트</v>
      </c>
      <c r="K19" s="44"/>
      <c r="L19" s="2"/>
      <c r="M19" s="1"/>
      <c r="N19" s="134" t="s">
        <v>37</v>
      </c>
      <c r="O19" s="135"/>
      <c r="P19" s="117">
        <v>7</v>
      </c>
      <c r="Q19" s="48">
        <f>SUM(P19*1000)</f>
        <v>7000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롯대칠성</v>
      </c>
      <c r="F20" s="44"/>
      <c r="G20" s="27"/>
      <c r="H20" s="42" t="str">
        <f t="shared" si="10"/>
        <v>효신(업)</v>
      </c>
      <c r="I20" s="50"/>
      <c r="J20" s="42" t="str">
        <f t="shared" si="11"/>
        <v>롯대칠성</v>
      </c>
      <c r="K20" s="44"/>
      <c r="L20" s="2"/>
      <c r="M20" s="1"/>
      <c r="N20" s="140" t="s">
        <v>38</v>
      </c>
      <c r="O20" s="141"/>
      <c r="P20" s="118">
        <v>77</v>
      </c>
      <c r="Q20" s="53">
        <f>SUM(P20*1000)</f>
        <v>77000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40" t="s">
        <v>57</v>
      </c>
      <c r="O21" s="141"/>
      <c r="P21" s="118">
        <v>5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42" t="s">
        <v>59</v>
      </c>
      <c r="O22" s="137"/>
      <c r="P22" s="118">
        <v>17</v>
      </c>
      <c r="Q22" s="53"/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36" t="s">
        <v>61</v>
      </c>
      <c r="O23" s="137"/>
      <c r="P23" s="118">
        <v>7</v>
      </c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36" t="s">
        <v>62</v>
      </c>
      <c r="O24" s="137"/>
      <c r="P24" s="118">
        <v>9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36"/>
      <c r="O25" s="137"/>
      <c r="P25" s="121"/>
      <c r="Q25" s="12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SUM((D17-D18-D19-D20-D21-D22)*$I$1+D24)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SUM((I17-I18-I19-I20-I21-I22)*$I$1+I24)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36"/>
      <c r="O26" s="137"/>
      <c r="P26" s="123"/>
      <c r="Q26" s="114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38" t="s">
        <v>39</v>
      </c>
      <c r="O27" s="139"/>
      <c r="P27" s="119">
        <f>+P28-SUM(P19:P26)</f>
        <v>-17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30" t="s">
        <v>40</v>
      </c>
      <c r="O28" s="131"/>
      <c r="P28" s="120">
        <v>105</v>
      </c>
      <c r="Q28" s="69">
        <f>SUM(Q19:Q27)</f>
        <v>84000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1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2"/>
      <c r="O31" s="102">
        <v>25735</v>
      </c>
      <c r="P31" s="103">
        <v>25778</v>
      </c>
      <c r="Q31" s="104">
        <f>P31-O31</f>
        <v>43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1:O21"/>
    <mergeCell ref="N2:Q2"/>
    <mergeCell ref="P3:Q3"/>
    <mergeCell ref="N19:O19"/>
    <mergeCell ref="N20:O20"/>
    <mergeCell ref="N18:O18"/>
    <mergeCell ref="N28:O28"/>
    <mergeCell ref="N22:O22"/>
    <mergeCell ref="N23:O23"/>
    <mergeCell ref="N24:O24"/>
    <mergeCell ref="N27:O27"/>
    <mergeCell ref="N25:O25"/>
    <mergeCell ref="N26:O26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A10" workbookViewId="0">
      <selection activeCell="P23" sqref="P23"/>
    </sheetView>
  </sheetViews>
  <sheetFormatPr defaultRowHeight="27.75" customHeight="1"/>
  <cols>
    <col min="1" max="2" width="9" style="10"/>
    <col min="3" max="3" width="9" style="10" bestFit="1" customWidth="1"/>
    <col min="4" max="4" width="11.5" style="10" customWidth="1"/>
    <col min="5" max="5" width="11.25" style="10" bestFit="1" customWidth="1"/>
    <col min="6" max="6" width="11.5" style="10" customWidth="1"/>
    <col min="7" max="7" width="5" style="10" customWidth="1"/>
    <col min="8" max="8" width="9" style="10"/>
    <col min="9" max="9" width="11.5" style="10" customWidth="1"/>
    <col min="10" max="10" width="11.25" style="10" bestFit="1" customWidth="1"/>
    <col min="11" max="11" width="11.37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27</v>
      </c>
      <c r="D1" s="9" t="s">
        <v>0</v>
      </c>
      <c r="E1" s="97">
        <v>8</v>
      </c>
      <c r="F1" s="1"/>
      <c r="G1" s="1"/>
      <c r="H1" s="1"/>
      <c r="I1" s="1">
        <v>924</v>
      </c>
      <c r="J1" s="1"/>
      <c r="K1" s="1"/>
      <c r="L1" s="22">
        <f>+ROUND(+O5*0.584/1000,3)</f>
        <v>7.1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ROUND((+'(26)'!L2*(C1-1)+L1)/C1,3)</f>
        <v>10.38</v>
      </c>
      <c r="M2" s="18" t="s">
        <v>7</v>
      </c>
      <c r="N2" s="144" t="s">
        <v>1</v>
      </c>
      <c r="O2" s="144"/>
      <c r="P2" s="144"/>
      <c r="Q2" s="144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" si="0">+D3</f>
        <v>수량 및 금액</v>
      </c>
      <c r="J3" s="34" t="str">
        <f>+'[1](1)'!J3</f>
        <v>제   목</v>
      </c>
      <c r="K3" s="29" t="str">
        <f>F3</f>
        <v>수량 및 금액</v>
      </c>
      <c r="L3" s="21">
        <f>+L2*C1</f>
        <v>280.26000000000005</v>
      </c>
      <c r="M3" s="18" t="s">
        <v>10</v>
      </c>
      <c r="N3" s="3"/>
      <c r="O3" s="3"/>
      <c r="P3" s="145" t="str">
        <f>+'(1)'!C1&amp;"년"&amp;'(1)'!E1&amp;"월"&amp;C1&amp;"일"</f>
        <v>2023년8월27일</v>
      </c>
      <c r="Q3" s="145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7202.3050000000003</v>
      </c>
      <c r="E4" s="34" t="str">
        <f>+'[1](1)'!E4</f>
        <v>고액권</v>
      </c>
      <c r="F4" s="36">
        <v>110000</v>
      </c>
      <c r="G4" s="27"/>
      <c r="H4" s="34" t="str">
        <f>+C4</f>
        <v>판매량</v>
      </c>
      <c r="I4" s="35">
        <v>4955.0720000000001</v>
      </c>
      <c r="J4" s="42" t="str">
        <f>+'[1](1)'!J4</f>
        <v>고액권</v>
      </c>
      <c r="K4" s="36">
        <v>235000</v>
      </c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30177</v>
      </c>
      <c r="S4" s="6" t="s">
        <v>2</v>
      </c>
      <c r="T4" s="1"/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>
        <v>3000</v>
      </c>
      <c r="G5" s="27"/>
      <c r="H5" s="42" t="str">
        <f t="shared" ref="H5:H13" si="2">+C5</f>
        <v>법인전표</v>
      </c>
      <c r="I5" s="43"/>
      <c r="J5" s="42" t="str">
        <f>+'[1](1)'!J5</f>
        <v>천원권</v>
      </c>
      <c r="K5" s="44">
        <v>2000</v>
      </c>
      <c r="L5" s="2"/>
      <c r="M5" s="20"/>
      <c r="N5" s="45" t="str">
        <f>+C4</f>
        <v>판매량</v>
      </c>
      <c r="O5" s="46">
        <f>SUM(D4+I4+D17+I17+D35+I35)</f>
        <v>12157.377</v>
      </c>
      <c r="P5" s="47" t="str">
        <f>+E4</f>
        <v>고액권</v>
      </c>
      <c r="Q5" s="48">
        <f>SUM(F4+K4+F17+K17+F35+K35)</f>
        <v>345000</v>
      </c>
      <c r="R5" s="7">
        <v>35</v>
      </c>
      <c r="S5" s="6" t="s">
        <v>3</v>
      </c>
      <c r="T5" s="1"/>
      <c r="U5" s="1"/>
      <c r="V5" s="1"/>
    </row>
    <row r="6" spans="3:22" ht="16.5" customHeight="1">
      <c r="C6" s="83" t="str">
        <f>+'(1)'!C6</f>
        <v>외상전표</v>
      </c>
      <c r="D6" s="50"/>
      <c r="E6" s="105" t="str">
        <f>+'[1](1)'!E6</f>
        <v>블루/레드포인트</v>
      </c>
      <c r="F6" s="44"/>
      <c r="G6" s="27"/>
      <c r="H6" s="42" t="str">
        <f t="shared" si="2"/>
        <v>외상전표</v>
      </c>
      <c r="I6" s="50">
        <v>0</v>
      </c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5000</v>
      </c>
      <c r="R6" s="7">
        <v>3</v>
      </c>
      <c r="S6" s="6" t="s">
        <v>4</v>
      </c>
      <c r="T6" s="1"/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/>
      <c r="G7" s="27"/>
      <c r="H7" s="83" t="str">
        <f t="shared" si="2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3">+C6</f>
        <v>외상전표</v>
      </c>
      <c r="O7" s="54">
        <f>SUM(D6+I6+D19+I19+D37+I37)</f>
        <v>0</v>
      </c>
      <c r="P7" s="106" t="str">
        <f t="shared" ref="P7:P14" si="4">+E6</f>
        <v>블루/레드포인트</v>
      </c>
      <c r="Q7" s="53">
        <f>SUM(F6+K6+F19+K19+F37+K37)</f>
        <v>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>
        <v>6502387</v>
      </c>
      <c r="G8" s="27"/>
      <c r="H8" s="34" t="str">
        <f t="shared" si="2"/>
        <v>자가소비</v>
      </c>
      <c r="I8" s="50"/>
      <c r="J8" s="42" t="str">
        <f>+'[1](1)'!J8</f>
        <v>신용카드</v>
      </c>
      <c r="K8" s="44">
        <v>10843210</v>
      </c>
      <c r="L8" s="2"/>
      <c r="M8" s="20"/>
      <c r="N8" s="51" t="str">
        <f t="shared" si="3"/>
        <v>효신(업)</v>
      </c>
      <c r="O8" s="52">
        <f>SUM(D7+I7+D20+I20+D38+I38)</f>
        <v>0</v>
      </c>
      <c r="P8" s="106" t="str">
        <f t="shared" si="4"/>
        <v>롯대칠성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/>
      <c r="G9" s="27"/>
      <c r="H9" s="42" t="str">
        <f t="shared" si="2"/>
        <v>-</v>
      </c>
      <c r="I9" s="50"/>
      <c r="J9" s="42" t="str">
        <f>+'[1](1)'!J9</f>
        <v>상품권</v>
      </c>
      <c r="K9" s="44"/>
      <c r="L9" s="2"/>
      <c r="M9" s="20"/>
      <c r="N9" s="51" t="str">
        <f t="shared" si="3"/>
        <v>자가소비</v>
      </c>
      <c r="O9" s="54">
        <f>SUM(D8+I8+D21+I21+D39+I39)</f>
        <v>0</v>
      </c>
      <c r="P9" s="51" t="str">
        <f t="shared" si="4"/>
        <v>신용카드</v>
      </c>
      <c r="Q9" s="53">
        <f>IF(K8=0,F8,IF(F21=0,K8,IF(K21=0,F21,K21)))</f>
        <v>10843210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/>
      <c r="E10" s="42" t="str">
        <f>+'[1](1)'!E10</f>
        <v>OK케시백</v>
      </c>
      <c r="F10" s="44">
        <v>20000</v>
      </c>
      <c r="G10" s="27"/>
      <c r="H10" s="42" t="str">
        <f t="shared" si="2"/>
        <v>고객우대</v>
      </c>
      <c r="I10" s="50">
        <v>0</v>
      </c>
      <c r="J10" s="42" t="str">
        <f>+'[1](1)'!J10</f>
        <v>OK케시백</v>
      </c>
      <c r="K10" s="44"/>
      <c r="L10" s="2"/>
      <c r="M10" s="20"/>
      <c r="N10" s="51" t="str">
        <f t="shared" si="3"/>
        <v>-</v>
      </c>
      <c r="O10" s="54"/>
      <c r="P10" s="51" t="str">
        <f t="shared" si="4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0</v>
      </c>
      <c r="E11" s="42" t="str">
        <f>+'[1](1)'!E11</f>
        <v>모바일</v>
      </c>
      <c r="F11" s="44">
        <v>20000</v>
      </c>
      <c r="G11" s="27"/>
      <c r="H11" s="83" t="str">
        <f t="shared" si="2"/>
        <v>-</v>
      </c>
      <c r="I11" s="55">
        <f>SUM(I10*-35)</f>
        <v>0</v>
      </c>
      <c r="J11" s="56" t="str">
        <f>+'[1](1)'!J11</f>
        <v>모바일</v>
      </c>
      <c r="K11" s="44"/>
      <c r="L11" s="2"/>
      <c r="M11" s="20"/>
      <c r="N11" s="51" t="str">
        <f t="shared" si="3"/>
        <v>고객우대</v>
      </c>
      <c r="O11" s="54">
        <f>SUM(D10+I10+D23+I23+D41+I41)</f>
        <v>0</v>
      </c>
      <c r="P11" s="51" t="str">
        <f t="shared" si="4"/>
        <v>OK케시백</v>
      </c>
      <c r="Q11" s="53">
        <f>SUM(F10+K10+F23+K23+F41+K41)</f>
        <v>20000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/>
      <c r="G12" s="27"/>
      <c r="H12" s="84" t="str">
        <f t="shared" si="2"/>
        <v>-</v>
      </c>
      <c r="I12" s="57"/>
      <c r="J12" s="29" t="str">
        <f>+'[1](1)'!J12</f>
        <v>제로페이</v>
      </c>
      <c r="K12" s="58"/>
      <c r="L12" s="2"/>
      <c r="M12" s="20"/>
      <c r="N12" s="51" t="str">
        <f t="shared" si="3"/>
        <v>-</v>
      </c>
      <c r="O12" s="55">
        <f>SUM(O11*-35)</f>
        <v>0</v>
      </c>
      <c r="P12" s="51" t="str">
        <f t="shared" si="4"/>
        <v>모바일</v>
      </c>
      <c r="Q12" s="53">
        <f>SUM(F11+K11+F24+K24+F42+K42)</f>
        <v>20000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SUM((D4-D5-D6-D7-D8-D9)*$I$1+D11)</f>
        <v>6654929.8200000003</v>
      </c>
      <c r="E13" s="29" t="str">
        <f>+'[1](1)'!E13</f>
        <v>합계</v>
      </c>
      <c r="F13" s="61">
        <f>SUM(F4:F12)</f>
        <v>6655387</v>
      </c>
      <c r="G13" s="62"/>
      <c r="H13" s="29" t="str">
        <f t="shared" si="2"/>
        <v>합계</v>
      </c>
      <c r="I13" s="60">
        <f>SUM((I4-I5-I6-I7-I8-I9)*$I$1+I11)</f>
        <v>4578486.5279999999</v>
      </c>
      <c r="J13" s="29" t="str">
        <f t="shared" ref="J13" si="5">+E13</f>
        <v>합계</v>
      </c>
      <c r="K13" s="61">
        <f>IF(K8=0,0,SUM(K4:K12)-F8)</f>
        <v>4577823</v>
      </c>
      <c r="L13" s="2"/>
      <c r="M13" s="20"/>
      <c r="N13" s="63" t="str">
        <f t="shared" si="3"/>
        <v>-</v>
      </c>
      <c r="O13" s="64"/>
      <c r="P13" s="63" t="str">
        <f t="shared" si="4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457.17999999970198</v>
      </c>
      <c r="G14" s="27"/>
      <c r="H14" s="27"/>
      <c r="I14" s="27"/>
      <c r="J14" s="27"/>
      <c r="K14" s="67">
        <f>SUM(K13-I13)</f>
        <v>-663.52799999993294</v>
      </c>
      <c r="L14" s="2">
        <f>SUM(L4:L13)</f>
        <v>0</v>
      </c>
      <c r="M14" s="18" t="s">
        <v>9</v>
      </c>
      <c r="N14" s="39" t="str">
        <f t="shared" si="3"/>
        <v>합계</v>
      </c>
      <c r="O14" s="68">
        <f>SUM((O5-O6-O7-O8-O9-O10)*+E1+O12)</f>
        <v>97259.016000000003</v>
      </c>
      <c r="P14" s="39" t="str">
        <f t="shared" si="4"/>
        <v>합계</v>
      </c>
      <c r="Q14" s="69">
        <f>SUM(Q5:Q13)</f>
        <v>11233210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-206.34800000023097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30" t="s">
        <v>34</v>
      </c>
      <c r="O18" s="143"/>
      <c r="P18" s="116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105" t="str">
        <f t="shared" ref="E19:E25" si="9">+E6</f>
        <v>블루/레드포인트</v>
      </c>
      <c r="F19" s="44"/>
      <c r="G19" s="27"/>
      <c r="H19" s="42" t="str">
        <f t="shared" ref="H19:H25" si="10">+C6</f>
        <v>외상전표</v>
      </c>
      <c r="I19" s="50"/>
      <c r="J19" s="105" t="str">
        <f t="shared" ref="J19:J25" si="11">+E6</f>
        <v>블루/레드포인트</v>
      </c>
      <c r="K19" s="44"/>
      <c r="L19" s="2"/>
      <c r="M19" s="1"/>
      <c r="N19" s="134" t="s">
        <v>37</v>
      </c>
      <c r="O19" s="135"/>
      <c r="P19" s="117">
        <v>2</v>
      </c>
      <c r="Q19" s="48">
        <f>SUM(P19*1000)</f>
        <v>2000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롯대칠성</v>
      </c>
      <c r="F20" s="44"/>
      <c r="G20" s="27"/>
      <c r="H20" s="42" t="str">
        <f t="shared" si="10"/>
        <v>효신(업)</v>
      </c>
      <c r="I20" s="50"/>
      <c r="J20" s="42" t="str">
        <f t="shared" si="11"/>
        <v>롯대칠성</v>
      </c>
      <c r="K20" s="44"/>
      <c r="L20" s="2"/>
      <c r="M20" s="1"/>
      <c r="N20" s="140" t="s">
        <v>38</v>
      </c>
      <c r="O20" s="141"/>
      <c r="P20" s="118">
        <v>41</v>
      </c>
      <c r="Q20" s="53">
        <f>SUM(P20*1000)</f>
        <v>41000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40" t="s">
        <v>57</v>
      </c>
      <c r="O21" s="141"/>
      <c r="P21" s="118">
        <v>2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42" t="s">
        <v>59</v>
      </c>
      <c r="O22" s="137"/>
      <c r="P22" s="118">
        <v>16</v>
      </c>
      <c r="Q22" s="53"/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36" t="s">
        <v>61</v>
      </c>
      <c r="O23" s="137"/>
      <c r="P23" s="118">
        <v>9</v>
      </c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36" t="s">
        <v>62</v>
      </c>
      <c r="O24" s="137"/>
      <c r="P24" s="118"/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36"/>
      <c r="O25" s="137"/>
      <c r="P25" s="121"/>
      <c r="Q25" s="12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SUM((D17-D18-D19-D20-D21-D22)*$I$1+D24)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SUM((I17-I18-I19-I20-I21-I22)*$I$1+I24)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36"/>
      <c r="O26" s="137"/>
      <c r="P26" s="123"/>
      <c r="Q26" s="114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38" t="s">
        <v>39</v>
      </c>
      <c r="O27" s="139"/>
      <c r="P27" s="119">
        <f>+P28-SUM(P19:P26)</f>
        <v>-70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30" t="s">
        <v>40</v>
      </c>
      <c r="O28" s="131"/>
      <c r="P28" s="120"/>
      <c r="Q28" s="69">
        <f>SUM(Q19:Q27)</f>
        <v>43000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1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2"/>
      <c r="O31" s="103">
        <v>25778</v>
      </c>
      <c r="P31" s="103">
        <v>25808</v>
      </c>
      <c r="Q31" s="104">
        <f>P31-O31</f>
        <v>30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1:O21"/>
    <mergeCell ref="N2:Q2"/>
    <mergeCell ref="P3:Q3"/>
    <mergeCell ref="N19:O19"/>
    <mergeCell ref="N20:O20"/>
    <mergeCell ref="N18:O18"/>
    <mergeCell ref="N28:O28"/>
    <mergeCell ref="N22:O22"/>
    <mergeCell ref="N23:O23"/>
    <mergeCell ref="N24:O24"/>
    <mergeCell ref="N27:O27"/>
    <mergeCell ref="N25:O25"/>
    <mergeCell ref="N26:O26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A10" workbookViewId="0">
      <selection activeCell="P31" sqref="P31"/>
    </sheetView>
  </sheetViews>
  <sheetFormatPr defaultRowHeight="27.75" customHeight="1"/>
  <cols>
    <col min="1" max="2" width="9" style="10"/>
    <col min="3" max="3" width="9" style="10" bestFit="1" customWidth="1"/>
    <col min="4" max="4" width="11.375" style="10" customWidth="1"/>
    <col min="5" max="5" width="11.25" style="10" bestFit="1" customWidth="1"/>
    <col min="6" max="6" width="11.375" style="10" customWidth="1"/>
    <col min="7" max="7" width="5" style="10" customWidth="1"/>
    <col min="8" max="8" width="9" style="10"/>
    <col min="9" max="9" width="11.375" style="10" customWidth="1"/>
    <col min="10" max="10" width="11.25" style="10" bestFit="1" customWidth="1"/>
    <col min="11" max="11" width="11.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28</v>
      </c>
      <c r="D1" s="9" t="s">
        <v>0</v>
      </c>
      <c r="E1" s="97">
        <v>8</v>
      </c>
      <c r="F1" s="1"/>
      <c r="G1" s="1"/>
      <c r="H1" s="1"/>
      <c r="I1" s="1">
        <v>924</v>
      </c>
      <c r="J1" s="1"/>
      <c r="K1" s="1"/>
      <c r="L1" s="22">
        <f>+ROUND(+O5*0.584/1000,3)</f>
        <v>10.840999999999999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ROUND((+'(27)'!L2*(C1-1)+L1)/C1,3)</f>
        <v>10.396000000000001</v>
      </c>
      <c r="M2" s="18" t="s">
        <v>7</v>
      </c>
      <c r="N2" s="144" t="s">
        <v>1</v>
      </c>
      <c r="O2" s="144"/>
      <c r="P2" s="144"/>
      <c r="Q2" s="144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" si="0">+D3</f>
        <v>수량 및 금액</v>
      </c>
      <c r="J3" s="34" t="str">
        <f>+'[1](1)'!J3</f>
        <v>제   목</v>
      </c>
      <c r="K3" s="29" t="str">
        <f>F3</f>
        <v>수량 및 금액</v>
      </c>
      <c r="L3" s="21">
        <f>+L2*C1</f>
        <v>291.08800000000002</v>
      </c>
      <c r="M3" s="18" t="s">
        <v>10</v>
      </c>
      <c r="N3" s="3"/>
      <c r="O3" s="3"/>
      <c r="P3" s="145" t="str">
        <f>+'(1)'!C1&amp;"년"&amp;'(1)'!E1&amp;"월"&amp;C1&amp;"일"</f>
        <v>2023년8월28일</v>
      </c>
      <c r="Q3" s="145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10548.205</v>
      </c>
      <c r="E4" s="34" t="str">
        <f>+'[1](1)'!E4</f>
        <v>고액권</v>
      </c>
      <c r="F4" s="36">
        <v>135000</v>
      </c>
      <c r="G4" s="27"/>
      <c r="H4" s="34" t="str">
        <f>+C4</f>
        <v>판매량</v>
      </c>
      <c r="I4" s="35">
        <v>8015.0360000000001</v>
      </c>
      <c r="J4" s="42" t="str">
        <f>+'[1](1)'!J4</f>
        <v>고액권</v>
      </c>
      <c r="K4" s="36">
        <v>80000</v>
      </c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46869</v>
      </c>
      <c r="S4" s="6" t="s">
        <v>2</v>
      </c>
      <c r="T4" s="1"/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>
        <v>1000</v>
      </c>
      <c r="G5" s="27"/>
      <c r="H5" s="42" t="str">
        <f t="shared" ref="H5:H13" si="2">+C5</f>
        <v>법인전표</v>
      </c>
      <c r="I5" s="43"/>
      <c r="J5" s="42" t="str">
        <f>+'[1](1)'!J5</f>
        <v>천원권</v>
      </c>
      <c r="K5" s="44">
        <v>3000</v>
      </c>
      <c r="L5" s="2"/>
      <c r="M5" s="20"/>
      <c r="N5" s="45" t="str">
        <f>+C4</f>
        <v>판매량</v>
      </c>
      <c r="O5" s="46">
        <f>SUM(D4+I4+D17+I17+D35+I35)</f>
        <v>18563.241000000002</v>
      </c>
      <c r="P5" s="47" t="str">
        <f>+E4</f>
        <v>고액권</v>
      </c>
      <c r="Q5" s="48">
        <f>SUM(F4+K4+F17+K17+F35+K35)</f>
        <v>215000</v>
      </c>
      <c r="R5" s="7">
        <v>30</v>
      </c>
      <c r="S5" s="6" t="s">
        <v>3</v>
      </c>
      <c r="T5" s="1"/>
      <c r="U5" s="1"/>
      <c r="V5" s="1"/>
    </row>
    <row r="6" spans="3:22" ht="16.5" customHeight="1">
      <c r="C6" s="83" t="str">
        <f>+'(1)'!C6</f>
        <v>외상전표</v>
      </c>
      <c r="D6" s="50">
        <v>239.69</v>
      </c>
      <c r="E6" s="105" t="str">
        <f>+'[1](1)'!E6</f>
        <v>블루/레드포인트</v>
      </c>
      <c r="F6" s="44"/>
      <c r="G6" s="27"/>
      <c r="H6" s="42" t="str">
        <f t="shared" si="2"/>
        <v>외상전표</v>
      </c>
      <c r="I6" s="50"/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4000</v>
      </c>
      <c r="R6" s="7">
        <v>2.6</v>
      </c>
      <c r="S6" s="6" t="s">
        <v>4</v>
      </c>
      <c r="T6" s="1"/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/>
      <c r="G7" s="27"/>
      <c r="H7" s="83" t="str">
        <f t="shared" si="2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3">+C6</f>
        <v>외상전표</v>
      </c>
      <c r="O7" s="54">
        <f>SUM(D6+I6+D19+I19+D37+I37)</f>
        <v>239.69</v>
      </c>
      <c r="P7" s="106" t="str">
        <f t="shared" ref="P7:P14" si="4">+E6</f>
        <v>블루/레드포인트</v>
      </c>
      <c r="Q7" s="53">
        <f>SUM(F6+K6+F19+K19+F37+K37)</f>
        <v>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>
        <v>9349835</v>
      </c>
      <c r="G8" s="27"/>
      <c r="H8" s="34" t="str">
        <f t="shared" si="2"/>
        <v>자가소비</v>
      </c>
      <c r="I8" s="50"/>
      <c r="J8" s="42" t="str">
        <f>+'[1](1)'!J8</f>
        <v>신용카드</v>
      </c>
      <c r="K8" s="44">
        <v>16617671</v>
      </c>
      <c r="L8" s="2"/>
      <c r="M8" s="20"/>
      <c r="N8" s="51" t="str">
        <f t="shared" si="3"/>
        <v>효신(업)</v>
      </c>
      <c r="O8" s="52">
        <f>SUM(D7+I7+D20+I20+D38+I38)</f>
        <v>0</v>
      </c>
      <c r="P8" s="106" t="str">
        <f t="shared" si="4"/>
        <v>롯대칠성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/>
      <c r="G9" s="27"/>
      <c r="H9" s="42" t="str">
        <f t="shared" si="2"/>
        <v>-</v>
      </c>
      <c r="I9" s="50"/>
      <c r="J9" s="42" t="str">
        <f>+'[1](1)'!J9</f>
        <v>상품권</v>
      </c>
      <c r="K9" s="44">
        <v>50000</v>
      </c>
      <c r="L9" s="2"/>
      <c r="M9" s="20"/>
      <c r="N9" s="51" t="str">
        <f t="shared" si="3"/>
        <v>자가소비</v>
      </c>
      <c r="O9" s="54">
        <f>SUM(D8+I8+D21+I21+D39+I39)</f>
        <v>0</v>
      </c>
      <c r="P9" s="51" t="str">
        <f t="shared" si="4"/>
        <v>신용카드</v>
      </c>
      <c r="Q9" s="53">
        <f>IF(K8=0,F8,IF(F21=0,K8,IF(K21=0,F21,K21)))</f>
        <v>16617671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>
        <v>216.65199999999999</v>
      </c>
      <c r="E10" s="42" t="str">
        <f>+'[1](1)'!E10</f>
        <v>OK케시백</v>
      </c>
      <c r="F10" s="44">
        <v>2000</v>
      </c>
      <c r="G10" s="27"/>
      <c r="H10" s="42" t="str">
        <f t="shared" si="2"/>
        <v>고객우대</v>
      </c>
      <c r="I10" s="50">
        <v>54.19</v>
      </c>
      <c r="J10" s="42" t="str">
        <f>+'[1](1)'!J10</f>
        <v>OK케시백</v>
      </c>
      <c r="K10" s="44">
        <v>2000</v>
      </c>
      <c r="L10" s="2"/>
      <c r="M10" s="20"/>
      <c r="N10" s="51" t="str">
        <f t="shared" si="3"/>
        <v>-</v>
      </c>
      <c r="O10" s="54"/>
      <c r="P10" s="51" t="str">
        <f t="shared" si="4"/>
        <v>상품권</v>
      </c>
      <c r="Q10" s="53">
        <f>SUM(F9+K9+F22+K22+F40+K40)</f>
        <v>50000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-7582.82</v>
      </c>
      <c r="E11" s="42" t="str">
        <f>+'[1](1)'!E11</f>
        <v>모바일</v>
      </c>
      <c r="F11" s="44">
        <v>30000</v>
      </c>
      <c r="G11" s="27"/>
      <c r="H11" s="83" t="str">
        <f t="shared" si="2"/>
        <v>-</v>
      </c>
      <c r="I11" s="55">
        <f>SUM(I10*-35)</f>
        <v>-1896.6499999999999</v>
      </c>
      <c r="J11" s="56" t="str">
        <f>+'[1](1)'!J11</f>
        <v>모바일</v>
      </c>
      <c r="K11" s="44"/>
      <c r="L11" s="2"/>
      <c r="M11" s="20"/>
      <c r="N11" s="51" t="str">
        <f t="shared" si="3"/>
        <v>고객우대</v>
      </c>
      <c r="O11" s="54">
        <f>SUM(D10+I10+D23+I23+D41+I41)</f>
        <v>270.84199999999998</v>
      </c>
      <c r="P11" s="51" t="str">
        <f t="shared" si="4"/>
        <v>OK케시백</v>
      </c>
      <c r="Q11" s="53">
        <f>SUM(F10+K10+F23+K23+F41+K41)</f>
        <v>4000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/>
      <c r="G12" s="27"/>
      <c r="H12" s="84" t="str">
        <f t="shared" si="2"/>
        <v>-</v>
      </c>
      <c r="I12" s="57"/>
      <c r="J12" s="29" t="str">
        <f>+'[1](1)'!J12</f>
        <v>제로페이</v>
      </c>
      <c r="K12" s="58"/>
      <c r="L12" s="2"/>
      <c r="M12" s="20"/>
      <c r="N12" s="51" t="str">
        <f t="shared" si="3"/>
        <v>-</v>
      </c>
      <c r="O12" s="55">
        <f>SUM(O11*-35)</f>
        <v>-9479.4699999999993</v>
      </c>
      <c r="P12" s="51" t="str">
        <f t="shared" si="4"/>
        <v>모바일</v>
      </c>
      <c r="Q12" s="53">
        <f>SUM(F11+K11+F24+K24+F42+K42)</f>
        <v>30000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SUM((D4-D5-D6-D7-D8-D9)*$I$1+D11)</f>
        <v>9517485.0399999991</v>
      </c>
      <c r="E13" s="29" t="str">
        <f>+'[1](1)'!E13</f>
        <v>합계</v>
      </c>
      <c r="F13" s="61">
        <f>SUM(F4:F12)</f>
        <v>9517835</v>
      </c>
      <c r="G13" s="62"/>
      <c r="H13" s="29" t="str">
        <f t="shared" si="2"/>
        <v>합계</v>
      </c>
      <c r="I13" s="60">
        <f>SUM((I4-I5-I6-I7-I8-I9)*$I$1+I11)</f>
        <v>7403996.6140000001</v>
      </c>
      <c r="J13" s="29" t="str">
        <f t="shared" ref="J13" si="5">+E13</f>
        <v>합계</v>
      </c>
      <c r="K13" s="61">
        <f>IF(K8=0,0,SUM(K4:K12)-F8)</f>
        <v>7402836</v>
      </c>
      <c r="L13" s="2"/>
      <c r="M13" s="20"/>
      <c r="N13" s="63" t="str">
        <f t="shared" si="3"/>
        <v>-</v>
      </c>
      <c r="O13" s="64"/>
      <c r="P13" s="63" t="str">
        <f t="shared" si="4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349.96000000089407</v>
      </c>
      <c r="G14" s="27"/>
      <c r="H14" s="27"/>
      <c r="I14" s="27"/>
      <c r="J14" s="27"/>
      <c r="K14" s="67">
        <f>SUM(K13-I13)</f>
        <v>-1160.6140000000596</v>
      </c>
      <c r="L14" s="2">
        <f>SUM(L4:L13)</f>
        <v>0</v>
      </c>
      <c r="M14" s="18" t="s">
        <v>9</v>
      </c>
      <c r="N14" s="39" t="str">
        <f t="shared" si="3"/>
        <v>합계</v>
      </c>
      <c r="O14" s="68">
        <f>SUM((O5-O6-O7-O8-O9-O10)*+E1+O12)</f>
        <v>137108.93800000002</v>
      </c>
      <c r="P14" s="39" t="str">
        <f t="shared" si="4"/>
        <v>합계</v>
      </c>
      <c r="Q14" s="69">
        <f>SUM(Q5:Q13)</f>
        <v>16920671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-810.65399999916553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30" t="s">
        <v>34</v>
      </c>
      <c r="O18" s="143"/>
      <c r="P18" s="116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105" t="str">
        <f t="shared" ref="E19:E25" si="9">+E6</f>
        <v>블루/레드포인트</v>
      </c>
      <c r="F19" s="44"/>
      <c r="G19" s="27"/>
      <c r="H19" s="42" t="str">
        <f t="shared" ref="H19:H25" si="10">+C6</f>
        <v>외상전표</v>
      </c>
      <c r="I19" s="50"/>
      <c r="J19" s="105" t="str">
        <f t="shared" ref="J19:J25" si="11">+E6</f>
        <v>블루/레드포인트</v>
      </c>
      <c r="K19" s="44"/>
      <c r="L19" s="2"/>
      <c r="M19" s="1"/>
      <c r="N19" s="134" t="s">
        <v>37</v>
      </c>
      <c r="O19" s="135"/>
      <c r="P19" s="117"/>
      <c r="Q19" s="48">
        <f>SUM(P19*1000)</f>
        <v>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롯대칠성</v>
      </c>
      <c r="F20" s="44"/>
      <c r="G20" s="27"/>
      <c r="H20" s="42" t="str">
        <f t="shared" si="10"/>
        <v>효신(업)</v>
      </c>
      <c r="I20" s="50"/>
      <c r="J20" s="42" t="str">
        <f t="shared" si="11"/>
        <v>롯대칠성</v>
      </c>
      <c r="K20" s="44"/>
      <c r="L20" s="2"/>
      <c r="M20" s="1"/>
      <c r="N20" s="140" t="s">
        <v>38</v>
      </c>
      <c r="O20" s="141"/>
      <c r="P20" s="118"/>
      <c r="Q20" s="53">
        <f>SUM(P20*1000)</f>
        <v>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40" t="s">
        <v>57</v>
      </c>
      <c r="O21" s="141"/>
      <c r="P21" s="118"/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42" t="s">
        <v>59</v>
      </c>
      <c r="O22" s="137"/>
      <c r="P22" s="118"/>
      <c r="Q22" s="53"/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36" t="s">
        <v>61</v>
      </c>
      <c r="O23" s="137"/>
      <c r="P23" s="118"/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36" t="s">
        <v>62</v>
      </c>
      <c r="O24" s="137"/>
      <c r="P24" s="118"/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36"/>
      <c r="O25" s="137"/>
      <c r="P25" s="121"/>
      <c r="Q25" s="12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SUM((D17-D18-D19-D20-D21-D22)*$I$1+D24)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SUM((I17-I18-I19-I20-I21-I22)*$I$1+I24)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36"/>
      <c r="O26" s="137"/>
      <c r="P26" s="123"/>
      <c r="Q26" s="114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38" t="s">
        <v>39</v>
      </c>
      <c r="O27" s="139"/>
      <c r="P27" s="119">
        <f>+P28-SUM(P19:P26)</f>
        <v>0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30" t="s">
        <v>40</v>
      </c>
      <c r="O28" s="131"/>
      <c r="P28" s="120"/>
      <c r="Q28" s="69">
        <f>SUM(Q19:Q27)</f>
        <v>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1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2"/>
      <c r="O31" s="103">
        <v>25808</v>
      </c>
      <c r="P31" s="103">
        <v>25808</v>
      </c>
      <c r="Q31" s="104">
        <f>P31-O31</f>
        <v>0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1:O21"/>
    <mergeCell ref="N2:Q2"/>
    <mergeCell ref="P3:Q3"/>
    <mergeCell ref="N19:O19"/>
    <mergeCell ref="N20:O20"/>
    <mergeCell ref="N18:O18"/>
    <mergeCell ref="N28:O28"/>
    <mergeCell ref="N22:O22"/>
    <mergeCell ref="N23:O23"/>
    <mergeCell ref="N24:O24"/>
    <mergeCell ref="N27:O27"/>
    <mergeCell ref="N25:O25"/>
    <mergeCell ref="N26:O26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A10" workbookViewId="0">
      <selection activeCell="P31" sqref="P31"/>
    </sheetView>
  </sheetViews>
  <sheetFormatPr defaultRowHeight="27.75" customHeight="1"/>
  <cols>
    <col min="1" max="2" width="9" style="10"/>
    <col min="3" max="3" width="9" style="10" bestFit="1" customWidth="1"/>
    <col min="4" max="4" width="11.5" style="10" customWidth="1"/>
    <col min="5" max="5" width="11.25" style="10" bestFit="1" customWidth="1"/>
    <col min="6" max="6" width="11.5" style="10" customWidth="1"/>
    <col min="7" max="7" width="5" style="10" customWidth="1"/>
    <col min="8" max="8" width="9" style="10"/>
    <col min="9" max="9" width="11.5" style="10" customWidth="1"/>
    <col min="10" max="10" width="11.25" style="10" bestFit="1" customWidth="1"/>
    <col min="11" max="11" width="11.37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29</v>
      </c>
      <c r="D1" s="9" t="s">
        <v>0</v>
      </c>
      <c r="E1" s="97">
        <v>8</v>
      </c>
      <c r="F1" s="1"/>
      <c r="G1" s="1"/>
      <c r="H1" s="1"/>
      <c r="I1" s="1">
        <v>924</v>
      </c>
      <c r="J1" s="1"/>
      <c r="K1" s="1"/>
      <c r="L1" s="22">
        <f>+ROUND(+O5*0.584/1000,3)</f>
        <v>10.698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ROUND((+'(28)'!L2*(C1-1)+L1)/C1,3)</f>
        <v>10.406000000000001</v>
      </c>
      <c r="M2" s="18" t="s">
        <v>7</v>
      </c>
      <c r="N2" s="144" t="s">
        <v>1</v>
      </c>
      <c r="O2" s="144"/>
      <c r="P2" s="144"/>
      <c r="Q2" s="144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" si="0">+D3</f>
        <v>수량 및 금액</v>
      </c>
      <c r="J3" s="34" t="str">
        <f>+'[1](1)'!J3</f>
        <v>제   목</v>
      </c>
      <c r="K3" s="29" t="str">
        <f>F3</f>
        <v>수량 및 금액</v>
      </c>
      <c r="L3" s="21">
        <f>+L2*C1</f>
        <v>301.774</v>
      </c>
      <c r="M3" s="18" t="s">
        <v>10</v>
      </c>
      <c r="N3" s="3"/>
      <c r="O3" s="3"/>
      <c r="P3" s="145" t="str">
        <f>+'(1)'!C1&amp;"년"&amp;'(1)'!E1&amp;"월"&amp;C1&amp;"일"</f>
        <v>2023년8월29일</v>
      </c>
      <c r="Q3" s="145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9879.4069999999992</v>
      </c>
      <c r="E4" s="34" t="str">
        <f>+'[1](1)'!E4</f>
        <v>고액권</v>
      </c>
      <c r="F4" s="36">
        <v>115000</v>
      </c>
      <c r="G4" s="27"/>
      <c r="H4" s="34" t="str">
        <f>+C4</f>
        <v>판매량</v>
      </c>
      <c r="I4" s="35">
        <v>8438.2810000000009</v>
      </c>
      <c r="J4" s="42" t="str">
        <f>+'[1](1)'!J4</f>
        <v>고액권</v>
      </c>
      <c r="K4" s="36">
        <v>135000</v>
      </c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27893</v>
      </c>
      <c r="S4" s="6" t="s">
        <v>2</v>
      </c>
      <c r="T4" s="1"/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/>
      <c r="G5" s="27"/>
      <c r="H5" s="42" t="str">
        <f t="shared" ref="H5:H13" si="2">+C5</f>
        <v>법인전표</v>
      </c>
      <c r="I5" s="43"/>
      <c r="J5" s="42" t="str">
        <f>+'[1](1)'!J5</f>
        <v>천원권</v>
      </c>
      <c r="K5" s="44">
        <v>1000</v>
      </c>
      <c r="L5" s="2"/>
      <c r="M5" s="20"/>
      <c r="N5" s="45" t="str">
        <f>+C4</f>
        <v>판매량</v>
      </c>
      <c r="O5" s="46">
        <f>SUM(D4+I4+D17+I17+D35+I35)</f>
        <v>18317.688000000002</v>
      </c>
      <c r="P5" s="47" t="str">
        <f>+E4</f>
        <v>고액권</v>
      </c>
      <c r="Q5" s="48">
        <f>SUM(F4+K4+F17+K17+F35+K35)</f>
        <v>250000</v>
      </c>
      <c r="R5" s="7">
        <v>32</v>
      </c>
      <c r="S5" s="6" t="s">
        <v>3</v>
      </c>
      <c r="T5" s="1"/>
      <c r="U5" s="1"/>
      <c r="V5" s="1"/>
    </row>
    <row r="6" spans="3:22" ht="16.5" customHeight="1">
      <c r="C6" s="83" t="str">
        <f>+'(1)'!C6</f>
        <v>외상전표</v>
      </c>
      <c r="D6" s="50">
        <v>318.16399999999999</v>
      </c>
      <c r="E6" s="105" t="str">
        <f>+'[1](1)'!E6</f>
        <v>블루/레드포인트</v>
      </c>
      <c r="F6" s="44"/>
      <c r="G6" s="27"/>
      <c r="H6" s="42" t="str">
        <f t="shared" si="2"/>
        <v>외상전표</v>
      </c>
      <c r="I6" s="50">
        <v>25.765000000000001</v>
      </c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1000</v>
      </c>
      <c r="R6" s="7">
        <v>2.7</v>
      </c>
      <c r="S6" s="6" t="s">
        <v>4</v>
      </c>
      <c r="T6" s="1"/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/>
      <c r="G7" s="27"/>
      <c r="H7" s="83" t="str">
        <f t="shared" si="2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3">+C6</f>
        <v>외상전표</v>
      </c>
      <c r="O7" s="54">
        <f>SUM(D6+I6+D19+I19+D37+I37)</f>
        <v>343.92899999999997</v>
      </c>
      <c r="P7" s="106" t="str">
        <f t="shared" ref="P7:P14" si="4">+E6</f>
        <v>블루/레드포인트</v>
      </c>
      <c r="Q7" s="53">
        <f>SUM(F6+K6+F19+K19+F37+K37)</f>
        <v>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>
        <v>8709340</v>
      </c>
      <c r="G8" s="27"/>
      <c r="H8" s="34" t="str">
        <f t="shared" si="2"/>
        <v>자가소비</v>
      </c>
      <c r="I8" s="50"/>
      <c r="J8" s="42" t="str">
        <f>+'[1](1)'!J8</f>
        <v>신용카드</v>
      </c>
      <c r="K8" s="44">
        <v>16346329</v>
      </c>
      <c r="L8" s="2"/>
      <c r="M8" s="20"/>
      <c r="N8" s="51" t="str">
        <f t="shared" si="3"/>
        <v>효신(업)</v>
      </c>
      <c r="O8" s="52">
        <f>SUM(D7+I7+D20+I20+D38+I38)</f>
        <v>0</v>
      </c>
      <c r="P8" s="106" t="str">
        <f t="shared" si="4"/>
        <v>롯대칠성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/>
      <c r="G9" s="27"/>
      <c r="H9" s="42" t="str">
        <f t="shared" si="2"/>
        <v>-</v>
      </c>
      <c r="I9" s="50"/>
      <c r="J9" s="42" t="str">
        <f>+'[1](1)'!J9</f>
        <v>상품권</v>
      </c>
      <c r="K9" s="44"/>
      <c r="L9" s="2"/>
      <c r="M9" s="20"/>
      <c r="N9" s="51" t="str">
        <f t="shared" si="3"/>
        <v>자가소비</v>
      </c>
      <c r="O9" s="54">
        <f>SUM(D8+I8+D21+I21+D39+I39)</f>
        <v>0</v>
      </c>
      <c r="P9" s="51" t="str">
        <f t="shared" si="4"/>
        <v>신용카드</v>
      </c>
      <c r="Q9" s="53">
        <f>IF(K8=0,F8,IF(F21=0,K8,IF(K21=0,F21,K21)))</f>
        <v>16346329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>
        <v>231.72</v>
      </c>
      <c r="E10" s="42" t="str">
        <f>+'[1](1)'!E10</f>
        <v>OK케시백</v>
      </c>
      <c r="F10" s="44">
        <v>2000</v>
      </c>
      <c r="G10" s="27"/>
      <c r="H10" s="42" t="str">
        <f t="shared" si="2"/>
        <v>고객우대</v>
      </c>
      <c r="I10" s="50">
        <v>0</v>
      </c>
      <c r="J10" s="42" t="str">
        <f>+'[1](1)'!J10</f>
        <v>OK케시백</v>
      </c>
      <c r="K10" s="44"/>
      <c r="L10" s="2"/>
      <c r="M10" s="20"/>
      <c r="N10" s="51" t="str">
        <f t="shared" si="3"/>
        <v>-</v>
      </c>
      <c r="O10" s="54"/>
      <c r="P10" s="51" t="str">
        <f t="shared" si="4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-8110.2</v>
      </c>
      <c r="E11" s="42" t="str">
        <f>+'[1](1)'!E11</f>
        <v>모바일</v>
      </c>
      <c r="F11" s="44"/>
      <c r="G11" s="27"/>
      <c r="H11" s="83" t="str">
        <f t="shared" si="2"/>
        <v>-</v>
      </c>
      <c r="I11" s="55">
        <f>SUM(I10*-35)</f>
        <v>0</v>
      </c>
      <c r="J11" s="56" t="str">
        <f>+'[1](1)'!J11</f>
        <v>모바일</v>
      </c>
      <c r="K11" s="44"/>
      <c r="L11" s="2"/>
      <c r="M11" s="20"/>
      <c r="N11" s="51" t="str">
        <f t="shared" si="3"/>
        <v>고객우대</v>
      </c>
      <c r="O11" s="54">
        <f>SUM(D10+I10+D23+I23+D41+I41)</f>
        <v>231.72</v>
      </c>
      <c r="P11" s="51" t="str">
        <f t="shared" si="4"/>
        <v>OK케시백</v>
      </c>
      <c r="Q11" s="53">
        <f>SUM(F10+K10+F23+K23+F41+K41)</f>
        <v>2000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/>
      <c r="G12" s="27"/>
      <c r="H12" s="84" t="str">
        <f t="shared" si="2"/>
        <v>-</v>
      </c>
      <c r="I12" s="57"/>
      <c r="J12" s="29" t="str">
        <f>+'[1](1)'!J12</f>
        <v>제로페이</v>
      </c>
      <c r="K12" s="58"/>
      <c r="L12" s="2"/>
      <c r="M12" s="20"/>
      <c r="N12" s="51" t="str">
        <f t="shared" si="3"/>
        <v>-</v>
      </c>
      <c r="O12" s="55">
        <f>SUM(O11*-35)</f>
        <v>-8110.2</v>
      </c>
      <c r="P12" s="51" t="str">
        <f t="shared" si="4"/>
        <v>모바일</v>
      </c>
      <c r="Q12" s="53">
        <f>SUM(F11+K11+F24+K24+F42+K42)</f>
        <v>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SUM((D4-D5-D6-D7-D8-D9)*$I$1+D11)</f>
        <v>8826478.3319999985</v>
      </c>
      <c r="E13" s="29" t="str">
        <f>+'[1](1)'!E13</f>
        <v>합계</v>
      </c>
      <c r="F13" s="61">
        <f>SUM(F4:F12)</f>
        <v>8826340</v>
      </c>
      <c r="G13" s="62"/>
      <c r="H13" s="29" t="str">
        <f t="shared" si="2"/>
        <v>합계</v>
      </c>
      <c r="I13" s="60">
        <f>SUM((I4-I5-I6-I7-I8-I9)*$I$1+I11)</f>
        <v>7773164.7840000009</v>
      </c>
      <c r="J13" s="29" t="str">
        <f t="shared" ref="J13" si="5">+E13</f>
        <v>합계</v>
      </c>
      <c r="K13" s="61">
        <f>IF(K8=0,0,SUM(K4:K12)-F8)</f>
        <v>7772989</v>
      </c>
      <c r="L13" s="2"/>
      <c r="M13" s="20"/>
      <c r="N13" s="63" t="str">
        <f t="shared" si="3"/>
        <v>-</v>
      </c>
      <c r="O13" s="64"/>
      <c r="P13" s="63" t="str">
        <f t="shared" si="4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-138.33199999853969</v>
      </c>
      <c r="G14" s="27"/>
      <c r="H14" s="27"/>
      <c r="I14" s="27"/>
      <c r="J14" s="27"/>
      <c r="K14" s="67">
        <f>SUM(K13-I13)</f>
        <v>-175.78400000091642</v>
      </c>
      <c r="L14" s="2">
        <f>SUM(L4:L13)</f>
        <v>0</v>
      </c>
      <c r="M14" s="18" t="s">
        <v>9</v>
      </c>
      <c r="N14" s="39" t="str">
        <f t="shared" si="3"/>
        <v>합계</v>
      </c>
      <c r="O14" s="68">
        <f>SUM((O5-O6-O7-O8-O9-O10)*+E1+O12)</f>
        <v>135679.872</v>
      </c>
      <c r="P14" s="39" t="str">
        <f t="shared" si="4"/>
        <v>합계</v>
      </c>
      <c r="Q14" s="69">
        <f>SUM(Q5:Q13)</f>
        <v>16599329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-314.11599999945611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30" t="s">
        <v>34</v>
      </c>
      <c r="O18" s="143"/>
      <c r="P18" s="116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105" t="str">
        <f t="shared" ref="E19:E25" si="9">+E6</f>
        <v>블루/레드포인트</v>
      </c>
      <c r="F19" s="44"/>
      <c r="G19" s="27"/>
      <c r="H19" s="42" t="str">
        <f t="shared" ref="H19:H25" si="10">+C6</f>
        <v>외상전표</v>
      </c>
      <c r="I19" s="50"/>
      <c r="J19" s="105" t="str">
        <f t="shared" ref="J19:J25" si="11">+E6</f>
        <v>블루/레드포인트</v>
      </c>
      <c r="K19" s="44"/>
      <c r="L19" s="2"/>
      <c r="M19" s="1"/>
      <c r="N19" s="134" t="s">
        <v>37</v>
      </c>
      <c r="O19" s="135"/>
      <c r="P19" s="117"/>
      <c r="Q19" s="48">
        <f>SUM(P19*1000)</f>
        <v>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롯대칠성</v>
      </c>
      <c r="F20" s="44"/>
      <c r="G20" s="27"/>
      <c r="H20" s="42" t="str">
        <f t="shared" si="10"/>
        <v>효신(업)</v>
      </c>
      <c r="I20" s="50"/>
      <c r="J20" s="42" t="str">
        <f t="shared" si="11"/>
        <v>롯대칠성</v>
      </c>
      <c r="K20" s="44"/>
      <c r="L20" s="2"/>
      <c r="M20" s="1"/>
      <c r="N20" s="140" t="s">
        <v>38</v>
      </c>
      <c r="O20" s="141"/>
      <c r="P20" s="118"/>
      <c r="Q20" s="53">
        <f>SUM(P20*1000)</f>
        <v>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40" t="s">
        <v>57</v>
      </c>
      <c r="O21" s="141"/>
      <c r="P21" s="118"/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42" t="s">
        <v>59</v>
      </c>
      <c r="O22" s="137"/>
      <c r="P22" s="118"/>
      <c r="Q22" s="53"/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36" t="s">
        <v>61</v>
      </c>
      <c r="O23" s="137"/>
      <c r="P23" s="118"/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36" t="s">
        <v>62</v>
      </c>
      <c r="O24" s="137"/>
      <c r="P24" s="118"/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36"/>
      <c r="O25" s="137"/>
      <c r="P25" s="121"/>
      <c r="Q25" s="12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SUM((D17-D18-D19-D20-D21-D22)*$I$1+D24)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SUM((I17-I18-I19-I20-I21-I22)*$I$1+I24)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36"/>
      <c r="O26" s="137"/>
      <c r="P26" s="123"/>
      <c r="Q26" s="114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38" t="s">
        <v>39</v>
      </c>
      <c r="O27" s="139"/>
      <c r="P27" s="119">
        <f>+P28-SUM(P19:P26)</f>
        <v>0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30" t="s">
        <v>40</v>
      </c>
      <c r="O28" s="131"/>
      <c r="P28" s="120"/>
      <c r="Q28" s="69">
        <f>SUM(Q19:Q27)</f>
        <v>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1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2"/>
      <c r="O31" s="103">
        <v>25808</v>
      </c>
      <c r="P31" s="103">
        <v>25808</v>
      </c>
      <c r="Q31" s="104">
        <f>P31-O31</f>
        <v>0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1:O21"/>
    <mergeCell ref="N2:Q2"/>
    <mergeCell ref="P3:Q3"/>
    <mergeCell ref="N19:O19"/>
    <mergeCell ref="N20:O20"/>
    <mergeCell ref="N18:O18"/>
    <mergeCell ref="N28:O28"/>
    <mergeCell ref="N22:O22"/>
    <mergeCell ref="N23:O23"/>
    <mergeCell ref="N24:O24"/>
    <mergeCell ref="N27:O27"/>
    <mergeCell ref="N25:O25"/>
    <mergeCell ref="N26:O26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workbookViewId="0">
      <selection activeCell="K4" sqref="K4"/>
    </sheetView>
  </sheetViews>
  <sheetFormatPr defaultRowHeight="27.75" customHeight="1"/>
  <cols>
    <col min="1" max="2" width="9" style="10"/>
    <col min="3" max="3" width="9" style="10" bestFit="1" customWidth="1"/>
    <col min="4" max="4" width="11.25" style="10" customWidth="1"/>
    <col min="5" max="5" width="11.25" style="10" bestFit="1" customWidth="1"/>
    <col min="6" max="6" width="11.375" style="10" customWidth="1"/>
    <col min="7" max="7" width="5" style="10" customWidth="1"/>
    <col min="8" max="8" width="9" style="10"/>
    <col min="9" max="9" width="12.25" style="10" customWidth="1"/>
    <col min="10" max="10" width="11.25" style="10" bestFit="1" customWidth="1"/>
    <col min="11" max="11" width="11.375" style="10" customWidth="1"/>
    <col min="12" max="12" width="11.75" style="10" customWidth="1"/>
    <col min="13" max="13" width="8.375" style="10" customWidth="1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3</v>
      </c>
      <c r="D1" s="9" t="s">
        <v>0</v>
      </c>
      <c r="E1" s="99">
        <v>8</v>
      </c>
      <c r="F1" s="1"/>
      <c r="G1" s="1"/>
      <c r="H1" s="1"/>
      <c r="I1" s="1">
        <v>924</v>
      </c>
      <c r="J1" s="1"/>
      <c r="K1" s="1"/>
      <c r="L1" s="21">
        <f>+ROUND(+O5*0.584/1000,3)</f>
        <v>11.271000000000001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1">
        <f>ROUND((+'(2)'!L2*(C1-1)+L1)/C1,3)</f>
        <v>12.635999999999999</v>
      </c>
      <c r="M2" s="18" t="s">
        <v>7</v>
      </c>
      <c r="N2" s="144" t="s">
        <v>1</v>
      </c>
      <c r="O2" s="144"/>
      <c r="P2" s="144"/>
      <c r="Q2" s="144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" si="0">+D3</f>
        <v>수량 및 금액</v>
      </c>
      <c r="J3" s="34" t="str">
        <f>+'[1](1)'!J3</f>
        <v>제   목</v>
      </c>
      <c r="K3" s="29" t="str">
        <f>F3</f>
        <v>수량 및 금액</v>
      </c>
      <c r="L3" s="21">
        <f>+L2*C1</f>
        <v>37.908000000000001</v>
      </c>
      <c r="M3" s="18" t="s">
        <v>10</v>
      </c>
      <c r="N3" s="3"/>
      <c r="O3" s="3"/>
      <c r="P3" s="145" t="str">
        <f>+'(1)'!C1&amp;"년"&amp;'(1)'!E1&amp;"월"&amp;C1&amp;"일"</f>
        <v>2023년8월3일</v>
      </c>
      <c r="Q3" s="145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10073.254999999999</v>
      </c>
      <c r="E4" s="34" t="str">
        <f>+'[1](1)'!E4</f>
        <v>고액권</v>
      </c>
      <c r="F4" s="36">
        <v>220000</v>
      </c>
      <c r="G4" s="27"/>
      <c r="H4" s="34" t="str">
        <f>+C4</f>
        <v>판매량</v>
      </c>
      <c r="I4" s="35">
        <v>9225.7260000000006</v>
      </c>
      <c r="J4" s="42" t="str">
        <f>+'[1](1)'!J4</f>
        <v>고액권</v>
      </c>
      <c r="K4" s="36">
        <v>155000</v>
      </c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30177</v>
      </c>
      <c r="S4" s="6" t="s">
        <v>2</v>
      </c>
      <c r="T4" s="1"/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>
        <v>4000</v>
      </c>
      <c r="G5" s="27"/>
      <c r="H5" s="42" t="str">
        <f t="shared" ref="H5:H13" si="2">+C5</f>
        <v>법인전표</v>
      </c>
      <c r="I5" s="43"/>
      <c r="J5" s="42" t="str">
        <f>+'[1](1)'!J5</f>
        <v>천원권</v>
      </c>
      <c r="K5" s="44">
        <v>4000</v>
      </c>
      <c r="L5" s="2"/>
      <c r="M5" s="20"/>
      <c r="N5" s="45" t="str">
        <f>+C4</f>
        <v>판매량</v>
      </c>
      <c r="O5" s="46">
        <f>SUM(D4+I4+D17+I17+D35+I35)</f>
        <v>19298.981</v>
      </c>
      <c r="P5" s="47" t="str">
        <f>+E4</f>
        <v>고액권</v>
      </c>
      <c r="Q5" s="48">
        <f>SUM(F4+K4+F17+K17+F35+K35)</f>
        <v>375000</v>
      </c>
      <c r="R5" s="7">
        <v>36</v>
      </c>
      <c r="S5" s="6" t="s">
        <v>3</v>
      </c>
      <c r="T5" s="1"/>
      <c r="U5" s="1"/>
      <c r="V5" s="1"/>
    </row>
    <row r="6" spans="3:22" ht="16.5" customHeight="1">
      <c r="C6" s="83" t="str">
        <f>+'(1)'!C6</f>
        <v>외상전표</v>
      </c>
      <c r="D6" s="50">
        <v>347.58</v>
      </c>
      <c r="E6" s="105" t="str">
        <f>+'[1](1)'!E6</f>
        <v>블루/레드포인트</v>
      </c>
      <c r="F6" s="44"/>
      <c r="G6" s="27"/>
      <c r="H6" s="42" t="str">
        <f t="shared" si="2"/>
        <v>외상전표</v>
      </c>
      <c r="I6" s="50">
        <v>64.483000000000004</v>
      </c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8000</v>
      </c>
      <c r="R6" s="7">
        <v>3.1</v>
      </c>
      <c r="S6" s="6" t="s">
        <v>4</v>
      </c>
      <c r="T6" s="1"/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/>
      <c r="G7" s="27"/>
      <c r="H7" s="83" t="str">
        <f t="shared" si="2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3">+C6</f>
        <v>외상전표</v>
      </c>
      <c r="O7" s="54">
        <f>SUM(D6+I6+D19+I19+D37+I37)</f>
        <v>412.06299999999999</v>
      </c>
      <c r="P7" s="106" t="str">
        <f t="shared" ref="P7:P14" si="4">+E6</f>
        <v>블루/레드포인트</v>
      </c>
      <c r="Q7" s="53">
        <f>SUM(F6+K6+F19+K19+F37+K37)</f>
        <v>0</v>
      </c>
      <c r="R7" s="5" t="s">
        <v>48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>
        <v>8749829</v>
      </c>
      <c r="G8" s="27"/>
      <c r="H8" s="34" t="str">
        <f t="shared" si="2"/>
        <v>자가소비</v>
      </c>
      <c r="I8" s="50"/>
      <c r="J8" s="42" t="str">
        <f>+'[1](1)'!J8</f>
        <v>신용카드</v>
      </c>
      <c r="K8" s="44">
        <v>17023663</v>
      </c>
      <c r="L8" s="2"/>
      <c r="M8" s="20"/>
      <c r="N8" s="51" t="str">
        <f t="shared" si="3"/>
        <v>효신(업)</v>
      </c>
      <c r="O8" s="52">
        <f>SUM(D7+I7+D20+I20+D38+I38)</f>
        <v>0</v>
      </c>
      <c r="P8" s="106" t="str">
        <f t="shared" si="4"/>
        <v>롯대칠성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/>
      <c r="G9" s="27"/>
      <c r="H9" s="42" t="str">
        <f t="shared" si="2"/>
        <v>-</v>
      </c>
      <c r="I9" s="50"/>
      <c r="J9" s="42" t="str">
        <f>+'[1](1)'!J9</f>
        <v>상품권</v>
      </c>
      <c r="K9" s="44"/>
      <c r="L9" s="2"/>
      <c r="M9" s="20"/>
      <c r="N9" s="51" t="str">
        <f t="shared" si="3"/>
        <v>자가소비</v>
      </c>
      <c r="O9" s="54">
        <f>SUM(D8+I8+D21+I21+D39+I39)</f>
        <v>0</v>
      </c>
      <c r="P9" s="51" t="str">
        <f t="shared" si="4"/>
        <v>신용카드</v>
      </c>
      <c r="Q9" s="53">
        <f>IF(K8=0,F8,IF(F21=0,K8,IF(K21=0,F21,K21)))</f>
        <v>17023663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>
        <v>321.74599999999998</v>
      </c>
      <c r="E10" s="42" t="str">
        <f>+'[1](1)'!E10</f>
        <v>OK케시백</v>
      </c>
      <c r="F10" s="44">
        <v>2000</v>
      </c>
      <c r="G10" s="27"/>
      <c r="H10" s="42" t="str">
        <f t="shared" si="2"/>
        <v>고객우대</v>
      </c>
      <c r="I10" s="50">
        <v>146.85900000000001</v>
      </c>
      <c r="J10" s="42" t="str">
        <f>+'[1](1)'!J10</f>
        <v>OK케시백</v>
      </c>
      <c r="K10" s="44">
        <v>21180</v>
      </c>
      <c r="L10" s="2"/>
      <c r="M10" s="20"/>
      <c r="N10" s="51" t="str">
        <f t="shared" si="3"/>
        <v>-</v>
      </c>
      <c r="O10" s="54"/>
      <c r="P10" s="51" t="str">
        <f t="shared" si="4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-11261.109999999999</v>
      </c>
      <c r="E11" s="42" t="str">
        <f>+'[1](1)'!E11</f>
        <v>모바일</v>
      </c>
      <c r="F11" s="44"/>
      <c r="G11" s="27"/>
      <c r="H11" s="83" t="str">
        <f t="shared" si="2"/>
        <v>-</v>
      </c>
      <c r="I11" s="55">
        <f>SUM(I10*-35)</f>
        <v>-5140.0650000000005</v>
      </c>
      <c r="J11" s="56" t="str">
        <f>+'[1](1)'!J11</f>
        <v>모바일</v>
      </c>
      <c r="K11" s="44">
        <v>5000</v>
      </c>
      <c r="L11" s="2"/>
      <c r="M11" s="20"/>
      <c r="N11" s="51" t="str">
        <f t="shared" si="3"/>
        <v>고객우대</v>
      </c>
      <c r="O11" s="54">
        <f>SUM(D10+I10+D23+I23+D41+I41)</f>
        <v>468.60500000000002</v>
      </c>
      <c r="P11" s="51" t="str">
        <f t="shared" si="4"/>
        <v>OK케시백</v>
      </c>
      <c r="Q11" s="53">
        <f>SUM(F10+K10+F23+K23+F41+K41)</f>
        <v>23180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/>
      <c r="G12" s="27"/>
      <c r="H12" s="84" t="str">
        <f t="shared" si="2"/>
        <v>-</v>
      </c>
      <c r="I12" s="57"/>
      <c r="J12" s="29" t="str">
        <f>+'[1](1)'!J12</f>
        <v>제로페이</v>
      </c>
      <c r="K12" s="58"/>
      <c r="L12" s="2"/>
      <c r="M12" s="20"/>
      <c r="N12" s="51" t="str">
        <f t="shared" si="3"/>
        <v>-</v>
      </c>
      <c r="O12" s="55">
        <f>SUM(O11*-35)</f>
        <v>-16401.174999999999</v>
      </c>
      <c r="P12" s="51" t="str">
        <f t="shared" si="4"/>
        <v>모바일</v>
      </c>
      <c r="Q12" s="53">
        <f>SUM(F11+K11+F24+K24+F42+K42)</f>
        <v>5000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SUM((D4-D5-D6-D7-D8-D9)*$I$1+D11)</f>
        <v>8975262.5899999999</v>
      </c>
      <c r="E13" s="29" t="str">
        <f>+'[1](1)'!E13</f>
        <v>합계</v>
      </c>
      <c r="F13" s="61">
        <f>SUM(F4:F12)</f>
        <v>8975829</v>
      </c>
      <c r="G13" s="62"/>
      <c r="H13" s="29" t="str">
        <f t="shared" si="2"/>
        <v>합계</v>
      </c>
      <c r="I13" s="60">
        <f>SUM((I4-I5-I6-I7-I8-I9)*$I$1+I11)</f>
        <v>8459848.4670000002</v>
      </c>
      <c r="J13" s="29" t="str">
        <f t="shared" ref="J13" si="5">+E13</f>
        <v>합계</v>
      </c>
      <c r="K13" s="61">
        <f>IF(K8=0,0,SUM(K4:K12)-F8)</f>
        <v>8459014</v>
      </c>
      <c r="L13" s="2"/>
      <c r="M13" s="20"/>
      <c r="N13" s="63" t="str">
        <f t="shared" si="3"/>
        <v>-</v>
      </c>
      <c r="O13" s="64"/>
      <c r="P13" s="63" t="str">
        <f t="shared" si="4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566.41000000014901</v>
      </c>
      <c r="G14" s="27"/>
      <c r="H14" s="27"/>
      <c r="I14" s="27"/>
      <c r="J14" s="27"/>
      <c r="K14" s="67">
        <f>SUM(K13-I13)</f>
        <v>-834.46700000017881</v>
      </c>
      <c r="L14" s="2">
        <f>SUM(L4:L13)</f>
        <v>0</v>
      </c>
      <c r="M14" s="18" t="s">
        <v>9</v>
      </c>
      <c r="N14" s="39" t="str">
        <f t="shared" si="3"/>
        <v>합계</v>
      </c>
      <c r="O14" s="68">
        <f>SUM((O5-O6-O7-O8-O9-O10)*+E1+O12)</f>
        <v>134694.16900000002</v>
      </c>
      <c r="P14" s="39" t="str">
        <f t="shared" si="4"/>
        <v>합계</v>
      </c>
      <c r="Q14" s="69">
        <f>SUM(Q5:Q13)</f>
        <v>17434843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-268.0570000000298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30" t="s">
        <v>34</v>
      </c>
      <c r="O18" s="143"/>
      <c r="P18" s="116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105" t="str">
        <f t="shared" ref="E19:E25" si="9">+E6</f>
        <v>블루/레드포인트</v>
      </c>
      <c r="F19" s="44"/>
      <c r="G19" s="27"/>
      <c r="H19" s="42" t="str">
        <f t="shared" ref="H19:H25" si="10">+C6</f>
        <v>외상전표</v>
      </c>
      <c r="I19" s="50"/>
      <c r="J19" s="105" t="str">
        <f t="shared" ref="J19:J25" si="11">+E6</f>
        <v>블루/레드포인트</v>
      </c>
      <c r="K19" s="44"/>
      <c r="L19" s="2"/>
      <c r="M19" s="1"/>
      <c r="N19" s="134" t="s">
        <v>37</v>
      </c>
      <c r="O19" s="135"/>
      <c r="P19" s="117">
        <v>15</v>
      </c>
      <c r="Q19" s="48">
        <f>SUM(P19*1000)</f>
        <v>15000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롯대칠성</v>
      </c>
      <c r="F20" s="44"/>
      <c r="G20" s="27"/>
      <c r="H20" s="42" t="str">
        <f t="shared" si="10"/>
        <v>효신(업)</v>
      </c>
      <c r="I20" s="50"/>
      <c r="J20" s="42" t="str">
        <f t="shared" si="11"/>
        <v>롯대칠성</v>
      </c>
      <c r="K20" s="44"/>
      <c r="L20" s="2"/>
      <c r="M20" s="1"/>
      <c r="N20" s="140" t="s">
        <v>38</v>
      </c>
      <c r="O20" s="141"/>
      <c r="P20" s="118">
        <v>66</v>
      </c>
      <c r="Q20" s="53">
        <f>SUM(P20*1000)</f>
        <v>66000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40" t="s">
        <v>57</v>
      </c>
      <c r="O21" s="141"/>
      <c r="P21" s="118">
        <v>9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42" t="s">
        <v>59</v>
      </c>
      <c r="O22" s="137"/>
      <c r="P22" s="118">
        <v>28</v>
      </c>
      <c r="Q22" s="53"/>
      <c r="R22" s="32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36" t="s">
        <v>61</v>
      </c>
      <c r="O23" s="137"/>
      <c r="P23" s="118">
        <v>10</v>
      </c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36" t="s">
        <v>62</v>
      </c>
      <c r="O24" s="137"/>
      <c r="P24" s="118">
        <v>11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36"/>
      <c r="O25" s="137"/>
      <c r="P25" s="121"/>
      <c r="Q25" s="12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SUM((D17-D18-D19-D20-D21-D22)*$I$1+D24)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SUM((I17-I18-I19-I20-I21-I22)*$I$1+I24)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36"/>
      <c r="O26" s="137"/>
      <c r="P26" s="123"/>
      <c r="Q26" s="114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38" t="s">
        <v>39</v>
      </c>
      <c r="O27" s="139"/>
      <c r="P27" s="119">
        <f>+P28-SUM(P19:P26)</f>
        <v>-13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30" t="s">
        <v>40</v>
      </c>
      <c r="O28" s="131"/>
      <c r="P28" s="120">
        <v>126</v>
      </c>
      <c r="Q28" s="69">
        <f>SUM(Q19:Q27)</f>
        <v>81000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1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2"/>
      <c r="O31" s="103">
        <v>24916</v>
      </c>
      <c r="P31" s="103">
        <v>24960</v>
      </c>
      <c r="Q31" s="104">
        <f>P31-O31</f>
        <v>44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1:O21"/>
    <mergeCell ref="N2:Q2"/>
    <mergeCell ref="P3:Q3"/>
    <mergeCell ref="N19:O19"/>
    <mergeCell ref="N20:O20"/>
    <mergeCell ref="N18:O18"/>
    <mergeCell ref="N28:O28"/>
    <mergeCell ref="N22:O22"/>
    <mergeCell ref="N23:O23"/>
    <mergeCell ref="N24:O24"/>
    <mergeCell ref="N27:O27"/>
    <mergeCell ref="N25:O25"/>
    <mergeCell ref="N26:O26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A7" workbookViewId="0">
      <selection activeCell="R8" sqref="R8"/>
    </sheetView>
  </sheetViews>
  <sheetFormatPr defaultRowHeight="27.75" customHeight="1"/>
  <cols>
    <col min="1" max="2" width="9" style="10"/>
    <col min="3" max="3" width="9" style="10" bestFit="1" customWidth="1"/>
    <col min="4" max="4" width="11.5" style="10" customWidth="1"/>
    <col min="5" max="5" width="11.25" style="10" bestFit="1" customWidth="1"/>
    <col min="6" max="6" width="11.5" style="10" customWidth="1"/>
    <col min="7" max="7" width="5" style="10" customWidth="1"/>
    <col min="8" max="8" width="9" style="10"/>
    <col min="9" max="9" width="11.375" style="10" customWidth="1"/>
    <col min="10" max="10" width="11.25" style="10" bestFit="1" customWidth="1"/>
    <col min="11" max="11" width="11.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30</v>
      </c>
      <c r="D1" s="9" t="s">
        <v>0</v>
      </c>
      <c r="E1" s="97">
        <v>8</v>
      </c>
      <c r="F1" s="1"/>
      <c r="G1" s="1"/>
      <c r="H1" s="1"/>
      <c r="I1" s="1">
        <v>924</v>
      </c>
      <c r="J1" s="1"/>
      <c r="K1" s="1"/>
      <c r="L1" s="22">
        <f>+ROUND(+O5*0.584/1000,3)</f>
        <v>10.913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ROUND((+'(29)'!L2*(C1-1)+L1)/C1,3)</f>
        <v>10.423</v>
      </c>
      <c r="M2" s="18" t="s">
        <v>7</v>
      </c>
      <c r="N2" s="144" t="s">
        <v>1</v>
      </c>
      <c r="O2" s="144"/>
      <c r="P2" s="144"/>
      <c r="Q2" s="144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" si="0">+D3</f>
        <v>수량 및 금액</v>
      </c>
      <c r="J3" s="34" t="str">
        <f>+'[1](1)'!J3</f>
        <v>제   목</v>
      </c>
      <c r="K3" s="29" t="str">
        <f>F3</f>
        <v>수량 및 금액</v>
      </c>
      <c r="L3" s="21">
        <f>+L2*C1</f>
        <v>312.69</v>
      </c>
      <c r="M3" s="18" t="s">
        <v>10</v>
      </c>
      <c r="N3" s="3"/>
      <c r="O3" s="3"/>
      <c r="P3" s="145" t="str">
        <f>+'(1)'!C1&amp;"년"&amp;'(1)'!E1&amp;"월"&amp;C1&amp;"일"</f>
        <v>2023년8월30일</v>
      </c>
      <c r="Q3" s="145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10064.511</v>
      </c>
      <c r="E4" s="34" t="str">
        <f>+'[1](1)'!E4</f>
        <v>고액권</v>
      </c>
      <c r="F4" s="36">
        <v>220000</v>
      </c>
      <c r="G4" s="27"/>
      <c r="H4" s="34" t="str">
        <f>+C4</f>
        <v>판매량</v>
      </c>
      <c r="I4" s="35">
        <v>8621.4490000000005</v>
      </c>
      <c r="J4" s="42" t="str">
        <f>+'[1](1)'!J4</f>
        <v>고액권</v>
      </c>
      <c r="K4" s="36">
        <v>30000</v>
      </c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44984</v>
      </c>
      <c r="S4" s="6" t="s">
        <v>2</v>
      </c>
      <c r="T4" s="1"/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>
        <v>4000</v>
      </c>
      <c r="G5" s="27"/>
      <c r="H5" s="42" t="str">
        <f t="shared" ref="H5:H13" si="2">+C5</f>
        <v>법인전표</v>
      </c>
      <c r="I5" s="43"/>
      <c r="J5" s="42" t="str">
        <f>+'[1](1)'!J5</f>
        <v>천원권</v>
      </c>
      <c r="K5" s="44">
        <v>3000</v>
      </c>
      <c r="L5" s="2"/>
      <c r="M5" s="20"/>
      <c r="N5" s="45" t="str">
        <f>+C4</f>
        <v>판매량</v>
      </c>
      <c r="O5" s="46">
        <f>SUM(D4+I4+D17+I17+D35+I35)</f>
        <v>18685.96</v>
      </c>
      <c r="P5" s="47" t="str">
        <f>+E4</f>
        <v>고액권</v>
      </c>
      <c r="Q5" s="48">
        <f>SUM(F4+K4+F17+K17+F35+K35)</f>
        <v>250000</v>
      </c>
      <c r="R5" s="7">
        <v>32</v>
      </c>
      <c r="S5" s="6" t="s">
        <v>3</v>
      </c>
      <c r="T5" s="1"/>
      <c r="U5" s="1"/>
      <c r="V5" s="1"/>
    </row>
    <row r="6" spans="3:22" ht="16.5" customHeight="1">
      <c r="C6" s="83" t="str">
        <f>+'(1)'!C6</f>
        <v>외상전표</v>
      </c>
      <c r="D6" s="50">
        <v>176.00899999999999</v>
      </c>
      <c r="E6" s="105" t="str">
        <f>+'[1](1)'!E6</f>
        <v>블루/레드포인트</v>
      </c>
      <c r="F6" s="44"/>
      <c r="G6" s="27"/>
      <c r="H6" s="42" t="str">
        <f t="shared" si="2"/>
        <v>외상전표</v>
      </c>
      <c r="I6" s="50"/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7000</v>
      </c>
      <c r="R6" s="7">
        <v>2.5</v>
      </c>
      <c r="S6" s="6" t="s">
        <v>4</v>
      </c>
      <c r="T6" s="1"/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/>
      <c r="G7" s="27"/>
      <c r="H7" s="83" t="str">
        <f t="shared" si="2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3">+C6</f>
        <v>외상전표</v>
      </c>
      <c r="O7" s="54">
        <f>SUM(D6+I6+D19+I19+D37+I37)</f>
        <v>176.00899999999999</v>
      </c>
      <c r="P7" s="106" t="str">
        <f t="shared" ref="P7:P14" si="4">+E6</f>
        <v>블루/레드포인트</v>
      </c>
      <c r="Q7" s="53">
        <f>SUM(F6+K6+F19+K19+F37+K37)</f>
        <v>0</v>
      </c>
      <c r="R7" s="5" t="s">
        <v>66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>
        <v>52.408000000000001</v>
      </c>
      <c r="E8" s="42" t="str">
        <f>+'[1](1)'!E8</f>
        <v>신용카드</v>
      </c>
      <c r="F8" s="44">
        <v>8829031</v>
      </c>
      <c r="G8" s="27"/>
      <c r="H8" s="34" t="str">
        <f t="shared" si="2"/>
        <v>자가소비</v>
      </c>
      <c r="I8" s="50"/>
      <c r="J8" s="42" t="str">
        <f>+'[1](1)'!J8</f>
        <v>신용카드</v>
      </c>
      <c r="K8" s="44">
        <v>16759834</v>
      </c>
      <c r="L8" s="2"/>
      <c r="M8" s="20"/>
      <c r="N8" s="51" t="str">
        <f t="shared" si="3"/>
        <v>효신(업)</v>
      </c>
      <c r="O8" s="52">
        <f>SUM(D7+I7+D20+I20+D38+I38)</f>
        <v>0</v>
      </c>
      <c r="P8" s="106" t="str">
        <f t="shared" si="4"/>
        <v>롯대칠성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/>
      <c r="G9" s="27"/>
      <c r="H9" s="42" t="str">
        <f t="shared" si="2"/>
        <v>-</v>
      </c>
      <c r="I9" s="50"/>
      <c r="J9" s="42" t="str">
        <f>+'[1](1)'!J9</f>
        <v>상품권</v>
      </c>
      <c r="K9" s="44"/>
      <c r="L9" s="2"/>
      <c r="M9" s="20"/>
      <c r="N9" s="51" t="str">
        <f t="shared" si="3"/>
        <v>자가소비</v>
      </c>
      <c r="O9" s="54">
        <f>SUM(D8+I8+D21+I21+D39+I39)</f>
        <v>52.408000000000001</v>
      </c>
      <c r="P9" s="51" t="str">
        <f t="shared" si="4"/>
        <v>신용카드</v>
      </c>
      <c r="Q9" s="53">
        <f>IF(K8=0,F8,IF(F21=0,K8,IF(K21=0,F21,K21)))</f>
        <v>16759834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>
        <v>152.29300000000001</v>
      </c>
      <c r="E10" s="42" t="str">
        <f>+'[1](1)'!E10</f>
        <v>OK케시백</v>
      </c>
      <c r="F10" s="44"/>
      <c r="G10" s="27"/>
      <c r="H10" s="42" t="str">
        <f t="shared" si="2"/>
        <v>고객우대</v>
      </c>
      <c r="I10" s="50">
        <v>50.747999999999998</v>
      </c>
      <c r="J10" s="42" t="str">
        <f>+'[1](1)'!J10</f>
        <v>OK케시백</v>
      </c>
      <c r="K10" s="44"/>
      <c r="L10" s="2"/>
      <c r="M10" s="20"/>
      <c r="N10" s="51" t="str">
        <f t="shared" si="3"/>
        <v>-</v>
      </c>
      <c r="O10" s="54"/>
      <c r="P10" s="51" t="str">
        <f t="shared" si="4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-5330.2550000000001</v>
      </c>
      <c r="E11" s="42" t="str">
        <f>+'[1](1)'!E11</f>
        <v>모바일</v>
      </c>
      <c r="F11" s="44">
        <v>30000</v>
      </c>
      <c r="G11" s="27"/>
      <c r="H11" s="83" t="str">
        <f t="shared" si="2"/>
        <v>-</v>
      </c>
      <c r="I11" s="55">
        <f>SUM(I10*-35)</f>
        <v>-1776.1799999999998</v>
      </c>
      <c r="J11" s="56" t="str">
        <f>+'[1](1)'!J11</f>
        <v>모바일</v>
      </c>
      <c r="K11" s="44"/>
      <c r="L11" s="2"/>
      <c r="M11" s="20"/>
      <c r="N11" s="51" t="str">
        <f t="shared" si="3"/>
        <v>고객우대</v>
      </c>
      <c r="O11" s="54">
        <f>SUM(D10+I10+D23+I23+D41+I41)</f>
        <v>203.041</v>
      </c>
      <c r="P11" s="51" t="str">
        <f t="shared" si="4"/>
        <v>OK케시백</v>
      </c>
      <c r="Q11" s="53">
        <f>SUM(F10+K10+F23+K23+F41+K41)</f>
        <v>0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/>
      <c r="G12" s="27"/>
      <c r="H12" s="84" t="str">
        <f t="shared" si="2"/>
        <v>-</v>
      </c>
      <c r="I12" s="57"/>
      <c r="J12" s="29" t="str">
        <f>+'[1](1)'!J12</f>
        <v>제로페이</v>
      </c>
      <c r="K12" s="58"/>
      <c r="L12" s="2"/>
      <c r="M12" s="20"/>
      <c r="N12" s="51" t="str">
        <f t="shared" si="3"/>
        <v>-</v>
      </c>
      <c r="O12" s="55">
        <f>SUM(O11*-35)</f>
        <v>-7106.4349999999995</v>
      </c>
      <c r="P12" s="51" t="str">
        <f t="shared" si="4"/>
        <v>모바일</v>
      </c>
      <c r="Q12" s="53">
        <f>SUM(F11+K11+F24+K24+F42+K42)</f>
        <v>30000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SUM((D4-D5-D6-D7-D8-D9)*$I$1+D11)</f>
        <v>9083220.6009999998</v>
      </c>
      <c r="E13" s="29" t="str">
        <f>+'[1](1)'!E13</f>
        <v>합계</v>
      </c>
      <c r="F13" s="61">
        <f>SUM(F4:F12)</f>
        <v>9083031</v>
      </c>
      <c r="G13" s="62"/>
      <c r="H13" s="29" t="str">
        <f t="shared" si="2"/>
        <v>합계</v>
      </c>
      <c r="I13" s="60">
        <f>SUM((I4-I5-I6-I7-I8-I9)*$I$1+I11)</f>
        <v>7964442.6960000005</v>
      </c>
      <c r="J13" s="29" t="str">
        <f t="shared" ref="J13" si="5">+E13</f>
        <v>합계</v>
      </c>
      <c r="K13" s="61">
        <f>IF(K8=0,0,SUM(K4:K12)-F8)</f>
        <v>7963803</v>
      </c>
      <c r="L13" s="2"/>
      <c r="M13" s="20"/>
      <c r="N13" s="63" t="str">
        <f t="shared" si="3"/>
        <v>-</v>
      </c>
      <c r="O13" s="64"/>
      <c r="P13" s="63" t="str">
        <f t="shared" si="4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-189.60099999979138</v>
      </c>
      <c r="G14" s="27"/>
      <c r="H14" s="27"/>
      <c r="I14" s="27"/>
      <c r="J14" s="27"/>
      <c r="K14" s="67">
        <f>SUM(K13-I13)</f>
        <v>-639.69600000046194</v>
      </c>
      <c r="L14" s="2">
        <f>SUM(L4:L13)</f>
        <v>0</v>
      </c>
      <c r="M14" s="18" t="s">
        <v>9</v>
      </c>
      <c r="N14" s="39" t="str">
        <f t="shared" si="3"/>
        <v>합계</v>
      </c>
      <c r="O14" s="68">
        <f>SUM((O5-O6-O7-O8-O9-O10)*+E1+O12)</f>
        <v>140553.90900000001</v>
      </c>
      <c r="P14" s="39" t="str">
        <f t="shared" si="4"/>
        <v>합계</v>
      </c>
      <c r="Q14" s="69">
        <f>SUM(Q5:Q13)</f>
        <v>17046834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-829.29700000025332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30" t="s">
        <v>34</v>
      </c>
      <c r="O18" s="143"/>
      <c r="P18" s="116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105" t="str">
        <f t="shared" ref="E19:E25" si="9">+E6</f>
        <v>블루/레드포인트</v>
      </c>
      <c r="F19" s="44"/>
      <c r="G19" s="27"/>
      <c r="H19" s="42" t="str">
        <f t="shared" ref="H19:H25" si="10">+C6</f>
        <v>외상전표</v>
      </c>
      <c r="I19" s="50"/>
      <c r="J19" s="105" t="str">
        <f t="shared" ref="J19:J25" si="11">+E6</f>
        <v>블루/레드포인트</v>
      </c>
      <c r="K19" s="44"/>
      <c r="L19" s="2"/>
      <c r="M19" s="1"/>
      <c r="N19" s="134" t="s">
        <v>37</v>
      </c>
      <c r="O19" s="135"/>
      <c r="P19" s="117">
        <v>9</v>
      </c>
      <c r="Q19" s="48">
        <f>SUM(P19*1000)</f>
        <v>9000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롯대칠성</v>
      </c>
      <c r="F20" s="44"/>
      <c r="G20" s="27"/>
      <c r="H20" s="42" t="str">
        <f t="shared" si="10"/>
        <v>효신(업)</v>
      </c>
      <c r="I20" s="50"/>
      <c r="J20" s="42" t="str">
        <f t="shared" si="11"/>
        <v>롯대칠성</v>
      </c>
      <c r="K20" s="44"/>
      <c r="L20" s="2"/>
      <c r="M20" s="1"/>
      <c r="N20" s="140" t="s">
        <v>38</v>
      </c>
      <c r="O20" s="141"/>
      <c r="P20" s="118">
        <v>35</v>
      </c>
      <c r="Q20" s="53">
        <f>SUM(P20*1000)</f>
        <v>35000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40" t="s">
        <v>57</v>
      </c>
      <c r="O21" s="141"/>
      <c r="P21" s="118">
        <v>8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42" t="s">
        <v>59</v>
      </c>
      <c r="O22" s="137"/>
      <c r="P22" s="118">
        <v>25</v>
      </c>
      <c r="Q22" s="53"/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36" t="s">
        <v>61</v>
      </c>
      <c r="O23" s="137"/>
      <c r="P23" s="118">
        <v>8</v>
      </c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36" t="s">
        <v>62</v>
      </c>
      <c r="O24" s="137"/>
      <c r="P24" s="118">
        <v>7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36"/>
      <c r="O25" s="137"/>
      <c r="P25" s="121"/>
      <c r="Q25" s="12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SUM((D17-D18-D19-D20-D21-D22)*$I$1+D24)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SUM((I17-I18-I19-I20-I21-I22)*$I$1+I24)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36"/>
      <c r="O26" s="137"/>
      <c r="P26" s="123"/>
      <c r="Q26" s="114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38" t="s">
        <v>39</v>
      </c>
      <c r="O27" s="139"/>
      <c r="P27" s="119">
        <f>+P28-SUM(P19:P26)</f>
        <v>-4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30" t="s">
        <v>40</v>
      </c>
      <c r="O28" s="131"/>
      <c r="P28" s="120">
        <v>88</v>
      </c>
      <c r="Q28" s="69">
        <f>SUM(Q19:Q27)</f>
        <v>44000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1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2"/>
      <c r="O31" s="103">
        <v>25808</v>
      </c>
      <c r="P31" s="103">
        <v>25825</v>
      </c>
      <c r="Q31" s="104">
        <f>P31-O31</f>
        <v>17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1:O21"/>
    <mergeCell ref="N2:Q2"/>
    <mergeCell ref="P3:Q3"/>
    <mergeCell ref="N19:O19"/>
    <mergeCell ref="N20:O20"/>
    <mergeCell ref="N18:O18"/>
    <mergeCell ref="N28:O28"/>
    <mergeCell ref="N22:O22"/>
    <mergeCell ref="N23:O23"/>
    <mergeCell ref="N24:O24"/>
    <mergeCell ref="N27:O27"/>
    <mergeCell ref="N25:O25"/>
    <mergeCell ref="N26:O26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abSelected="1" workbookViewId="0">
      <selection activeCell="R10" sqref="R10"/>
    </sheetView>
  </sheetViews>
  <sheetFormatPr defaultRowHeight="27.75" customHeight="1"/>
  <cols>
    <col min="1" max="2" width="9" style="10"/>
    <col min="3" max="3" width="9" style="10" bestFit="1" customWidth="1"/>
    <col min="4" max="4" width="11.5" style="10" customWidth="1"/>
    <col min="5" max="5" width="11.25" style="10" bestFit="1" customWidth="1"/>
    <col min="6" max="6" width="11.375" style="10" customWidth="1"/>
    <col min="7" max="7" width="5" style="10" customWidth="1"/>
    <col min="8" max="8" width="9" style="10"/>
    <col min="9" max="9" width="11.25" style="10" customWidth="1"/>
    <col min="10" max="10" width="11.25" style="10" bestFit="1" customWidth="1"/>
    <col min="11" max="11" width="11.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31</v>
      </c>
      <c r="D1" s="9" t="s">
        <v>0</v>
      </c>
      <c r="E1" s="97">
        <v>8</v>
      </c>
      <c r="F1" s="1"/>
      <c r="G1" s="1"/>
      <c r="H1" s="1"/>
      <c r="I1" s="1">
        <v>924</v>
      </c>
      <c r="J1" s="1"/>
      <c r="K1" s="1"/>
      <c r="L1" s="22">
        <f>+ROUND(+O5*0.584/1000,3)</f>
        <v>6.8869999999999996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ROUND((+'(30)'!L2*(C1-1)+L1)/C1,3)</f>
        <v>10.308999999999999</v>
      </c>
      <c r="M2" s="18" t="s">
        <v>7</v>
      </c>
      <c r="N2" s="144" t="s">
        <v>1</v>
      </c>
      <c r="O2" s="144"/>
      <c r="P2" s="144"/>
      <c r="Q2" s="144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" si="0">+D3</f>
        <v>수량 및 금액</v>
      </c>
      <c r="J3" s="34" t="str">
        <f>+'[1](1)'!J3</f>
        <v>제   목</v>
      </c>
      <c r="K3" s="29" t="str">
        <f>F3</f>
        <v>수량 및 금액</v>
      </c>
      <c r="L3" s="21">
        <f>+L2*C1</f>
        <v>319.57899999999995</v>
      </c>
      <c r="M3" s="18" t="s">
        <v>10</v>
      </c>
      <c r="N3" s="3"/>
      <c r="O3" s="3"/>
      <c r="P3" s="145" t="str">
        <f>+'(1)'!C1&amp;"년"&amp;'(1)'!E1&amp;"월"&amp;C1&amp;"일"</f>
        <v>2023년8월31일</v>
      </c>
      <c r="Q3" s="145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10090.203</v>
      </c>
      <c r="E4" s="34" t="str">
        <f>+'[1](1)'!E4</f>
        <v>고액권</v>
      </c>
      <c r="F4" s="36">
        <v>95000</v>
      </c>
      <c r="G4" s="27"/>
      <c r="H4" s="34" t="str">
        <f>+C4</f>
        <v>판매량</v>
      </c>
      <c r="I4" s="35">
        <v>1701.8620000000001</v>
      </c>
      <c r="J4" s="42" t="str">
        <f>+'[1](1)'!J4</f>
        <v>고액권</v>
      </c>
      <c r="K4" s="36">
        <v>20000</v>
      </c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51263</v>
      </c>
      <c r="S4" s="6" t="s">
        <v>2</v>
      </c>
      <c r="T4" s="1"/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/>
      <c r="G5" s="27"/>
      <c r="H5" s="42" t="str">
        <f t="shared" ref="H5:H13" si="2">+C5</f>
        <v>법인전표</v>
      </c>
      <c r="I5" s="43"/>
      <c r="J5" s="42" t="str">
        <f>+'[1](1)'!J5</f>
        <v>천원권</v>
      </c>
      <c r="K5" s="44">
        <v>1000</v>
      </c>
      <c r="L5" s="2"/>
      <c r="M5" s="20"/>
      <c r="N5" s="45" t="str">
        <f>+C4</f>
        <v>판매량</v>
      </c>
      <c r="O5" s="46">
        <f>SUM(D4+I4+D17+I17+D35+I35)</f>
        <v>11792.064999999999</v>
      </c>
      <c r="P5" s="47" t="str">
        <f>+E4</f>
        <v>고액권</v>
      </c>
      <c r="Q5" s="48">
        <f>SUM(F4+K4+F17+K17+F35+K35)</f>
        <v>115000</v>
      </c>
      <c r="R5" s="7">
        <v>32</v>
      </c>
      <c r="S5" s="6" t="s">
        <v>3</v>
      </c>
      <c r="T5" s="1"/>
      <c r="U5" s="1"/>
      <c r="V5" s="1"/>
    </row>
    <row r="6" spans="3:22" ht="16.5" customHeight="1">
      <c r="C6" s="83" t="str">
        <f>+'(1)'!C6</f>
        <v>외상전표</v>
      </c>
      <c r="D6" s="50">
        <v>273.25</v>
      </c>
      <c r="E6" s="105" t="str">
        <f>+'[1](1)'!E6</f>
        <v>블루/레드포인트</v>
      </c>
      <c r="F6" s="44"/>
      <c r="G6" s="27"/>
      <c r="H6" s="42" t="str">
        <f t="shared" si="2"/>
        <v>외상전표</v>
      </c>
      <c r="I6" s="50"/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1000</v>
      </c>
      <c r="R6" s="7">
        <v>2.7</v>
      </c>
      <c r="S6" s="6" t="s">
        <v>4</v>
      </c>
      <c r="T6" s="1"/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/>
      <c r="G7" s="27"/>
      <c r="H7" s="83" t="str">
        <f t="shared" si="2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3">+C6</f>
        <v>외상전표</v>
      </c>
      <c r="O7" s="54">
        <f>SUM(D6+I6+D19+I19+D37+I37)</f>
        <v>273.25</v>
      </c>
      <c r="P7" s="106" t="str">
        <f t="shared" ref="P7:P14" si="4">+E6</f>
        <v>블루/레드포인트</v>
      </c>
      <c r="Q7" s="53">
        <f>SUM(F6+K6+F19+K19+F37+K37)</f>
        <v>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>
        <v>8893635</v>
      </c>
      <c r="G8" s="27"/>
      <c r="H8" s="34" t="str">
        <f t="shared" si="2"/>
        <v>자가소비</v>
      </c>
      <c r="I8" s="50"/>
      <c r="J8" s="42" t="str">
        <f>+'[1](1)'!J8</f>
        <v>신용카드</v>
      </c>
      <c r="K8" s="44">
        <v>10445559</v>
      </c>
      <c r="L8" s="2"/>
      <c r="M8" s="20"/>
      <c r="N8" s="51" t="str">
        <f t="shared" si="3"/>
        <v>효신(업)</v>
      </c>
      <c r="O8" s="52">
        <f>SUM(D7+I7+D20+I20+D38+I38)</f>
        <v>0</v>
      </c>
      <c r="P8" s="106" t="str">
        <f t="shared" si="4"/>
        <v>롯대칠성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/>
      <c r="G9" s="27"/>
      <c r="H9" s="42" t="str">
        <f t="shared" si="2"/>
        <v>-</v>
      </c>
      <c r="I9" s="50"/>
      <c r="J9" s="42" t="str">
        <f>+'[1](1)'!J9</f>
        <v>상품권</v>
      </c>
      <c r="K9" s="44"/>
      <c r="L9" s="2"/>
      <c r="M9" s="20"/>
      <c r="N9" s="51" t="str">
        <f t="shared" si="3"/>
        <v>자가소비</v>
      </c>
      <c r="O9" s="54">
        <f>SUM(D8+I8+D21+I21+D39+I39)</f>
        <v>0</v>
      </c>
      <c r="P9" s="51" t="str">
        <f t="shared" si="4"/>
        <v>신용카드</v>
      </c>
      <c r="Q9" s="53">
        <f>IF(K8=0,F8,IF(F21=0,K8,IF(K21=0,F21,K21)))</f>
        <v>10445559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>
        <v>269.29300000000001</v>
      </c>
      <c r="E10" s="42" t="str">
        <f>+'[1](1)'!E10</f>
        <v>OK케시백</v>
      </c>
      <c r="F10" s="44">
        <v>20951</v>
      </c>
      <c r="G10" s="27"/>
      <c r="H10" s="42" t="str">
        <f t="shared" si="2"/>
        <v>고객우대</v>
      </c>
      <c r="I10" s="50"/>
      <c r="J10" s="42" t="str">
        <f>+'[1](1)'!J10</f>
        <v>OK케시백</v>
      </c>
      <c r="K10" s="44"/>
      <c r="L10" s="2"/>
      <c r="M10" s="20"/>
      <c r="N10" s="51" t="str">
        <f t="shared" si="3"/>
        <v>-</v>
      </c>
      <c r="O10" s="54"/>
      <c r="P10" s="51" t="str">
        <f t="shared" si="4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-9425.255000000001</v>
      </c>
      <c r="E11" s="42" t="str">
        <f>+'[1](1)'!E11</f>
        <v>모바일</v>
      </c>
      <c r="F11" s="44">
        <v>5000</v>
      </c>
      <c r="G11" s="27"/>
      <c r="H11" s="83" t="str">
        <f t="shared" si="2"/>
        <v>-</v>
      </c>
      <c r="I11" s="55">
        <f>SUM(I10*-35)</f>
        <v>0</v>
      </c>
      <c r="J11" s="56" t="str">
        <f>+'[1](1)'!J11</f>
        <v>모바일</v>
      </c>
      <c r="K11" s="44"/>
      <c r="L11" s="2"/>
      <c r="M11" s="20"/>
      <c r="N11" s="51" t="str">
        <f t="shared" si="3"/>
        <v>고객우대</v>
      </c>
      <c r="O11" s="54">
        <f>SUM(D10+I10+D23+I23+D41+I41)</f>
        <v>269.29300000000001</v>
      </c>
      <c r="P11" s="51" t="str">
        <f t="shared" si="4"/>
        <v>OK케시백</v>
      </c>
      <c r="Q11" s="53">
        <f>SUM(F10+K10+F23+K23+F41+K41)</f>
        <v>20951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>
        <v>46474</v>
      </c>
      <c r="G12" s="27"/>
      <c r="H12" s="84" t="str">
        <f t="shared" si="2"/>
        <v>-</v>
      </c>
      <c r="I12" s="57"/>
      <c r="J12" s="29" t="str">
        <f>+'[1](1)'!J12</f>
        <v>제로페이</v>
      </c>
      <c r="K12" s="58"/>
      <c r="L12" s="2"/>
      <c r="M12" s="20"/>
      <c r="N12" s="51" t="str">
        <f t="shared" si="3"/>
        <v>-</v>
      </c>
      <c r="O12" s="55">
        <f>SUM(O11*-35)</f>
        <v>-9425.255000000001</v>
      </c>
      <c r="P12" s="51" t="str">
        <f t="shared" si="4"/>
        <v>모바일</v>
      </c>
      <c r="Q12" s="53">
        <f>SUM(F11+K11+F24+K24+F42+K42)</f>
        <v>5000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SUM((D4-D5-D6-D7-D8-D9)*$I$1+D11)</f>
        <v>9061439.3169999979</v>
      </c>
      <c r="E13" s="29" t="str">
        <f>+'[1](1)'!E13</f>
        <v>합계</v>
      </c>
      <c r="F13" s="61">
        <f>SUM(F4:F12)</f>
        <v>9061060</v>
      </c>
      <c r="G13" s="62"/>
      <c r="H13" s="29" t="str">
        <f t="shared" si="2"/>
        <v>합계</v>
      </c>
      <c r="I13" s="60">
        <f>SUM((I4-I5-I6-I7-I8-I9)*$I$1+I11)</f>
        <v>1572520.4880000001</v>
      </c>
      <c r="J13" s="29" t="str">
        <f t="shared" ref="J13" si="5">+E13</f>
        <v>합계</v>
      </c>
      <c r="K13" s="61">
        <f>IF(K8=0,0,SUM(K4:K12)-F8)</f>
        <v>1572924</v>
      </c>
      <c r="L13" s="2"/>
      <c r="M13" s="20"/>
      <c r="N13" s="63" t="str">
        <f t="shared" si="3"/>
        <v>-</v>
      </c>
      <c r="O13" s="64"/>
      <c r="P13" s="63" t="str">
        <f t="shared" si="4"/>
        <v>제로페이</v>
      </c>
      <c r="Q13" s="65">
        <f>SUM(F12+K12+F25+K25+F43+K43)</f>
        <v>46474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-379.31699999794364</v>
      </c>
      <c r="G14" s="27"/>
      <c r="H14" s="27"/>
      <c r="I14" s="27"/>
      <c r="J14" s="27"/>
      <c r="K14" s="67">
        <f>SUM(K13-I13)</f>
        <v>403.51199999987148</v>
      </c>
      <c r="L14" s="2">
        <f>SUM(L4:L13)</f>
        <v>0</v>
      </c>
      <c r="M14" s="18" t="s">
        <v>9</v>
      </c>
      <c r="N14" s="39" t="str">
        <f t="shared" si="3"/>
        <v>합계</v>
      </c>
      <c r="O14" s="68">
        <f>SUM((O5-O6-O7-O8-O9-O10)*+E1+O12)</f>
        <v>82725.264999999985</v>
      </c>
      <c r="P14" s="39" t="str">
        <f t="shared" si="4"/>
        <v>합계</v>
      </c>
      <c r="Q14" s="69">
        <f>SUM(Q5:Q13)</f>
        <v>10633984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24.195000001927838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30" t="s">
        <v>34</v>
      </c>
      <c r="O18" s="143"/>
      <c r="P18" s="116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105" t="str">
        <f t="shared" ref="E19:E25" si="9">+E6</f>
        <v>블루/레드포인트</v>
      </c>
      <c r="F19" s="44"/>
      <c r="G19" s="27"/>
      <c r="H19" s="42" t="str">
        <f t="shared" ref="H19:H25" si="10">+C6</f>
        <v>외상전표</v>
      </c>
      <c r="I19" s="50"/>
      <c r="J19" s="105" t="str">
        <f t="shared" ref="J19:J25" si="11">+E6</f>
        <v>블루/레드포인트</v>
      </c>
      <c r="K19" s="44"/>
      <c r="L19" s="2"/>
      <c r="M19" s="1"/>
      <c r="N19" s="134" t="s">
        <v>37</v>
      </c>
      <c r="O19" s="135"/>
      <c r="P19" s="117">
        <v>19</v>
      </c>
      <c r="Q19" s="48">
        <f>SUM(P19*1000)</f>
        <v>19000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롯대칠성</v>
      </c>
      <c r="F20" s="44"/>
      <c r="G20" s="27"/>
      <c r="H20" s="42" t="str">
        <f t="shared" si="10"/>
        <v>효신(업)</v>
      </c>
      <c r="I20" s="50"/>
      <c r="J20" s="42" t="str">
        <f t="shared" si="11"/>
        <v>롯대칠성</v>
      </c>
      <c r="K20" s="44"/>
      <c r="L20" s="2"/>
      <c r="M20" s="1"/>
      <c r="N20" s="140" t="s">
        <v>38</v>
      </c>
      <c r="O20" s="141"/>
      <c r="P20" s="118">
        <v>97</v>
      </c>
      <c r="Q20" s="53">
        <f>SUM(P20*1000)</f>
        <v>97000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40" t="s">
        <v>57</v>
      </c>
      <c r="O21" s="141"/>
      <c r="P21" s="118">
        <v>5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42" t="s">
        <v>59</v>
      </c>
      <c r="O22" s="137"/>
      <c r="P22" s="118">
        <v>28</v>
      </c>
      <c r="Q22" s="53"/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36" t="s">
        <v>61</v>
      </c>
      <c r="O23" s="137"/>
      <c r="P23" s="118">
        <v>11</v>
      </c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36" t="s">
        <v>62</v>
      </c>
      <c r="O24" s="137"/>
      <c r="P24" s="118">
        <v>9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36"/>
      <c r="O25" s="137"/>
      <c r="P25" s="121"/>
      <c r="Q25" s="12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SUM((D17-D18-D19-D20-D21-D22)*$I$1+D24)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SUM((I17-I18-I19-I20-I21-I22)*$I$1+I24)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36"/>
      <c r="O26" s="137"/>
      <c r="P26" s="123"/>
      <c r="Q26" s="114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38" t="s">
        <v>39</v>
      </c>
      <c r="O27" s="139"/>
      <c r="P27" s="119">
        <f>+P28-SUM(P19:P26)</f>
        <v>-19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30" t="s">
        <v>40</v>
      </c>
      <c r="O28" s="131"/>
      <c r="P28" s="120">
        <v>150</v>
      </c>
      <c r="Q28" s="69">
        <f>SUM(Q19:Q27)</f>
        <v>116000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1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2"/>
      <c r="O31" s="102">
        <v>25825</v>
      </c>
      <c r="P31" s="103">
        <v>25872</v>
      </c>
      <c r="Q31" s="104">
        <f>P31-O31</f>
        <v>47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1:O21"/>
    <mergeCell ref="N2:Q2"/>
    <mergeCell ref="P3:Q3"/>
    <mergeCell ref="N19:O19"/>
    <mergeCell ref="N20:O20"/>
    <mergeCell ref="N18:O18"/>
    <mergeCell ref="N28:O28"/>
    <mergeCell ref="N22:O22"/>
    <mergeCell ref="N23:O23"/>
    <mergeCell ref="N24:O24"/>
    <mergeCell ref="N27:O27"/>
    <mergeCell ref="N25:O25"/>
    <mergeCell ref="N26:O26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B1" workbookViewId="0">
      <selection activeCell="K4" sqref="K4"/>
    </sheetView>
  </sheetViews>
  <sheetFormatPr defaultRowHeight="27.75" customHeight="1"/>
  <cols>
    <col min="1" max="2" width="9" style="10"/>
    <col min="3" max="3" width="9" style="10" bestFit="1" customWidth="1"/>
    <col min="4" max="4" width="11.25" style="10" customWidth="1"/>
    <col min="5" max="5" width="11.25" style="10" bestFit="1" customWidth="1"/>
    <col min="6" max="6" width="11.25" style="10" customWidth="1"/>
    <col min="7" max="7" width="5" style="10" customWidth="1"/>
    <col min="8" max="8" width="9" style="10"/>
    <col min="9" max="9" width="11.375" style="10" customWidth="1"/>
    <col min="10" max="10" width="11.25" style="10" bestFit="1" customWidth="1"/>
    <col min="11" max="11" width="11.37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4</v>
      </c>
      <c r="D1" s="9" t="s">
        <v>0</v>
      </c>
      <c r="E1" s="99">
        <v>8</v>
      </c>
      <c r="F1" s="1"/>
      <c r="G1" s="1"/>
      <c r="H1" s="1"/>
      <c r="I1" s="1">
        <v>924</v>
      </c>
      <c r="J1" s="1"/>
      <c r="K1" s="1"/>
      <c r="L1" s="21">
        <f>+ROUND(+O5*0.584/1000,3)</f>
        <v>12.201000000000001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1">
        <f>ROUND((+'(3)'!L2*(C1-1)+L1)/C1,3)</f>
        <v>12.526999999999999</v>
      </c>
      <c r="M2" s="18" t="s">
        <v>7</v>
      </c>
      <c r="N2" s="144" t="s">
        <v>1</v>
      </c>
      <c r="O2" s="144"/>
      <c r="P2" s="144"/>
      <c r="Q2" s="144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" si="0">+D3</f>
        <v>수량 및 금액</v>
      </c>
      <c r="J3" s="34" t="str">
        <f>+'[1](1)'!J3</f>
        <v>제   목</v>
      </c>
      <c r="K3" s="29" t="str">
        <f>F3</f>
        <v>수량 및 금액</v>
      </c>
      <c r="L3" s="21">
        <f>+L2*C1</f>
        <v>50.107999999999997</v>
      </c>
      <c r="M3" s="18" t="s">
        <v>10</v>
      </c>
      <c r="N3" s="3"/>
      <c r="O3" s="3"/>
      <c r="P3" s="145" t="str">
        <f>+'(1)'!C1&amp;"년"&amp;'(1)'!E1&amp;"월"&amp;C1&amp;"일"</f>
        <v>2023년8월4일</v>
      </c>
      <c r="Q3" s="145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11267.014999999999</v>
      </c>
      <c r="E4" s="34" t="str">
        <f>+'[1](1)'!E4</f>
        <v>고액권</v>
      </c>
      <c r="F4" s="36">
        <v>165000</v>
      </c>
      <c r="G4" s="27"/>
      <c r="H4" s="34" t="str">
        <f>+C4</f>
        <v>판매량</v>
      </c>
      <c r="I4" s="35">
        <v>9625.8549999999996</v>
      </c>
      <c r="J4" s="42" t="str">
        <f>+'[1](1)'!J4</f>
        <v>고액권</v>
      </c>
      <c r="K4" s="36">
        <v>130000</v>
      </c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44921</v>
      </c>
      <c r="S4" s="6" t="s">
        <v>2</v>
      </c>
      <c r="T4" s="1"/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/>
      <c r="G5" s="27"/>
      <c r="H5" s="42" t="str">
        <f t="shared" ref="H5:H13" si="2">+C5</f>
        <v>법인전표</v>
      </c>
      <c r="I5" s="43"/>
      <c r="J5" s="42" t="str">
        <f>+'[1](1)'!J5</f>
        <v>천원권</v>
      </c>
      <c r="K5" s="44">
        <v>2000</v>
      </c>
      <c r="L5" s="2"/>
      <c r="M5" s="20"/>
      <c r="N5" s="45" t="str">
        <f>+C4</f>
        <v>판매량</v>
      </c>
      <c r="O5" s="46">
        <f>SUM(D4+I4+D17+I17+D35+I35)</f>
        <v>20892.87</v>
      </c>
      <c r="P5" s="47" t="str">
        <f>+E4</f>
        <v>고액권</v>
      </c>
      <c r="Q5" s="48">
        <f>SUM(F4+K4+F17+K17+F35+K35)</f>
        <v>295000</v>
      </c>
      <c r="R5" s="7">
        <v>36</v>
      </c>
      <c r="S5" s="6" t="s">
        <v>3</v>
      </c>
      <c r="T5" s="1"/>
      <c r="U5" s="1"/>
      <c r="V5" s="1"/>
    </row>
    <row r="6" spans="3:22" ht="16.5" customHeight="1">
      <c r="C6" s="83" t="str">
        <f>+'(1)'!C6</f>
        <v>외상전표</v>
      </c>
      <c r="D6" s="50">
        <v>160.91200000000001</v>
      </c>
      <c r="E6" s="105" t="str">
        <f>+'[1](1)'!E6</f>
        <v>블루/레드포인트</v>
      </c>
      <c r="F6" s="44"/>
      <c r="G6" s="27"/>
      <c r="H6" s="42" t="str">
        <f t="shared" si="2"/>
        <v>외상전표</v>
      </c>
      <c r="I6" s="50">
        <v>22.308</v>
      </c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2000</v>
      </c>
      <c r="R6" s="7">
        <v>3.2</v>
      </c>
      <c r="S6" s="6" t="s">
        <v>4</v>
      </c>
      <c r="T6" s="1"/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/>
      <c r="G7" s="27"/>
      <c r="H7" s="83" t="str">
        <f t="shared" si="2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3">+C6</f>
        <v>외상전표</v>
      </c>
      <c r="O7" s="54">
        <f>SUM(D6+I6+D19+I19+D37+I37)</f>
        <v>183.22</v>
      </c>
      <c r="P7" s="106" t="str">
        <f t="shared" ref="P7:P14" si="4">+E6</f>
        <v>블루/레드포인트</v>
      </c>
      <c r="Q7" s="53">
        <f>SUM(F6+K6+F19+K19+F37+K37)</f>
        <v>0</v>
      </c>
      <c r="R7" s="5" t="s">
        <v>65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>
        <v>9930870</v>
      </c>
      <c r="G8" s="27"/>
      <c r="H8" s="34" t="str">
        <f t="shared" si="2"/>
        <v>자가소비</v>
      </c>
      <c r="I8" s="50"/>
      <c r="J8" s="42" t="str">
        <f>+'[1](1)'!J8</f>
        <v>신용카드</v>
      </c>
      <c r="K8" s="44">
        <v>18669521</v>
      </c>
      <c r="L8" s="2"/>
      <c r="M8" s="20"/>
      <c r="N8" s="51" t="str">
        <f t="shared" si="3"/>
        <v>효신(업)</v>
      </c>
      <c r="O8" s="52">
        <f>SUM(D7+I7+D20+I20+D38+I38)</f>
        <v>0</v>
      </c>
      <c r="P8" s="106" t="str">
        <f t="shared" si="4"/>
        <v>롯대칠성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>
        <v>100000</v>
      </c>
      <c r="G9" s="27"/>
      <c r="H9" s="42" t="str">
        <f t="shared" si="2"/>
        <v>-</v>
      </c>
      <c r="I9" s="50"/>
      <c r="J9" s="42" t="str">
        <f>+'[1](1)'!J9</f>
        <v>상품권</v>
      </c>
      <c r="K9" s="44"/>
      <c r="L9" s="2"/>
      <c r="M9" s="20"/>
      <c r="N9" s="51" t="str">
        <f t="shared" si="3"/>
        <v>자가소비</v>
      </c>
      <c r="O9" s="54">
        <f>SUM(D8+I8+D21+I21+D39+I39)</f>
        <v>0</v>
      </c>
      <c r="P9" s="51" t="str">
        <f t="shared" si="4"/>
        <v>신용카드</v>
      </c>
      <c r="Q9" s="53">
        <f>IF(K8=0,F8,IF(F21=0,K8,IF(K21=0,F21,K21)))</f>
        <v>18669521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>
        <v>343.34300000000002</v>
      </c>
      <c r="E10" s="42" t="str">
        <f>+'[1](1)'!E10</f>
        <v>OK케시백</v>
      </c>
      <c r="F10" s="44"/>
      <c r="G10" s="27"/>
      <c r="H10" s="42" t="str">
        <f t="shared" si="2"/>
        <v>고객우대</v>
      </c>
      <c r="I10" s="50">
        <v>0</v>
      </c>
      <c r="J10" s="42" t="str">
        <f>+'[1](1)'!J10</f>
        <v>OK케시백</v>
      </c>
      <c r="K10" s="44"/>
      <c r="L10" s="2"/>
      <c r="M10" s="20"/>
      <c r="N10" s="51" t="str">
        <f t="shared" si="3"/>
        <v>-</v>
      </c>
      <c r="O10" s="54"/>
      <c r="P10" s="51" t="str">
        <f t="shared" si="4"/>
        <v>상품권</v>
      </c>
      <c r="Q10" s="53">
        <f>SUM(F9+K9+F22+K22+F40+K40)</f>
        <v>100000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-12017.005000000001</v>
      </c>
      <c r="E11" s="42" t="str">
        <f>+'[1](1)'!E11</f>
        <v>모바일</v>
      </c>
      <c r="F11" s="44"/>
      <c r="G11" s="27"/>
      <c r="H11" s="83" t="str">
        <f t="shared" si="2"/>
        <v>-</v>
      </c>
      <c r="I11" s="55">
        <f>SUM(I10*-35)</f>
        <v>0</v>
      </c>
      <c r="J11" s="56" t="str">
        <f>+'[1](1)'!J11</f>
        <v>모바일</v>
      </c>
      <c r="K11" s="44"/>
      <c r="L11" s="2"/>
      <c r="M11" s="20"/>
      <c r="N11" s="51" t="str">
        <f t="shared" si="3"/>
        <v>고객우대</v>
      </c>
      <c r="O11" s="54">
        <f>SUM(D10+I10+D23+I23+D41+I41)</f>
        <v>343.34300000000002</v>
      </c>
      <c r="P11" s="51" t="str">
        <f t="shared" si="4"/>
        <v>OK케시백</v>
      </c>
      <c r="Q11" s="53">
        <f>SUM(F10+K10+F23+K23+F41+K41)</f>
        <v>0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>
        <v>54586</v>
      </c>
      <c r="G12" s="27"/>
      <c r="H12" s="84" t="str">
        <f t="shared" si="2"/>
        <v>-</v>
      </c>
      <c r="I12" s="57"/>
      <c r="J12" s="29" t="str">
        <f>+'[1](1)'!J12</f>
        <v>제로페이</v>
      </c>
      <c r="K12" s="58"/>
      <c r="L12" s="2"/>
      <c r="M12" s="20"/>
      <c r="N12" s="51" t="str">
        <f t="shared" si="3"/>
        <v>-</v>
      </c>
      <c r="O12" s="55">
        <f>SUM(O11*-35)</f>
        <v>-12017.005000000001</v>
      </c>
      <c r="P12" s="51" t="str">
        <f t="shared" si="4"/>
        <v>모바일</v>
      </c>
      <c r="Q12" s="53">
        <f>SUM(F11+K11+F24+K24+F42+K42)</f>
        <v>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SUM((D4-D5-D6-D7-D8-D9)*$I$1+D11)</f>
        <v>10250022.166999998</v>
      </c>
      <c r="E13" s="29" t="str">
        <f>+'[1](1)'!E13</f>
        <v>합계</v>
      </c>
      <c r="F13" s="61">
        <f>SUM(F4:F12)</f>
        <v>10250456</v>
      </c>
      <c r="G13" s="62"/>
      <c r="H13" s="29" t="str">
        <f t="shared" si="2"/>
        <v>합계</v>
      </c>
      <c r="I13" s="60">
        <f>SUM((I4-I5-I6-I7-I8-I9)*$I$1+I11)</f>
        <v>8873677.4279999994</v>
      </c>
      <c r="J13" s="29" t="str">
        <f t="shared" ref="J13" si="5">+E13</f>
        <v>합계</v>
      </c>
      <c r="K13" s="61">
        <f>IF(K8=0,0,SUM(K4:K12)-F8)</f>
        <v>8870651</v>
      </c>
      <c r="L13" s="2"/>
      <c r="M13" s="20"/>
      <c r="N13" s="63" t="str">
        <f t="shared" si="3"/>
        <v>-</v>
      </c>
      <c r="O13" s="64"/>
      <c r="P13" s="63" t="str">
        <f t="shared" si="4"/>
        <v>제로페이</v>
      </c>
      <c r="Q13" s="65">
        <f>SUM(F12+K12+F25+K25+F43+K43)</f>
        <v>54586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433.83300000242889</v>
      </c>
      <c r="G14" s="27"/>
      <c r="H14" s="27"/>
      <c r="I14" s="27"/>
      <c r="J14" s="27"/>
      <c r="K14" s="67">
        <f>SUM(K13-I13)</f>
        <v>-3026.4279999993742</v>
      </c>
      <c r="L14" s="2">
        <f>SUM(L4:L13)</f>
        <v>0</v>
      </c>
      <c r="M14" s="18" t="s">
        <v>9</v>
      </c>
      <c r="N14" s="39" t="str">
        <f t="shared" si="3"/>
        <v>합계</v>
      </c>
      <c r="O14" s="68">
        <f>SUM((O5-O6-O7-O8-O9-O10)*+E1+O12)</f>
        <v>153660.19499999998</v>
      </c>
      <c r="P14" s="39" t="str">
        <f t="shared" si="4"/>
        <v>합계</v>
      </c>
      <c r="Q14" s="69">
        <f>SUM(Q5:Q13)</f>
        <v>19121107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-2592.5949999969453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30" t="s">
        <v>34</v>
      </c>
      <c r="O18" s="143"/>
      <c r="P18" s="116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105" t="str">
        <f t="shared" ref="E19:E25" si="9">+E6</f>
        <v>블루/레드포인트</v>
      </c>
      <c r="F19" s="44"/>
      <c r="G19" s="27"/>
      <c r="H19" s="42" t="str">
        <f t="shared" ref="H19:H25" si="10">+C6</f>
        <v>외상전표</v>
      </c>
      <c r="I19" s="50"/>
      <c r="J19" s="105" t="str">
        <f t="shared" ref="J19:J25" si="11">+E6</f>
        <v>블루/레드포인트</v>
      </c>
      <c r="K19" s="44"/>
      <c r="L19" s="2"/>
      <c r="M19" s="1"/>
      <c r="N19" s="134" t="s">
        <v>37</v>
      </c>
      <c r="O19" s="135"/>
      <c r="P19" s="117">
        <v>18</v>
      </c>
      <c r="Q19" s="48">
        <f>SUM(P19*1000)</f>
        <v>18000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롯대칠성</v>
      </c>
      <c r="F20" s="44"/>
      <c r="G20" s="27"/>
      <c r="H20" s="42" t="str">
        <f t="shared" si="10"/>
        <v>효신(업)</v>
      </c>
      <c r="I20" s="50"/>
      <c r="J20" s="42" t="str">
        <f t="shared" si="11"/>
        <v>롯대칠성</v>
      </c>
      <c r="K20" s="44"/>
      <c r="L20" s="2"/>
      <c r="M20" s="1"/>
      <c r="N20" s="140" t="s">
        <v>38</v>
      </c>
      <c r="O20" s="141"/>
      <c r="P20" s="118">
        <v>94</v>
      </c>
      <c r="Q20" s="53">
        <f>SUM(P20*1000)</f>
        <v>94000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40" t="s">
        <v>57</v>
      </c>
      <c r="O21" s="141"/>
      <c r="P21" s="118">
        <v>7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42" t="s">
        <v>59</v>
      </c>
      <c r="O22" s="137"/>
      <c r="P22" s="118">
        <v>23</v>
      </c>
      <c r="Q22" s="53"/>
      <c r="R22" s="32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36" t="s">
        <v>61</v>
      </c>
      <c r="O23" s="137"/>
      <c r="P23" s="118">
        <v>16</v>
      </c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36" t="s">
        <v>62</v>
      </c>
      <c r="O24" s="137"/>
      <c r="P24" s="118">
        <v>8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36"/>
      <c r="O25" s="137"/>
      <c r="P25" s="121"/>
      <c r="Q25" s="12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SUM((D17-D18-D19-D20-D21-D22)*$I$1+D24)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SUM((I17-I18-I19-I20-I21-I22)*$I$1+I24)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36"/>
      <c r="O26" s="137"/>
      <c r="P26" s="123"/>
      <c r="Q26" s="114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38" t="s">
        <v>39</v>
      </c>
      <c r="O27" s="139"/>
      <c r="P27" s="119">
        <f>+P28-SUM(P19:P26)</f>
        <v>-26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30" t="s">
        <v>40</v>
      </c>
      <c r="O28" s="131"/>
      <c r="P28" s="120">
        <v>140</v>
      </c>
      <c r="Q28" s="69">
        <f>SUM(Q19:Q27)</f>
        <v>112000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1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2"/>
      <c r="O31" s="103">
        <v>24960</v>
      </c>
      <c r="P31" s="103">
        <v>25013</v>
      </c>
      <c r="Q31" s="104">
        <f>P31-O31</f>
        <v>53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1:O21"/>
    <mergeCell ref="N2:Q2"/>
    <mergeCell ref="P3:Q3"/>
    <mergeCell ref="N19:O19"/>
    <mergeCell ref="N20:O20"/>
    <mergeCell ref="N18:O18"/>
    <mergeCell ref="N28:O28"/>
    <mergeCell ref="N22:O22"/>
    <mergeCell ref="N23:O23"/>
    <mergeCell ref="N24:O24"/>
    <mergeCell ref="N27:O27"/>
    <mergeCell ref="N25:O25"/>
    <mergeCell ref="N26:O26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workbookViewId="0">
      <selection activeCell="K4" sqref="K4"/>
    </sheetView>
  </sheetViews>
  <sheetFormatPr defaultRowHeight="27.75" customHeight="1"/>
  <cols>
    <col min="1" max="2" width="9" style="10"/>
    <col min="3" max="3" width="9" style="10" bestFit="1" customWidth="1"/>
    <col min="4" max="4" width="11.375" style="10" customWidth="1"/>
    <col min="5" max="5" width="11.25" style="10" bestFit="1" customWidth="1"/>
    <col min="6" max="6" width="11.375" style="10" customWidth="1"/>
    <col min="7" max="7" width="5" style="10" customWidth="1"/>
    <col min="8" max="8" width="9" style="10"/>
    <col min="9" max="9" width="11.375" style="10" customWidth="1"/>
    <col min="10" max="10" width="11.25" style="10" bestFit="1" customWidth="1"/>
    <col min="11" max="11" width="11.37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5</v>
      </c>
      <c r="D1" s="9" t="s">
        <v>0</v>
      </c>
      <c r="E1" s="99">
        <v>8</v>
      </c>
      <c r="F1" s="1"/>
      <c r="G1" s="1"/>
      <c r="H1" s="1"/>
      <c r="I1" s="128">
        <v>924</v>
      </c>
      <c r="J1" s="1"/>
      <c r="K1" s="1"/>
      <c r="L1" s="21">
        <f>+ROUND(+O5*0.584/1000,3)</f>
        <v>9.6920000000000002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98"/>
      <c r="E2" s="1"/>
      <c r="F2" s="1"/>
      <c r="G2" s="1"/>
      <c r="H2" s="1">
        <v>2</v>
      </c>
      <c r="I2" s="98"/>
      <c r="J2" s="1"/>
      <c r="K2" s="1"/>
      <c r="L2" s="21">
        <f>ROUND((+'(4)'!L2*(C1-1)+L1)/C1,3)</f>
        <v>11.96</v>
      </c>
      <c r="M2" s="18" t="s">
        <v>7</v>
      </c>
      <c r="N2" s="144" t="s">
        <v>1</v>
      </c>
      <c r="O2" s="144"/>
      <c r="P2" s="144"/>
      <c r="Q2" s="144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" si="0">+D3</f>
        <v>수량 및 금액</v>
      </c>
      <c r="J3" s="34" t="str">
        <f>+'[1](1)'!J3</f>
        <v>제   목</v>
      </c>
      <c r="K3" s="29" t="str">
        <f>F3</f>
        <v>수량 및 금액</v>
      </c>
      <c r="L3" s="21">
        <f>+L2*C1</f>
        <v>59.800000000000004</v>
      </c>
      <c r="M3" s="18" t="s">
        <v>10</v>
      </c>
      <c r="N3" s="3"/>
      <c r="O3" s="3"/>
      <c r="P3" s="145" t="str">
        <f>+'(1)'!C1&amp;"년"&amp;'(1)'!E1&amp;"월"&amp;C1&amp;"일"</f>
        <v>2023년8월5일</v>
      </c>
      <c r="Q3" s="145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8882.2189999999991</v>
      </c>
      <c r="E4" s="34" t="str">
        <f>+'[1](1)'!E4</f>
        <v>고액권</v>
      </c>
      <c r="F4" s="36">
        <v>125000</v>
      </c>
      <c r="G4" s="27"/>
      <c r="H4" s="34" t="str">
        <f>+C4</f>
        <v>판매량</v>
      </c>
      <c r="I4" s="35">
        <v>7714.0320000000002</v>
      </c>
      <c r="J4" s="42" t="str">
        <f>+'[1](1)'!J4</f>
        <v>고액권</v>
      </c>
      <c r="K4" s="36">
        <v>140000</v>
      </c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30279</v>
      </c>
      <c r="S4" s="6" t="s">
        <v>2</v>
      </c>
      <c r="T4" s="1"/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>
        <v>2000</v>
      </c>
      <c r="G5" s="27"/>
      <c r="H5" s="42" t="str">
        <f t="shared" ref="H5:H13" si="2">+C5</f>
        <v>법인전표</v>
      </c>
      <c r="I5" s="43"/>
      <c r="J5" s="42" t="str">
        <f>+'[1](1)'!J5</f>
        <v>천원권</v>
      </c>
      <c r="K5" s="44">
        <v>2000</v>
      </c>
      <c r="L5" s="2"/>
      <c r="M5" s="20"/>
      <c r="N5" s="45" t="str">
        <f>+C4</f>
        <v>판매량</v>
      </c>
      <c r="O5" s="46">
        <f>SUM(D4+I4+D17+I17+D35+I35)</f>
        <v>16596.251</v>
      </c>
      <c r="P5" s="47" t="str">
        <f>+E4</f>
        <v>고액권</v>
      </c>
      <c r="Q5" s="48">
        <f>SUM(F4+K4+F17+K17+F35+K35)</f>
        <v>265000</v>
      </c>
      <c r="R5" s="7">
        <v>35</v>
      </c>
      <c r="S5" s="6" t="s">
        <v>3</v>
      </c>
      <c r="T5" s="1"/>
      <c r="U5" s="1"/>
      <c r="V5" s="1"/>
    </row>
    <row r="6" spans="3:22" ht="16.5" customHeight="1">
      <c r="C6" s="83" t="str">
        <f>+'(1)'!C6</f>
        <v>외상전표</v>
      </c>
      <c r="D6" s="50">
        <v>87.123999999999995</v>
      </c>
      <c r="E6" s="105" t="str">
        <f>+'[1](1)'!E6</f>
        <v>블루/레드포인트</v>
      </c>
      <c r="F6" s="44"/>
      <c r="G6" s="27"/>
      <c r="H6" s="42" t="str">
        <f t="shared" si="2"/>
        <v>외상전표</v>
      </c>
      <c r="I6" s="50"/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4000</v>
      </c>
      <c r="R6" s="7">
        <v>3.2</v>
      </c>
      <c r="S6" s="6" t="s">
        <v>4</v>
      </c>
      <c r="T6" s="1"/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/>
      <c r="G7" s="27"/>
      <c r="H7" s="83" t="str">
        <f t="shared" si="2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3">+C6</f>
        <v>외상전표</v>
      </c>
      <c r="O7" s="54">
        <f>SUM(D6+I6+D19+I19+D37+I37)</f>
        <v>87.123999999999995</v>
      </c>
      <c r="P7" s="106" t="str">
        <f t="shared" ref="P7:P14" si="4">+E6</f>
        <v>블루/레드포인트</v>
      </c>
      <c r="Q7" s="53">
        <f>SUM(F6+K6+F19+K19+F37+K37)</f>
        <v>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>
        <v>7988175</v>
      </c>
      <c r="G8" s="27"/>
      <c r="H8" s="34" t="str">
        <f t="shared" si="2"/>
        <v>자가소비</v>
      </c>
      <c r="I8" s="50"/>
      <c r="J8" s="42" t="str">
        <f>+'[1](1)'!J8</f>
        <v>신용카드</v>
      </c>
      <c r="K8" s="44">
        <f>F8+6985770</f>
        <v>14973945</v>
      </c>
      <c r="L8" s="2"/>
      <c r="M8" s="20"/>
      <c r="N8" s="51" t="str">
        <f t="shared" si="3"/>
        <v>효신(업)</v>
      </c>
      <c r="O8" s="52">
        <f>SUM(D7+I7+D20+I20+D38+I38)</f>
        <v>0</v>
      </c>
      <c r="P8" s="106" t="str">
        <f t="shared" si="4"/>
        <v>롯대칠성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/>
      <c r="G9" s="27"/>
      <c r="H9" s="42" t="str">
        <f t="shared" si="2"/>
        <v>-</v>
      </c>
      <c r="I9" s="50"/>
      <c r="J9" s="42" t="str">
        <f>+'[1](1)'!J9</f>
        <v>상품권</v>
      </c>
      <c r="K9" s="44"/>
      <c r="L9" s="2"/>
      <c r="M9" s="20"/>
      <c r="N9" s="51" t="str">
        <f t="shared" si="3"/>
        <v>자가소비</v>
      </c>
      <c r="O9" s="54">
        <f>SUM(D8+I8+D21+I21+D39+I39)</f>
        <v>0</v>
      </c>
      <c r="P9" s="51" t="str">
        <f t="shared" si="4"/>
        <v>신용카드</v>
      </c>
      <c r="Q9" s="53">
        <f>IF(K8=0,F8,IF(F21=0,K8,IF(K21=0,F21,K21)))</f>
        <v>14973945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>
        <v>186.376</v>
      </c>
      <c r="E10" s="42" t="str">
        <f>+'[1](1)'!E10</f>
        <v>OK케시백</v>
      </c>
      <c r="F10" s="44"/>
      <c r="G10" s="27"/>
      <c r="H10" s="42" t="str">
        <f t="shared" si="2"/>
        <v>고객우대</v>
      </c>
      <c r="I10" s="50"/>
      <c r="J10" s="42" t="str">
        <f>+'[1](1)'!J10</f>
        <v>OK케시백</v>
      </c>
      <c r="K10" s="44"/>
      <c r="L10" s="2"/>
      <c r="M10" s="20"/>
      <c r="N10" s="51" t="str">
        <f t="shared" si="3"/>
        <v>-</v>
      </c>
      <c r="O10" s="54"/>
      <c r="P10" s="51" t="str">
        <f t="shared" si="4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-6523.16</v>
      </c>
      <c r="E11" s="42" t="str">
        <f>+'[1](1)'!E11</f>
        <v>모바일</v>
      </c>
      <c r="F11" s="44">
        <v>5000</v>
      </c>
      <c r="G11" s="27"/>
      <c r="H11" s="83" t="str">
        <f t="shared" si="2"/>
        <v>-</v>
      </c>
      <c r="I11" s="55">
        <f>SUM(I10*-35)</f>
        <v>0</v>
      </c>
      <c r="J11" s="56" t="str">
        <f>+'[1](1)'!J11</f>
        <v>모바일</v>
      </c>
      <c r="K11" s="44"/>
      <c r="L11" s="2"/>
      <c r="M11" s="20"/>
      <c r="N11" s="51" t="str">
        <f t="shared" si="3"/>
        <v>고객우대</v>
      </c>
      <c r="O11" s="54">
        <f>SUM(D10+I10+D23+I23+D41+I41)</f>
        <v>186.376</v>
      </c>
      <c r="P11" s="51" t="str">
        <f t="shared" si="4"/>
        <v>OK케시백</v>
      </c>
      <c r="Q11" s="53">
        <f>SUM(F10+K10+F23+K23+F41+K41)</f>
        <v>0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/>
      <c r="G12" s="27"/>
      <c r="H12" s="84" t="str">
        <f t="shared" si="2"/>
        <v>-</v>
      </c>
      <c r="I12" s="57"/>
      <c r="J12" s="29" t="str">
        <f>+'[1](1)'!J12</f>
        <v>제로페이</v>
      </c>
      <c r="K12" s="58"/>
      <c r="L12" s="2"/>
      <c r="M12" s="20"/>
      <c r="N12" s="51" t="str">
        <f t="shared" si="3"/>
        <v>-</v>
      </c>
      <c r="O12" s="55">
        <f>SUM(O11*-35)</f>
        <v>-6523.16</v>
      </c>
      <c r="P12" s="51" t="str">
        <f t="shared" si="4"/>
        <v>모바일</v>
      </c>
      <c r="Q12" s="53">
        <f>SUM(F11+K11+F24+K24+F42+K42)</f>
        <v>5000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SUM((D4-D5-D6-D7-D8-D9)*$I$1+D11)</f>
        <v>8120144.6199999992</v>
      </c>
      <c r="E13" s="29" t="str">
        <f>+'[1](1)'!E13</f>
        <v>합계</v>
      </c>
      <c r="F13" s="61">
        <f>SUM(F4:F12)</f>
        <v>8120175</v>
      </c>
      <c r="G13" s="62"/>
      <c r="H13" s="29" t="str">
        <f t="shared" si="2"/>
        <v>합계</v>
      </c>
      <c r="I13" s="60">
        <f>SUM((I4-I5-I6-I7-I8-I9)*$I$1+I11)</f>
        <v>7127765.568</v>
      </c>
      <c r="J13" s="29" t="str">
        <f t="shared" ref="J13" si="5">+E13</f>
        <v>합계</v>
      </c>
      <c r="K13" s="61">
        <f>IF(K8=0,0,SUM(K4:K12)-F8)</f>
        <v>7127770</v>
      </c>
      <c r="L13" s="2"/>
      <c r="M13" s="20"/>
      <c r="N13" s="63" t="str">
        <f t="shared" si="3"/>
        <v>-</v>
      </c>
      <c r="O13" s="64"/>
      <c r="P13" s="63" t="str">
        <f t="shared" si="4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30.380000000819564</v>
      </c>
      <c r="G14" s="27"/>
      <c r="H14" s="27"/>
      <c r="I14" s="27"/>
      <c r="J14" s="27"/>
      <c r="K14" s="67">
        <f>SUM(K13-I13)</f>
        <v>4.4320000000298023</v>
      </c>
      <c r="L14" s="2">
        <f>SUM(L4:L13)</f>
        <v>0</v>
      </c>
      <c r="M14" s="18" t="s">
        <v>9</v>
      </c>
      <c r="N14" s="39" t="str">
        <f t="shared" si="3"/>
        <v>합계</v>
      </c>
      <c r="O14" s="68">
        <f>SUM((O5-O6-O7-O8-O9-O10)*+E1+O12)</f>
        <v>125549.856</v>
      </c>
      <c r="P14" s="39" t="str">
        <f t="shared" si="4"/>
        <v>합계</v>
      </c>
      <c r="Q14" s="69">
        <f>SUM(Q5:Q13)</f>
        <v>15247945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34.812000000849366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30" t="s">
        <v>34</v>
      </c>
      <c r="O18" s="143"/>
      <c r="P18" s="116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105" t="str">
        <f t="shared" ref="E19:E25" si="9">+E6</f>
        <v>블루/레드포인트</v>
      </c>
      <c r="F19" s="44"/>
      <c r="G19" s="27"/>
      <c r="H19" s="42" t="str">
        <f t="shared" ref="H19:H25" si="10">+C6</f>
        <v>외상전표</v>
      </c>
      <c r="I19" s="50"/>
      <c r="J19" s="105" t="str">
        <f t="shared" ref="J19:J25" si="11">+E6</f>
        <v>블루/레드포인트</v>
      </c>
      <c r="K19" s="44"/>
      <c r="L19" s="2"/>
      <c r="M19" s="1"/>
      <c r="N19" s="134" t="s">
        <v>37</v>
      </c>
      <c r="O19" s="135"/>
      <c r="P19" s="117">
        <v>14</v>
      </c>
      <c r="Q19" s="48">
        <f>SUM(P19*1000)</f>
        <v>14000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롯대칠성</v>
      </c>
      <c r="F20" s="44"/>
      <c r="G20" s="27"/>
      <c r="H20" s="42" t="str">
        <f t="shared" si="10"/>
        <v>효신(업)</v>
      </c>
      <c r="I20" s="50"/>
      <c r="J20" s="42" t="str">
        <f t="shared" si="11"/>
        <v>롯대칠성</v>
      </c>
      <c r="K20" s="44"/>
      <c r="L20" s="2"/>
      <c r="M20" s="1"/>
      <c r="N20" s="140" t="s">
        <v>38</v>
      </c>
      <c r="O20" s="141"/>
      <c r="P20" s="118">
        <v>108</v>
      </c>
      <c r="Q20" s="53">
        <f>SUM(P20*1000)</f>
        <v>108000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40" t="s">
        <v>57</v>
      </c>
      <c r="O21" s="141"/>
      <c r="P21" s="118">
        <v>5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42" t="s">
        <v>59</v>
      </c>
      <c r="O22" s="137"/>
      <c r="P22" s="118">
        <v>24</v>
      </c>
      <c r="Q22" s="53"/>
      <c r="R22" s="32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36" t="s">
        <v>61</v>
      </c>
      <c r="O23" s="137"/>
      <c r="P23" s="118">
        <v>9</v>
      </c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36" t="s">
        <v>62</v>
      </c>
      <c r="O24" s="137"/>
      <c r="P24" s="118">
        <v>10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36"/>
      <c r="O25" s="137"/>
      <c r="P25" s="121"/>
      <c r="Q25" s="12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SUM((D17-D18-D19-D20-D21-D22)*$I$1+D24)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SUM((I17-I18-I19-I20-I21-I22)*$I$1+I24)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36"/>
      <c r="O26" s="137"/>
      <c r="P26" s="123"/>
      <c r="Q26" s="114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38" t="s">
        <v>39</v>
      </c>
      <c r="O27" s="139"/>
      <c r="P27" s="119">
        <f>+P28-SUM(P19:P26)</f>
        <v>-39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30" t="s">
        <v>40</v>
      </c>
      <c r="O28" s="131"/>
      <c r="P28" s="120">
        <v>131</v>
      </c>
      <c r="Q28" s="69">
        <f>SUM(Q19:Q27)</f>
        <v>122000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1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2"/>
      <c r="O31" s="103">
        <v>25013</v>
      </c>
      <c r="P31" s="103">
        <v>25067</v>
      </c>
      <c r="Q31" s="104">
        <f>P31-O31</f>
        <v>54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1:O21"/>
    <mergeCell ref="N2:Q2"/>
    <mergeCell ref="P3:Q3"/>
    <mergeCell ref="N19:O19"/>
    <mergeCell ref="N20:O20"/>
    <mergeCell ref="N18:O18"/>
    <mergeCell ref="N28:O28"/>
    <mergeCell ref="N22:O22"/>
    <mergeCell ref="N23:O23"/>
    <mergeCell ref="N24:O24"/>
    <mergeCell ref="N27:O27"/>
    <mergeCell ref="N25:O25"/>
    <mergeCell ref="N26:O26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A4" workbookViewId="0">
      <selection activeCell="K4" sqref="K4"/>
    </sheetView>
  </sheetViews>
  <sheetFormatPr defaultRowHeight="27.75" customHeight="1"/>
  <cols>
    <col min="1" max="2" width="9" style="10"/>
    <col min="3" max="3" width="9" style="10" bestFit="1" customWidth="1"/>
    <col min="4" max="4" width="11.25" style="10" customWidth="1"/>
    <col min="5" max="5" width="11.25" style="10" bestFit="1" customWidth="1"/>
    <col min="6" max="6" width="11.375" style="10" customWidth="1"/>
    <col min="7" max="7" width="5" style="10" customWidth="1"/>
    <col min="8" max="8" width="9" style="10"/>
    <col min="9" max="9" width="11.375" style="10" customWidth="1"/>
    <col min="10" max="10" width="11.25" style="10" bestFit="1" customWidth="1"/>
    <col min="11" max="11" width="11.37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6</v>
      </c>
      <c r="D1" s="9" t="s">
        <v>0</v>
      </c>
      <c r="E1" s="99">
        <v>8</v>
      </c>
      <c r="F1" s="1"/>
      <c r="G1" s="1"/>
      <c r="H1" s="1"/>
      <c r="I1" s="1">
        <v>924</v>
      </c>
      <c r="J1" s="1"/>
      <c r="K1" s="1"/>
      <c r="L1" s="21">
        <f>+ROUND(+O5*0.584/1000,3)</f>
        <v>6.8049999999999997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1">
        <f>ROUND((+'(5)'!L2*(C1-1)+L1)/C1,3)</f>
        <v>11.101000000000001</v>
      </c>
      <c r="M2" s="18" t="s">
        <v>7</v>
      </c>
      <c r="N2" s="144" t="s">
        <v>1</v>
      </c>
      <c r="O2" s="144"/>
      <c r="P2" s="144"/>
      <c r="Q2" s="144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" si="0">+D3</f>
        <v>수량 및 금액</v>
      </c>
      <c r="J3" s="34" t="str">
        <f>+'[1](1)'!J3</f>
        <v>제   목</v>
      </c>
      <c r="K3" s="29" t="str">
        <f>F3</f>
        <v>수량 및 금액</v>
      </c>
      <c r="L3" s="21">
        <f>+L2*C1</f>
        <v>66.606000000000009</v>
      </c>
      <c r="M3" s="18" t="s">
        <v>10</v>
      </c>
      <c r="N3" s="3"/>
      <c r="O3" s="3"/>
      <c r="P3" s="145" t="str">
        <f>+'(1)'!C1&amp;"년"&amp;'(1)'!E1&amp;"월"&amp;C1&amp;"일"</f>
        <v>2023년8월6일</v>
      </c>
      <c r="Q3" s="145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6432.7079999999996</v>
      </c>
      <c r="E4" s="34" t="str">
        <f>+'[1](1)'!E4</f>
        <v>고액권</v>
      </c>
      <c r="F4" s="36">
        <v>200000</v>
      </c>
      <c r="G4" s="27"/>
      <c r="H4" s="34" t="str">
        <f>+C4</f>
        <v>판매량</v>
      </c>
      <c r="I4" s="35">
        <v>5219.3950000000004</v>
      </c>
      <c r="J4" s="42" t="str">
        <f>+'[1](1)'!J4</f>
        <v>고액권</v>
      </c>
      <c r="K4" s="36">
        <v>120000</v>
      </c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14540</v>
      </c>
      <c r="S4" s="6" t="s">
        <v>2</v>
      </c>
      <c r="T4" s="1"/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>
        <v>3000</v>
      </c>
      <c r="G5" s="27"/>
      <c r="H5" s="42" t="str">
        <f t="shared" ref="H5:H13" si="2">+C5</f>
        <v>법인전표</v>
      </c>
      <c r="I5" s="43"/>
      <c r="J5" s="42" t="str">
        <f>+'[1](1)'!J5</f>
        <v>천원권</v>
      </c>
      <c r="K5" s="44"/>
      <c r="L5" s="2"/>
      <c r="M5" s="20"/>
      <c r="N5" s="45" t="str">
        <f>+C4</f>
        <v>판매량</v>
      </c>
      <c r="O5" s="46">
        <f>SUM(D4+I4+D17+I17+D35+I35)</f>
        <v>11652.102999999999</v>
      </c>
      <c r="P5" s="47" t="str">
        <f>+E4</f>
        <v>고액권</v>
      </c>
      <c r="Q5" s="48">
        <f>SUM(F4+K4+F17+K17+F35+K35)</f>
        <v>320000</v>
      </c>
      <c r="R5" s="7">
        <v>36</v>
      </c>
      <c r="S5" s="6" t="s">
        <v>3</v>
      </c>
      <c r="T5" s="1"/>
      <c r="U5" s="1"/>
      <c r="V5" s="1"/>
    </row>
    <row r="6" spans="3:22" ht="16.5" customHeight="1">
      <c r="C6" s="83" t="str">
        <f>+'(1)'!C6</f>
        <v>외상전표</v>
      </c>
      <c r="D6" s="50"/>
      <c r="E6" s="105" t="str">
        <f>+'[1](1)'!E6</f>
        <v>블루/레드포인트</v>
      </c>
      <c r="F6" s="44"/>
      <c r="G6" s="27"/>
      <c r="H6" s="42" t="str">
        <f t="shared" si="2"/>
        <v>외상전표</v>
      </c>
      <c r="I6" s="50">
        <v>49.694000000000003</v>
      </c>
      <c r="J6" s="105" t="str">
        <f>+'[1](1)'!J6</f>
        <v>블루/레드포인트</v>
      </c>
      <c r="K6" s="44">
        <v>39586</v>
      </c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3000</v>
      </c>
      <c r="R6" s="7">
        <v>3.4</v>
      </c>
      <c r="S6" s="6" t="s">
        <v>4</v>
      </c>
      <c r="T6" s="1"/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/>
      <c r="G7" s="27"/>
      <c r="H7" s="83" t="str">
        <f t="shared" si="2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3">+C6</f>
        <v>외상전표</v>
      </c>
      <c r="O7" s="54">
        <f>SUM(D6+I6+D19+I19+D37+I37)</f>
        <v>49.694000000000003</v>
      </c>
      <c r="P7" s="106" t="str">
        <f t="shared" ref="P7:P14" si="4">+E6</f>
        <v>블루/레드포인트</v>
      </c>
      <c r="Q7" s="53">
        <f>SUM(F6+K6+F19+K19+F37+K37)</f>
        <v>39586</v>
      </c>
      <c r="R7" s="5" t="s">
        <v>54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>
        <v>5726169</v>
      </c>
      <c r="G8" s="27"/>
      <c r="H8" s="34" t="str">
        <f t="shared" si="2"/>
        <v>자가소비</v>
      </c>
      <c r="I8" s="50"/>
      <c r="J8" s="42" t="str">
        <f>+'[1](1)'!J8</f>
        <v>신용카드</v>
      </c>
      <c r="K8" s="44">
        <v>10324319</v>
      </c>
      <c r="L8" s="2"/>
      <c r="M8" s="20"/>
      <c r="N8" s="51" t="str">
        <f t="shared" si="3"/>
        <v>효신(업)</v>
      </c>
      <c r="O8" s="52">
        <f>SUM(D7+I7+D20+I20+D38+I38)</f>
        <v>0</v>
      </c>
      <c r="P8" s="106" t="str">
        <f t="shared" si="4"/>
        <v>롯대칠성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/>
      <c r="G9" s="27"/>
      <c r="H9" s="42" t="str">
        <f t="shared" si="2"/>
        <v>-</v>
      </c>
      <c r="I9" s="50"/>
      <c r="J9" s="42" t="str">
        <f>+'[1](1)'!J9</f>
        <v>상품권</v>
      </c>
      <c r="K9" s="44"/>
      <c r="L9" s="2"/>
      <c r="M9" s="20"/>
      <c r="N9" s="51" t="str">
        <f t="shared" si="3"/>
        <v>자가소비</v>
      </c>
      <c r="O9" s="54">
        <f>SUM(D8+I8+D21+I21+D39+I39)</f>
        <v>0</v>
      </c>
      <c r="P9" s="51" t="str">
        <f t="shared" si="4"/>
        <v>신용카드</v>
      </c>
      <c r="Q9" s="53">
        <f>IF(K8=0,F8,IF(F21=0,K8,IF(K21=0,F21,K21)))</f>
        <v>10324319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>
        <v>53.6</v>
      </c>
      <c r="E10" s="42" t="str">
        <f>+'[1](1)'!E10</f>
        <v>OK케시백</v>
      </c>
      <c r="F10" s="44">
        <v>6970</v>
      </c>
      <c r="G10" s="27"/>
      <c r="H10" s="42" t="str">
        <f t="shared" si="2"/>
        <v>고객우대</v>
      </c>
      <c r="I10" s="50">
        <v>54.926000000000002</v>
      </c>
      <c r="J10" s="42" t="str">
        <f>+'[1](1)'!J10</f>
        <v>OK케시백</v>
      </c>
      <c r="K10" s="44">
        <v>18000</v>
      </c>
      <c r="L10" s="2"/>
      <c r="M10" s="20"/>
      <c r="N10" s="51" t="str">
        <f t="shared" si="3"/>
        <v>-</v>
      </c>
      <c r="O10" s="54"/>
      <c r="P10" s="51" t="str">
        <f t="shared" si="4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-1876</v>
      </c>
      <c r="E11" s="42" t="str">
        <f>+'[1](1)'!E11</f>
        <v>모바일</v>
      </c>
      <c r="F11" s="44">
        <v>5000</v>
      </c>
      <c r="G11" s="27"/>
      <c r="H11" s="83" t="str">
        <f t="shared" si="2"/>
        <v>-</v>
      </c>
      <c r="I11" s="55">
        <f>SUM(I10*-35)</f>
        <v>-1922.41</v>
      </c>
      <c r="J11" s="56" t="str">
        <f>+'[1](1)'!J11</f>
        <v>모바일</v>
      </c>
      <c r="K11" s="44"/>
      <c r="L11" s="2"/>
      <c r="M11" s="20"/>
      <c r="N11" s="51" t="str">
        <f t="shared" si="3"/>
        <v>고객우대</v>
      </c>
      <c r="O11" s="54">
        <f>SUM(D10+I10+D23+I23+D41+I41)</f>
        <v>108.52600000000001</v>
      </c>
      <c r="P11" s="51" t="str">
        <f t="shared" si="4"/>
        <v>OK케시백</v>
      </c>
      <c r="Q11" s="53">
        <f>SUM(F10+K10+F23+K23+F41+K41)</f>
        <v>24970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/>
      <c r="G12" s="27"/>
      <c r="H12" s="84" t="str">
        <f t="shared" si="2"/>
        <v>-</v>
      </c>
      <c r="I12" s="57"/>
      <c r="J12" s="29" t="str">
        <f>+'[1](1)'!J12</f>
        <v>제로페이</v>
      </c>
      <c r="K12" s="58"/>
      <c r="L12" s="2"/>
      <c r="M12" s="20"/>
      <c r="N12" s="51" t="str">
        <f t="shared" si="3"/>
        <v>-</v>
      </c>
      <c r="O12" s="55">
        <f>SUM(O11*-35)</f>
        <v>-3798.4100000000003</v>
      </c>
      <c r="P12" s="51" t="str">
        <f t="shared" si="4"/>
        <v>모바일</v>
      </c>
      <c r="Q12" s="53">
        <f>SUM(F11+K11+F24+K24+F42+K42)</f>
        <v>5000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SUM((D4-D5-D6-D7-D8-D9)*$I$1+D11)</f>
        <v>5941946.1919999998</v>
      </c>
      <c r="E13" s="29" t="str">
        <f>+'[1](1)'!E13</f>
        <v>합계</v>
      </c>
      <c r="F13" s="61">
        <f>SUM(F4:F12)</f>
        <v>5941139</v>
      </c>
      <c r="G13" s="62"/>
      <c r="H13" s="29" t="str">
        <f t="shared" si="2"/>
        <v>합계</v>
      </c>
      <c r="I13" s="60">
        <f>SUM((I4-I5-I6-I7-I8-I9)*$I$1+I11)</f>
        <v>4774881.3140000002</v>
      </c>
      <c r="J13" s="29" t="str">
        <f t="shared" ref="J13" si="5">+E13</f>
        <v>합계</v>
      </c>
      <c r="K13" s="61">
        <f>IF(K8=0,0,SUM(K4:K12)-F8)</f>
        <v>4775736</v>
      </c>
      <c r="L13" s="2"/>
      <c r="M13" s="20"/>
      <c r="N13" s="63" t="str">
        <f t="shared" si="3"/>
        <v>-</v>
      </c>
      <c r="O13" s="64"/>
      <c r="P13" s="63" t="str">
        <f t="shared" si="4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-807.19199999980628</v>
      </c>
      <c r="G14" s="27"/>
      <c r="H14" s="27"/>
      <c r="I14" s="27"/>
      <c r="J14" s="27"/>
      <c r="K14" s="67">
        <f>SUM(K13-I13)</f>
        <v>854.68599999975413</v>
      </c>
      <c r="L14" s="2">
        <f>SUM(L4:L13)</f>
        <v>0</v>
      </c>
      <c r="M14" s="18" t="s">
        <v>9</v>
      </c>
      <c r="N14" s="39" t="str">
        <f t="shared" si="3"/>
        <v>합계</v>
      </c>
      <c r="O14" s="68">
        <f>SUM((O5-O6-O7-O8-O9-O10)*+E1+O12)</f>
        <v>89020.861999999994</v>
      </c>
      <c r="P14" s="39" t="str">
        <f t="shared" si="4"/>
        <v>합계</v>
      </c>
      <c r="Q14" s="69">
        <f>SUM(Q5:Q13)</f>
        <v>10716875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47.493999999947846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30" t="s">
        <v>34</v>
      </c>
      <c r="O18" s="143"/>
      <c r="P18" s="116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105" t="str">
        <f t="shared" ref="E19:E25" si="9">+E6</f>
        <v>블루/레드포인트</v>
      </c>
      <c r="F19" s="44"/>
      <c r="G19" s="27"/>
      <c r="H19" s="42" t="str">
        <f t="shared" ref="H19:H25" si="10">+C6</f>
        <v>외상전표</v>
      </c>
      <c r="I19" s="50"/>
      <c r="J19" s="105" t="str">
        <f t="shared" ref="J19:J25" si="11">+E6</f>
        <v>블루/레드포인트</v>
      </c>
      <c r="K19" s="44"/>
      <c r="L19" s="2"/>
      <c r="M19" s="1"/>
      <c r="N19" s="134" t="s">
        <v>37</v>
      </c>
      <c r="O19" s="135"/>
      <c r="P19" s="117">
        <v>8</v>
      </c>
      <c r="Q19" s="48">
        <f>SUM(P19*1000)</f>
        <v>8000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롯대칠성</v>
      </c>
      <c r="F20" s="44"/>
      <c r="G20" s="27"/>
      <c r="H20" s="42" t="str">
        <f t="shared" si="10"/>
        <v>효신(업)</v>
      </c>
      <c r="I20" s="50"/>
      <c r="J20" s="42" t="str">
        <f t="shared" si="11"/>
        <v>롯대칠성</v>
      </c>
      <c r="K20" s="44"/>
      <c r="L20" s="2"/>
      <c r="M20" s="1"/>
      <c r="N20" s="140" t="s">
        <v>38</v>
      </c>
      <c r="O20" s="141"/>
      <c r="P20" s="118">
        <v>76</v>
      </c>
      <c r="Q20" s="53">
        <f>SUM(P20*1000)</f>
        <v>76000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40" t="s">
        <v>57</v>
      </c>
      <c r="O21" s="141"/>
      <c r="P21" s="118">
        <v>0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42" t="s">
        <v>59</v>
      </c>
      <c r="O22" s="137"/>
      <c r="P22" s="118">
        <v>16</v>
      </c>
      <c r="Q22" s="53"/>
      <c r="R22" s="32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36" t="s">
        <v>61</v>
      </c>
      <c r="O23" s="137"/>
      <c r="P23" s="118">
        <v>10</v>
      </c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36" t="s">
        <v>62</v>
      </c>
      <c r="O24" s="137"/>
      <c r="P24" s="118">
        <v>4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36"/>
      <c r="O25" s="137"/>
      <c r="P25" s="121"/>
      <c r="Q25" s="12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SUM((D17-D18-D19-D20-D21-D22)*$I$1+D24)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SUM((I17-I18-I19-I20-I21-I22)*$I$1+I24)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36"/>
      <c r="O26" s="137"/>
      <c r="P26" s="123"/>
      <c r="Q26" s="114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38" t="s">
        <v>39</v>
      </c>
      <c r="O27" s="139"/>
      <c r="P27" s="119">
        <f>+P28-SUM(P19:P26)</f>
        <v>-15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30" t="s">
        <v>40</v>
      </c>
      <c r="O28" s="131"/>
      <c r="P28" s="120">
        <v>99</v>
      </c>
      <c r="Q28" s="69">
        <f>SUM(Q19:Q27)</f>
        <v>84000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1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2"/>
      <c r="O31" s="102">
        <v>25067</v>
      </c>
      <c r="P31" s="103">
        <v>25106</v>
      </c>
      <c r="Q31" s="104">
        <f>P31-O31</f>
        <v>39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1:O21"/>
    <mergeCell ref="N2:Q2"/>
    <mergeCell ref="P3:Q3"/>
    <mergeCell ref="N19:O19"/>
    <mergeCell ref="N20:O20"/>
    <mergeCell ref="N18:O18"/>
    <mergeCell ref="N28:O28"/>
    <mergeCell ref="N22:O22"/>
    <mergeCell ref="N23:O23"/>
    <mergeCell ref="N24:O24"/>
    <mergeCell ref="N27:O27"/>
    <mergeCell ref="N25:O25"/>
    <mergeCell ref="N26:O26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3"/>
  <sheetViews>
    <sheetView topLeftCell="A7" workbookViewId="0">
      <selection activeCell="K4" sqref="K4"/>
    </sheetView>
  </sheetViews>
  <sheetFormatPr defaultRowHeight="27.75" customHeight="1"/>
  <cols>
    <col min="1" max="2" width="9" style="10"/>
    <col min="3" max="3" width="9" style="10" bestFit="1" customWidth="1"/>
    <col min="4" max="4" width="11.375" style="10" customWidth="1"/>
    <col min="5" max="5" width="11.25" style="10" bestFit="1" customWidth="1"/>
    <col min="6" max="6" width="11.5" style="10" customWidth="1"/>
    <col min="7" max="7" width="5" style="10" customWidth="1"/>
    <col min="8" max="8" width="9" style="10"/>
    <col min="9" max="9" width="11.375" style="10" customWidth="1"/>
    <col min="10" max="10" width="11.25" style="10" bestFit="1" customWidth="1"/>
    <col min="11" max="11" width="11.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7</v>
      </c>
      <c r="D1" s="9" t="s">
        <v>0</v>
      </c>
      <c r="E1" s="99">
        <v>8</v>
      </c>
      <c r="F1" s="1"/>
      <c r="G1" s="1"/>
      <c r="H1" s="1"/>
      <c r="I1" s="1">
        <v>924</v>
      </c>
      <c r="J1" s="1"/>
      <c r="K1" s="1"/>
      <c r="L1" s="21">
        <f>+ROUND(+O5*0.584/1000,3)</f>
        <v>11.226000000000001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1">
        <f>ROUND((+'(6)'!L2*(C1-1)+L1)/C1,3)</f>
        <v>11.119</v>
      </c>
      <c r="M2" s="18" t="s">
        <v>7</v>
      </c>
      <c r="N2" s="144" t="s">
        <v>1</v>
      </c>
      <c r="O2" s="144"/>
      <c r="P2" s="144"/>
      <c r="Q2" s="144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" si="0">+D3</f>
        <v>수량 및 금액</v>
      </c>
      <c r="J3" s="34" t="str">
        <f>+'[1](1)'!J3</f>
        <v>제   목</v>
      </c>
      <c r="K3" s="29" t="str">
        <f>F3</f>
        <v>수량 및 금액</v>
      </c>
      <c r="L3" s="21">
        <f>+L2*C1</f>
        <v>77.832999999999998</v>
      </c>
      <c r="M3" s="18" t="s">
        <v>10</v>
      </c>
      <c r="N3" s="3"/>
      <c r="O3" s="3"/>
      <c r="P3" s="145" t="str">
        <f>+'(1)'!C1&amp;"년"&amp;'(1)'!E1&amp;"월"&amp;C1&amp;"일"</f>
        <v>2023년8월7일</v>
      </c>
      <c r="Q3" s="145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11245.15</v>
      </c>
      <c r="E4" s="34" t="str">
        <f>+'[1](1)'!E4</f>
        <v>고액권</v>
      </c>
      <c r="F4" s="36">
        <v>385000</v>
      </c>
      <c r="G4" s="27"/>
      <c r="H4" s="34" t="str">
        <f>+C4</f>
        <v>판매량</v>
      </c>
      <c r="I4" s="35">
        <v>7977.0720000000001</v>
      </c>
      <c r="J4" s="42" t="str">
        <f>+'[1](1)'!J4</f>
        <v>고액권</v>
      </c>
      <c r="K4" s="36">
        <v>110000</v>
      </c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31176</v>
      </c>
      <c r="S4" s="6" t="s">
        <v>2</v>
      </c>
      <c r="T4" s="1"/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>
        <v>2000</v>
      </c>
      <c r="G5" s="27"/>
      <c r="H5" s="42" t="str">
        <f t="shared" ref="H5:H13" si="2">+C5</f>
        <v>법인전표</v>
      </c>
      <c r="I5" s="43"/>
      <c r="J5" s="42" t="str">
        <f>+'[1](1)'!J5</f>
        <v>천원권</v>
      </c>
      <c r="K5" s="44">
        <v>4000</v>
      </c>
      <c r="L5" s="2"/>
      <c r="M5" s="20"/>
      <c r="N5" s="45" t="str">
        <f>+C4</f>
        <v>판매량</v>
      </c>
      <c r="O5" s="46">
        <f>SUM(D4+I4+D17+I17+D35+I35)</f>
        <v>19222.222000000002</v>
      </c>
      <c r="P5" s="47" t="str">
        <f>+E4</f>
        <v>고액권</v>
      </c>
      <c r="Q5" s="48">
        <f>SUM(F4+K4+F17+K17+F35+K35)</f>
        <v>495000</v>
      </c>
      <c r="R5" s="7">
        <v>36</v>
      </c>
      <c r="S5" s="6" t="s">
        <v>3</v>
      </c>
      <c r="T5" s="1"/>
      <c r="U5" s="1"/>
      <c r="V5" s="1"/>
    </row>
    <row r="6" spans="3:22" ht="16.5" customHeight="1">
      <c r="C6" s="83" t="str">
        <f>+'(1)'!C6</f>
        <v>외상전표</v>
      </c>
      <c r="D6" s="50">
        <v>234.059</v>
      </c>
      <c r="E6" s="105" t="str">
        <f>+'[1](1)'!E6</f>
        <v>블루/레드포인트</v>
      </c>
      <c r="F6" s="44"/>
      <c r="G6" s="27"/>
      <c r="H6" s="42" t="str">
        <f t="shared" si="2"/>
        <v>외상전표</v>
      </c>
      <c r="I6" s="50"/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6000</v>
      </c>
      <c r="R6" s="7">
        <v>3.5</v>
      </c>
      <c r="S6" s="6" t="s">
        <v>4</v>
      </c>
      <c r="T6" s="1"/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/>
      <c r="G7" s="27"/>
      <c r="H7" s="83" t="str">
        <f t="shared" si="2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3">+C6</f>
        <v>외상전표</v>
      </c>
      <c r="O7" s="54">
        <f>SUM(D6+I6+D19+I19+D37+I37)</f>
        <v>234.059</v>
      </c>
      <c r="P7" s="106" t="str">
        <f t="shared" ref="P7:P14" si="4">+E6</f>
        <v>블루/레드포인트</v>
      </c>
      <c r="Q7" s="53">
        <f>SUM(F6+K6+F19+K19+F37+K37)</f>
        <v>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>
        <v>9770849</v>
      </c>
      <c r="G8" s="27"/>
      <c r="H8" s="34" t="str">
        <f t="shared" si="2"/>
        <v>자가소비</v>
      </c>
      <c r="I8" s="50"/>
      <c r="J8" s="42" t="str">
        <f>+'[1](1)'!J8</f>
        <v>신용카드</v>
      </c>
      <c r="K8" s="44">
        <v>17018070</v>
      </c>
      <c r="L8" s="2"/>
      <c r="M8" s="20"/>
      <c r="N8" s="51" t="str">
        <f t="shared" si="3"/>
        <v>효신(업)</v>
      </c>
      <c r="O8" s="52">
        <f>SUM(D7+I7+D20+I20+D38+I38)</f>
        <v>0</v>
      </c>
      <c r="P8" s="106" t="str">
        <f t="shared" si="4"/>
        <v>롯대칠성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/>
      <c r="G9" s="27"/>
      <c r="H9" s="42" t="str">
        <f t="shared" si="2"/>
        <v>-</v>
      </c>
      <c r="I9" s="50"/>
      <c r="J9" s="42" t="str">
        <f>+'[1](1)'!J9</f>
        <v>상품권</v>
      </c>
      <c r="K9" s="44"/>
      <c r="L9" s="2"/>
      <c r="M9" s="20"/>
      <c r="N9" s="51" t="str">
        <f t="shared" si="3"/>
        <v>자가소비</v>
      </c>
      <c r="O9" s="54">
        <f>SUM(D8+I8+D21+I21+D39+I39)</f>
        <v>0</v>
      </c>
      <c r="P9" s="51" t="str">
        <f t="shared" si="4"/>
        <v>신용카드</v>
      </c>
      <c r="Q9" s="53">
        <f>IF(K8=0,F8,IF(F21=0,K8,IF(K21=0,F21,K21)))</f>
        <v>17018070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>
        <v>168.131</v>
      </c>
      <c r="E10" s="42" t="str">
        <f>+'[1](1)'!E10</f>
        <v>OK케시백</v>
      </c>
      <c r="F10" s="44">
        <v>9214</v>
      </c>
      <c r="G10" s="27"/>
      <c r="H10" s="42" t="str">
        <f t="shared" si="2"/>
        <v>고객우대</v>
      </c>
      <c r="I10" s="50">
        <v>59.76</v>
      </c>
      <c r="J10" s="42" t="str">
        <f>+'[1](1)'!J10</f>
        <v>OK케시백</v>
      </c>
      <c r="K10" s="44"/>
      <c r="L10" s="2"/>
      <c r="M10" s="20"/>
      <c r="N10" s="51" t="str">
        <f t="shared" si="3"/>
        <v>-</v>
      </c>
      <c r="O10" s="54"/>
      <c r="P10" s="51" t="str">
        <f t="shared" si="4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-5884.585</v>
      </c>
      <c r="E11" s="42" t="str">
        <f>+'[1](1)'!E11</f>
        <v>모바일</v>
      </c>
      <c r="F11" s="44"/>
      <c r="G11" s="27"/>
      <c r="H11" s="83" t="str">
        <f t="shared" si="2"/>
        <v>-</v>
      </c>
      <c r="I11" s="55">
        <f>SUM(I10*-35)</f>
        <v>-2091.6</v>
      </c>
      <c r="J11" s="56" t="str">
        <f>+'[1](1)'!J11</f>
        <v>모바일</v>
      </c>
      <c r="K11" s="44">
        <v>10000</v>
      </c>
      <c r="L11" s="2"/>
      <c r="M11" s="20"/>
      <c r="N11" s="51" t="str">
        <f t="shared" si="3"/>
        <v>고객우대</v>
      </c>
      <c r="O11" s="54">
        <f>SUM(D10+I10+D23+I23+D41+I41)</f>
        <v>227.89099999999999</v>
      </c>
      <c r="P11" s="51" t="str">
        <f t="shared" si="4"/>
        <v>OK케시백</v>
      </c>
      <c r="Q11" s="53">
        <f>SUM(F10+K10+F23+K23+F41+K41)</f>
        <v>9214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/>
      <c r="G12" s="27"/>
      <c r="H12" s="84" t="str">
        <f t="shared" si="2"/>
        <v>-</v>
      </c>
      <c r="I12" s="57"/>
      <c r="J12" s="29" t="str">
        <f>+'[1](1)'!J12</f>
        <v>제로페이</v>
      </c>
      <c r="K12" s="58"/>
      <c r="L12" s="2"/>
      <c r="M12" s="20"/>
      <c r="N12" s="51" t="str">
        <f t="shared" si="3"/>
        <v>-</v>
      </c>
      <c r="O12" s="55">
        <f>SUM(O11*-35)</f>
        <v>-7976.1849999999995</v>
      </c>
      <c r="P12" s="51" t="str">
        <f t="shared" si="4"/>
        <v>모바일</v>
      </c>
      <c r="Q12" s="53">
        <f>SUM(F11+K11+F24+K24+F42+K42)</f>
        <v>10000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SUM((D4-D5-D6-D7-D8-D9)*$I$1+D11)</f>
        <v>10168363.499</v>
      </c>
      <c r="E13" s="29" t="str">
        <f>+'[1](1)'!E13</f>
        <v>합계</v>
      </c>
      <c r="F13" s="61">
        <f>SUM(F4:F12)</f>
        <v>10167063</v>
      </c>
      <c r="G13" s="62"/>
      <c r="H13" s="29" t="str">
        <f t="shared" si="2"/>
        <v>합계</v>
      </c>
      <c r="I13" s="60">
        <f>SUM((I4-I5-I6-I7-I8-I9)*$I$1+I11)</f>
        <v>7368722.9280000003</v>
      </c>
      <c r="J13" s="29" t="str">
        <f t="shared" ref="J13" si="5">+E13</f>
        <v>합계</v>
      </c>
      <c r="K13" s="61">
        <f>IF(K8=0,0,SUM(K4:K12)-F8)</f>
        <v>7371221</v>
      </c>
      <c r="L13" s="2"/>
      <c r="M13" s="20"/>
      <c r="N13" s="63" t="str">
        <f t="shared" si="3"/>
        <v>-</v>
      </c>
      <c r="O13" s="64"/>
      <c r="P13" s="63" t="str">
        <f t="shared" si="4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-1300.4989999998361</v>
      </c>
      <c r="G14" s="27"/>
      <c r="H14" s="27"/>
      <c r="I14" s="27"/>
      <c r="J14" s="27"/>
      <c r="K14" s="67">
        <f>SUM(K13-I13)</f>
        <v>2498.0719999996945</v>
      </c>
      <c r="L14" s="2">
        <f>SUM(L4:L13)</f>
        <v>0</v>
      </c>
      <c r="M14" s="18" t="s">
        <v>9</v>
      </c>
      <c r="N14" s="39" t="str">
        <f t="shared" si="3"/>
        <v>합계</v>
      </c>
      <c r="O14" s="68">
        <f>SUM((O5-O6-O7-O8-O9-O10)*+E1+O12)</f>
        <v>143929.11900000001</v>
      </c>
      <c r="P14" s="39" t="str">
        <f t="shared" si="4"/>
        <v>합계</v>
      </c>
      <c r="Q14" s="69">
        <f>SUM(Q5:Q13)</f>
        <v>17538284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1197.5729999998584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30" t="s">
        <v>34</v>
      </c>
      <c r="O18" s="143"/>
      <c r="P18" s="116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105" t="str">
        <f t="shared" ref="E19:E25" si="9">+E6</f>
        <v>블루/레드포인트</v>
      </c>
      <c r="F19" s="44"/>
      <c r="G19" s="27"/>
      <c r="H19" s="42" t="str">
        <f t="shared" ref="H19:H25" si="10">+C6</f>
        <v>외상전표</v>
      </c>
      <c r="I19" s="50"/>
      <c r="J19" s="105" t="str">
        <f t="shared" ref="J19:J25" si="11">+E6</f>
        <v>블루/레드포인트</v>
      </c>
      <c r="K19" s="44"/>
      <c r="L19" s="2"/>
      <c r="M19" s="1"/>
      <c r="N19" s="134" t="s">
        <v>37</v>
      </c>
      <c r="O19" s="135"/>
      <c r="P19" s="117">
        <v>17</v>
      </c>
      <c r="Q19" s="48">
        <f>SUM(P19*1000)</f>
        <v>17000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롯대칠성</v>
      </c>
      <c r="F20" s="44"/>
      <c r="G20" s="27"/>
      <c r="H20" s="42" t="str">
        <f t="shared" si="10"/>
        <v>효신(업)</v>
      </c>
      <c r="I20" s="50"/>
      <c r="J20" s="42" t="str">
        <f t="shared" si="11"/>
        <v>롯대칠성</v>
      </c>
      <c r="K20" s="44"/>
      <c r="L20" s="2"/>
      <c r="M20" s="1"/>
      <c r="N20" s="140" t="s">
        <v>38</v>
      </c>
      <c r="O20" s="141"/>
      <c r="P20" s="118">
        <v>104</v>
      </c>
      <c r="Q20" s="53">
        <f>SUM(P20*1000)</f>
        <v>104000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40" t="s">
        <v>57</v>
      </c>
      <c r="O21" s="141"/>
      <c r="P21" s="118">
        <v>7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42" t="s">
        <v>59</v>
      </c>
      <c r="O22" s="137"/>
      <c r="P22" s="118">
        <v>23</v>
      </c>
      <c r="Q22" s="53"/>
      <c r="R22" s="32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36" t="s">
        <v>61</v>
      </c>
      <c r="O23" s="137"/>
      <c r="P23" s="118">
        <v>13</v>
      </c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36" t="s">
        <v>62</v>
      </c>
      <c r="O24" s="137"/>
      <c r="P24" s="118">
        <v>8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36"/>
      <c r="O25" s="137"/>
      <c r="P25" s="121"/>
      <c r="Q25" s="12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SUM((D17-D18-D19-D20-D21-D22)*$I$1+D24)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SUM((I17-I18-I19-I20-I21-I22)*$I$1+I24)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36"/>
      <c r="O26" s="137"/>
      <c r="P26" s="123"/>
      <c r="Q26" s="114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38" t="s">
        <v>39</v>
      </c>
      <c r="O27" s="139"/>
      <c r="P27" s="119">
        <f>+P28-SUM(P19:P26)</f>
        <v>-38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30" t="s">
        <v>40</v>
      </c>
      <c r="O28" s="131"/>
      <c r="P28" s="120">
        <v>134</v>
      </c>
      <c r="Q28" s="69">
        <f>SUM(Q19:Q27)</f>
        <v>121000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1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2"/>
      <c r="O31" s="102">
        <v>25106</v>
      </c>
      <c r="P31" s="103">
        <v>25171</v>
      </c>
      <c r="Q31" s="104">
        <f>P31-O31</f>
        <v>65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  <row r="43" spans="3:22" ht="27.75" customHeight="1">
      <c r="P43" s="10">
        <v>13</v>
      </c>
    </row>
  </sheetData>
  <mergeCells count="13">
    <mergeCell ref="N21:O21"/>
    <mergeCell ref="N2:Q2"/>
    <mergeCell ref="P3:Q3"/>
    <mergeCell ref="N19:O19"/>
    <mergeCell ref="N20:O20"/>
    <mergeCell ref="N18:O18"/>
    <mergeCell ref="N28:O28"/>
    <mergeCell ref="N22:O22"/>
    <mergeCell ref="N23:O23"/>
    <mergeCell ref="N24:O24"/>
    <mergeCell ref="N27:O27"/>
    <mergeCell ref="N25:O25"/>
    <mergeCell ref="N26:O26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A10" workbookViewId="0">
      <selection activeCell="K4" sqref="K4"/>
    </sheetView>
  </sheetViews>
  <sheetFormatPr defaultRowHeight="27.75" customHeight="1"/>
  <cols>
    <col min="1" max="2" width="9" style="10"/>
    <col min="3" max="3" width="9" style="10" bestFit="1" customWidth="1"/>
    <col min="4" max="4" width="11.25" style="10" customWidth="1"/>
    <col min="5" max="5" width="11.25" style="10" bestFit="1" customWidth="1"/>
    <col min="6" max="6" width="11.5" style="10" customWidth="1"/>
    <col min="7" max="7" width="5" style="10" customWidth="1"/>
    <col min="8" max="8" width="9" style="10"/>
    <col min="9" max="9" width="11.25" style="10" customWidth="1"/>
    <col min="10" max="10" width="11.25" style="10" bestFit="1" customWidth="1"/>
    <col min="11" max="11" width="11.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8</v>
      </c>
      <c r="D1" s="9" t="s">
        <v>0</v>
      </c>
      <c r="E1" s="99">
        <v>8</v>
      </c>
      <c r="F1" s="1"/>
      <c r="G1" s="1"/>
      <c r="H1" s="1"/>
      <c r="I1" s="1">
        <v>924</v>
      </c>
      <c r="J1" s="1"/>
      <c r="K1" s="1"/>
      <c r="L1" s="22">
        <f>+ROUND(+O5*0.584/1000,3)</f>
        <v>11.497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ROUND((+'(7)'!L2*(C1-1)+L1)/C1,3)</f>
        <v>11.166</v>
      </c>
      <c r="M2" s="18" t="s">
        <v>7</v>
      </c>
      <c r="N2" s="144" t="s">
        <v>1</v>
      </c>
      <c r="O2" s="144"/>
      <c r="P2" s="144"/>
      <c r="Q2" s="144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">
        <v>55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" si="0">+D3</f>
        <v>수량 및 금액</v>
      </c>
      <c r="J3" s="34" t="str">
        <f>+'[1](1)'!J3</f>
        <v>제   목</v>
      </c>
      <c r="K3" s="29" t="str">
        <f>F3</f>
        <v>수량 및 금액</v>
      </c>
      <c r="L3" s="21">
        <f>+L2*C1</f>
        <v>89.328000000000003</v>
      </c>
      <c r="M3" s="18" t="s">
        <v>10</v>
      </c>
      <c r="N3" s="3"/>
      <c r="O3" s="3"/>
      <c r="P3" s="145" t="str">
        <f>+'(1)'!C1&amp;"년"&amp;'(1)'!E1&amp;"월"&amp;C1&amp;"일"</f>
        <v>2023년8월8일</v>
      </c>
      <c r="Q3" s="145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11102.313</v>
      </c>
      <c r="E4" s="34" t="str">
        <f>+'[1](1)'!E4</f>
        <v>고액권</v>
      </c>
      <c r="F4" s="36">
        <v>170000</v>
      </c>
      <c r="G4" s="27"/>
      <c r="H4" s="34" t="str">
        <f>+C4</f>
        <v>판매량</v>
      </c>
      <c r="I4" s="35">
        <v>8584.3240000000005</v>
      </c>
      <c r="J4" s="42" t="str">
        <f>+'[1](1)'!J4</f>
        <v>고액권</v>
      </c>
      <c r="K4" s="36">
        <v>120000</v>
      </c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29400</v>
      </c>
      <c r="S4" s="6" t="s">
        <v>2</v>
      </c>
      <c r="T4" s="1"/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>
        <v>2000</v>
      </c>
      <c r="G5" s="27"/>
      <c r="H5" s="42" t="str">
        <f t="shared" ref="H5:H13" si="2">+C5</f>
        <v>법인전표</v>
      </c>
      <c r="I5" s="43"/>
      <c r="J5" s="42" t="str">
        <f>+'[1](1)'!J5</f>
        <v>천원권</v>
      </c>
      <c r="K5" s="44">
        <v>5000</v>
      </c>
      <c r="L5" s="2"/>
      <c r="M5" s="20"/>
      <c r="N5" s="45" t="str">
        <f>+C4</f>
        <v>판매량</v>
      </c>
      <c r="O5" s="46">
        <f>SUM(D4+I4+D17+I17+D35+I35)</f>
        <v>19686.637000000002</v>
      </c>
      <c r="P5" s="47" t="str">
        <f>+E4</f>
        <v>고액권</v>
      </c>
      <c r="Q5" s="48">
        <f>SUM(F4+K4+F17+K17+F35+K35)</f>
        <v>290000</v>
      </c>
      <c r="R5" s="7">
        <v>34</v>
      </c>
      <c r="S5" s="6" t="s">
        <v>3</v>
      </c>
      <c r="T5" s="1"/>
      <c r="U5" s="1"/>
      <c r="V5" s="1"/>
    </row>
    <row r="6" spans="3:22" ht="16.5" customHeight="1">
      <c r="C6" s="83" t="str">
        <f>+'(1)'!C6</f>
        <v>외상전표</v>
      </c>
      <c r="D6" s="50">
        <v>302.33999999999997</v>
      </c>
      <c r="E6" s="105" t="str">
        <f>+'[1](1)'!E6</f>
        <v>블루/레드포인트</v>
      </c>
      <c r="F6" s="44"/>
      <c r="G6" s="27"/>
      <c r="H6" s="42" t="str">
        <f t="shared" si="2"/>
        <v>외상전표</v>
      </c>
      <c r="I6" s="50">
        <v>14.701000000000001</v>
      </c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7000</v>
      </c>
      <c r="R6" s="7">
        <v>2.4</v>
      </c>
      <c r="S6" s="6" t="s">
        <v>4</v>
      </c>
      <c r="T6" s="1"/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/>
      <c r="G7" s="27"/>
      <c r="H7" s="83" t="str">
        <f t="shared" si="2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3">+C6</f>
        <v>외상전표</v>
      </c>
      <c r="O7" s="54">
        <f>SUM(D6+I6+D19+I19+D37+I37)</f>
        <v>317.041</v>
      </c>
      <c r="P7" s="106" t="str">
        <f t="shared" ref="P7:P14" si="4">+E6</f>
        <v>블루/레드포인트</v>
      </c>
      <c r="Q7" s="53">
        <f>SUM(F6+K6+F19+K19+F37+K37)</f>
        <v>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>
        <v>9742782</v>
      </c>
      <c r="G8" s="27"/>
      <c r="H8" s="34" t="str">
        <f t="shared" si="2"/>
        <v>자가소비</v>
      </c>
      <c r="I8" s="50"/>
      <c r="J8" s="42" t="str">
        <f>+'[1](1)'!J8</f>
        <v>신용카드</v>
      </c>
      <c r="K8" s="44">
        <v>17516493</v>
      </c>
      <c r="L8" s="2"/>
      <c r="M8" s="20"/>
      <c r="N8" s="51" t="str">
        <f t="shared" si="3"/>
        <v>효신(업)</v>
      </c>
      <c r="O8" s="52">
        <f>SUM(D7+I7+D20+I20+D38+I38)</f>
        <v>0</v>
      </c>
      <c r="P8" s="106" t="str">
        <f t="shared" si="4"/>
        <v>롯대칠성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/>
      <c r="G9" s="27"/>
      <c r="H9" s="42" t="str">
        <f t="shared" si="2"/>
        <v>-</v>
      </c>
      <c r="I9" s="50"/>
      <c r="J9" s="42" t="str">
        <f>+'[1](1)'!J9</f>
        <v>상품권</v>
      </c>
      <c r="K9" s="44"/>
      <c r="L9" s="2"/>
      <c r="M9" s="20"/>
      <c r="N9" s="51" t="str">
        <f t="shared" si="3"/>
        <v>자가소비</v>
      </c>
      <c r="O9" s="54">
        <f>SUM(D8+I8+D21+I21+D39+I39)</f>
        <v>0</v>
      </c>
      <c r="P9" s="51" t="str">
        <f t="shared" si="4"/>
        <v>신용카드</v>
      </c>
      <c r="Q9" s="53">
        <f>IF(K8=0,F8,IF(F21=0,K8,IF(K21=0,F21,K21)))</f>
        <v>17516493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>
        <v>488.55900000000003</v>
      </c>
      <c r="E10" s="42" t="str">
        <f>+'[1](1)'!E10</f>
        <v>OK케시백</v>
      </c>
      <c r="F10" s="44"/>
      <c r="G10" s="27"/>
      <c r="H10" s="42" t="str">
        <f t="shared" si="2"/>
        <v>고객우대</v>
      </c>
      <c r="I10" s="50">
        <v>52.588999999999999</v>
      </c>
      <c r="J10" s="42" t="str">
        <f>+'[1](1)'!J10</f>
        <v>OK케시백</v>
      </c>
      <c r="K10" s="44"/>
      <c r="L10" s="2"/>
      <c r="M10" s="20"/>
      <c r="N10" s="51" t="str">
        <f t="shared" si="3"/>
        <v>-</v>
      </c>
      <c r="O10" s="54"/>
      <c r="P10" s="51" t="str">
        <f t="shared" si="4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-17099.565000000002</v>
      </c>
      <c r="E11" s="42" t="str">
        <f>+'[1](1)'!E11</f>
        <v>모바일</v>
      </c>
      <c r="F11" s="44"/>
      <c r="G11" s="27"/>
      <c r="H11" s="83" t="str">
        <f t="shared" si="2"/>
        <v>-</v>
      </c>
      <c r="I11" s="55">
        <f>SUM(I10*-35)</f>
        <v>-1840.615</v>
      </c>
      <c r="J11" s="56" t="str">
        <f>+'[1](1)'!J11</f>
        <v>모바일</v>
      </c>
      <c r="K11" s="44">
        <v>18000</v>
      </c>
      <c r="L11" s="2"/>
      <c r="M11" s="20"/>
      <c r="N11" s="51" t="str">
        <f t="shared" si="3"/>
        <v>고객우대</v>
      </c>
      <c r="O11" s="54">
        <f>SUM(D10+I10+D23+I23+D41+I41)</f>
        <v>541.14800000000002</v>
      </c>
      <c r="P11" s="51" t="str">
        <f t="shared" si="4"/>
        <v>OK케시백</v>
      </c>
      <c r="Q11" s="53">
        <f>SUM(F10+K10+F23+K23+F41+K41)</f>
        <v>0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>
        <v>44285</v>
      </c>
      <c r="G12" s="27"/>
      <c r="H12" s="84" t="str">
        <f t="shared" si="2"/>
        <v>-</v>
      </c>
      <c r="I12" s="57"/>
      <c r="J12" s="29" t="str">
        <f>+'[1](1)'!J12</f>
        <v>제로페이</v>
      </c>
      <c r="K12" s="58"/>
      <c r="L12" s="2"/>
      <c r="M12" s="20"/>
      <c r="N12" s="51" t="str">
        <f t="shared" si="3"/>
        <v>-</v>
      </c>
      <c r="O12" s="55">
        <f>SUM(O11*-35)</f>
        <v>-18940.18</v>
      </c>
      <c r="P12" s="51" t="str">
        <f t="shared" si="4"/>
        <v>모바일</v>
      </c>
      <c r="Q12" s="53">
        <f>SUM(F11+K11+F24+K24+F42+K42)</f>
        <v>18000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SUM((D4-D5-D6-D7-D8-D9)*$I$1+D11)</f>
        <v>9962075.4869999997</v>
      </c>
      <c r="E13" s="29" t="str">
        <f>+'[1](1)'!E13</f>
        <v>합계</v>
      </c>
      <c r="F13" s="61">
        <f>SUM(F4:F12)</f>
        <v>9959067</v>
      </c>
      <c r="G13" s="62"/>
      <c r="H13" s="29" t="str">
        <f t="shared" si="2"/>
        <v>합계</v>
      </c>
      <c r="I13" s="60">
        <f>SUM((I4-I5-I6-I7-I8-I9)*$I$1+I11)</f>
        <v>7916491.0370000014</v>
      </c>
      <c r="J13" s="29" t="str">
        <f t="shared" ref="J13" si="5">+E13</f>
        <v>합계</v>
      </c>
      <c r="K13" s="61">
        <f>IF(K8=0,0,SUM(K4:K12)-F8)</f>
        <v>7916711</v>
      </c>
      <c r="L13" s="2"/>
      <c r="M13" s="20"/>
      <c r="N13" s="63" t="str">
        <f t="shared" si="3"/>
        <v>-</v>
      </c>
      <c r="O13" s="64"/>
      <c r="P13" s="63" t="str">
        <f t="shared" si="4"/>
        <v>제로페이</v>
      </c>
      <c r="Q13" s="65">
        <f>SUM(F12+K12+F25+K25+F43+K43)</f>
        <v>44285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-3008.4869999997318</v>
      </c>
      <c r="G14" s="27"/>
      <c r="H14" s="27"/>
      <c r="I14" s="27"/>
      <c r="J14" s="27"/>
      <c r="K14" s="67">
        <f>SUM(K13-I13)</f>
        <v>219.96299999859184</v>
      </c>
      <c r="L14" s="2">
        <f>SUM(L4:L13)</f>
        <v>0</v>
      </c>
      <c r="M14" s="18" t="s">
        <v>9</v>
      </c>
      <c r="N14" s="39" t="str">
        <f t="shared" si="3"/>
        <v>합계</v>
      </c>
      <c r="O14" s="68">
        <f>SUM((O5-O6-O7-O8-O9-O10)*+E1+O12)</f>
        <v>136016.58800000002</v>
      </c>
      <c r="P14" s="39" t="str">
        <f t="shared" si="4"/>
        <v>합계</v>
      </c>
      <c r="Q14" s="69">
        <f>SUM(Q5:Q13)</f>
        <v>17875778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-2788.5240000011399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30" t="s">
        <v>34</v>
      </c>
      <c r="O18" s="143"/>
      <c r="P18" s="116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105" t="str">
        <f t="shared" ref="E19:E25" si="9">+E6</f>
        <v>블루/레드포인트</v>
      </c>
      <c r="F19" s="44"/>
      <c r="G19" s="27"/>
      <c r="H19" s="42" t="str">
        <f t="shared" ref="H19:H25" si="10">+C6</f>
        <v>외상전표</v>
      </c>
      <c r="I19" s="50"/>
      <c r="J19" s="105" t="str">
        <f t="shared" ref="J19:J25" si="11">+E6</f>
        <v>블루/레드포인트</v>
      </c>
      <c r="K19" s="44"/>
      <c r="L19" s="2"/>
      <c r="M19" s="1"/>
      <c r="N19" s="134" t="s">
        <v>37</v>
      </c>
      <c r="O19" s="135"/>
      <c r="P19" s="117">
        <v>16</v>
      </c>
      <c r="Q19" s="48">
        <f>SUM(P19*1000)</f>
        <v>16000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롯대칠성</v>
      </c>
      <c r="F20" s="44"/>
      <c r="G20" s="27"/>
      <c r="H20" s="42" t="str">
        <f t="shared" si="10"/>
        <v>효신(업)</v>
      </c>
      <c r="I20" s="50"/>
      <c r="J20" s="42" t="str">
        <f t="shared" si="11"/>
        <v>롯대칠성</v>
      </c>
      <c r="K20" s="44"/>
      <c r="L20" s="2"/>
      <c r="M20" s="1"/>
      <c r="N20" s="140" t="s">
        <v>38</v>
      </c>
      <c r="O20" s="141"/>
      <c r="P20" s="118">
        <v>49</v>
      </c>
      <c r="Q20" s="53">
        <f>SUM(P20*1000)</f>
        <v>49000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40" t="s">
        <v>57</v>
      </c>
      <c r="O21" s="141"/>
      <c r="P21" s="118">
        <v>8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42" t="s">
        <v>59</v>
      </c>
      <c r="O22" s="137"/>
      <c r="P22" s="118">
        <v>17</v>
      </c>
      <c r="Q22" s="53"/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36" t="s">
        <v>61</v>
      </c>
      <c r="O23" s="137"/>
      <c r="P23" s="118">
        <v>10</v>
      </c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36" t="s">
        <v>62</v>
      </c>
      <c r="O24" s="137"/>
      <c r="P24" s="118">
        <v>11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36"/>
      <c r="O25" s="137"/>
      <c r="P25" s="121"/>
      <c r="Q25" s="12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SUM((D17-D18-D19-D20-D21-D22)*$I$1+D24)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SUM((I17-I18-I19-I20-I21-I22)*$I$1+I24)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36"/>
      <c r="O26" s="137"/>
      <c r="P26" s="123"/>
      <c r="Q26" s="114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38" t="s">
        <v>39</v>
      </c>
      <c r="O27" s="139"/>
      <c r="P27" s="119">
        <f>+P28-SUM(P19:P26)</f>
        <v>-1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30" t="s">
        <v>40</v>
      </c>
      <c r="O28" s="131"/>
      <c r="P28" s="120">
        <v>110</v>
      </c>
      <c r="Q28" s="69">
        <f>SUM(Q19:Q27)</f>
        <v>65000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1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2"/>
      <c r="O31" s="103">
        <v>25171</v>
      </c>
      <c r="P31" s="103">
        <v>25202</v>
      </c>
      <c r="Q31" s="104">
        <f>P31-O31</f>
        <v>31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1:O21"/>
    <mergeCell ref="N2:Q2"/>
    <mergeCell ref="P3:Q3"/>
    <mergeCell ref="N19:O19"/>
    <mergeCell ref="N20:O20"/>
    <mergeCell ref="N18:O18"/>
    <mergeCell ref="N28:O28"/>
    <mergeCell ref="N22:O22"/>
    <mergeCell ref="N23:O23"/>
    <mergeCell ref="N24:O24"/>
    <mergeCell ref="N27:O27"/>
    <mergeCell ref="N25:O25"/>
    <mergeCell ref="N26:O26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A13" workbookViewId="0">
      <selection activeCell="K4" sqref="K4"/>
    </sheetView>
  </sheetViews>
  <sheetFormatPr defaultRowHeight="27.75" customHeight="1"/>
  <cols>
    <col min="1" max="2" width="9" style="10"/>
    <col min="3" max="3" width="9" style="10" bestFit="1" customWidth="1"/>
    <col min="4" max="4" width="11.25" style="10" customWidth="1"/>
    <col min="5" max="5" width="11.25" style="10" bestFit="1" customWidth="1"/>
    <col min="6" max="6" width="11.375" style="10" customWidth="1"/>
    <col min="7" max="7" width="5" style="10" customWidth="1"/>
    <col min="8" max="8" width="9" style="10"/>
    <col min="9" max="9" width="11.375" style="10" customWidth="1"/>
    <col min="10" max="10" width="11.25" style="10" bestFit="1" customWidth="1"/>
    <col min="11" max="11" width="11.37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9</v>
      </c>
      <c r="D1" s="9" t="s">
        <v>0</v>
      </c>
      <c r="E1" s="99">
        <v>8</v>
      </c>
      <c r="F1" s="1"/>
      <c r="G1" s="1"/>
      <c r="H1" s="1"/>
      <c r="I1" s="1">
        <v>924</v>
      </c>
      <c r="J1" s="1"/>
      <c r="K1" s="1"/>
      <c r="L1" s="22">
        <f>+ROUND(+O5*0.584/1000,3)</f>
        <v>11.542999999999999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ROUND((+'(8)'!L2*(C1-1)+L1)/C1,3)</f>
        <v>11.208</v>
      </c>
      <c r="M2" s="18" t="s">
        <v>7</v>
      </c>
      <c r="N2" s="144" t="s">
        <v>1</v>
      </c>
      <c r="O2" s="144"/>
      <c r="P2" s="144"/>
      <c r="Q2" s="144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" si="0">+D3</f>
        <v>수량 및 금액</v>
      </c>
      <c r="J3" s="34" t="str">
        <f>+'[1](1)'!J3</f>
        <v>제   목</v>
      </c>
      <c r="K3" s="29" t="str">
        <f>F3</f>
        <v>수량 및 금액</v>
      </c>
      <c r="L3" s="21">
        <f>+L2*C1</f>
        <v>100.872</v>
      </c>
      <c r="M3" s="18" t="s">
        <v>10</v>
      </c>
      <c r="N3" s="3"/>
      <c r="O3" s="3"/>
      <c r="P3" s="145" t="str">
        <f>+'(1)'!C1&amp;"년"&amp;'(1)'!E1&amp;"월"&amp;C1&amp;"일"</f>
        <v>2023년8월9일</v>
      </c>
      <c r="Q3" s="145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11242.3</v>
      </c>
      <c r="E4" s="34" t="str">
        <f>+'[1](1)'!E4</f>
        <v>고액권</v>
      </c>
      <c r="F4" s="36">
        <v>105000</v>
      </c>
      <c r="G4" s="27"/>
      <c r="H4" s="34" t="str">
        <f>+C4</f>
        <v>판매량</v>
      </c>
      <c r="I4" s="35">
        <v>8522.8029999999999</v>
      </c>
      <c r="J4" s="42" t="str">
        <f>+'[1](1)'!J4</f>
        <v>고액권</v>
      </c>
      <c r="K4" s="36">
        <v>130000</v>
      </c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25979</v>
      </c>
      <c r="S4" s="6" t="s">
        <v>2</v>
      </c>
      <c r="T4" s="1"/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>
        <v>1000</v>
      </c>
      <c r="G5" s="27"/>
      <c r="H5" s="42" t="str">
        <f t="shared" ref="H5:H13" si="2">+C5</f>
        <v>법인전표</v>
      </c>
      <c r="I5" s="43"/>
      <c r="J5" s="42" t="str">
        <f>+'[1](1)'!J5</f>
        <v>천원권</v>
      </c>
      <c r="K5" s="44">
        <v>1000</v>
      </c>
      <c r="L5" s="2"/>
      <c r="M5" s="20"/>
      <c r="N5" s="45" t="str">
        <f>+C4</f>
        <v>판매량</v>
      </c>
      <c r="O5" s="46">
        <f>SUM(D4+I4+D17+I17+D35+I35)</f>
        <v>19765.102999999999</v>
      </c>
      <c r="P5" s="47" t="str">
        <f>+E4</f>
        <v>고액권</v>
      </c>
      <c r="Q5" s="48">
        <f>SUM(F4+K4+F17+K17+F35+K35)</f>
        <v>235000</v>
      </c>
      <c r="R5" s="7">
        <v>34</v>
      </c>
      <c r="S5" s="6" t="s">
        <v>3</v>
      </c>
      <c r="T5" s="1"/>
      <c r="U5" s="1"/>
      <c r="V5" s="1"/>
    </row>
    <row r="6" spans="3:22" ht="16.5" customHeight="1">
      <c r="C6" s="83" t="str">
        <f>+'(1)'!C6</f>
        <v>외상전표</v>
      </c>
      <c r="D6" s="50">
        <v>238.31</v>
      </c>
      <c r="E6" s="105" t="str">
        <f>+'[1](1)'!E6</f>
        <v>블루/레드포인트</v>
      </c>
      <c r="F6" s="44">
        <v>36381</v>
      </c>
      <c r="G6" s="27"/>
      <c r="H6" s="42" t="str">
        <f t="shared" si="2"/>
        <v>외상전표</v>
      </c>
      <c r="I6" s="50"/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2000</v>
      </c>
      <c r="R6" s="7">
        <v>2.5</v>
      </c>
      <c r="S6" s="6" t="s">
        <v>4</v>
      </c>
      <c r="T6" s="1"/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>
        <v>570</v>
      </c>
      <c r="G7" s="27"/>
      <c r="H7" s="83" t="str">
        <f t="shared" si="2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3">+C6</f>
        <v>외상전표</v>
      </c>
      <c r="O7" s="54">
        <f>SUM(D6+I6+D19+I19+D37+I37)</f>
        <v>238.31</v>
      </c>
      <c r="P7" s="106" t="str">
        <f t="shared" ref="P7:P14" si="4">+E6</f>
        <v>블루/레드포인트</v>
      </c>
      <c r="Q7" s="53">
        <f>SUM(F6+K6+F19+K19+F37+K37)</f>
        <v>36381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>
        <f>10375146-363655</f>
        <v>10011491</v>
      </c>
      <c r="G8" s="27"/>
      <c r="H8" s="34" t="str">
        <f t="shared" si="2"/>
        <v>자가소비</v>
      </c>
      <c r="I8" s="50"/>
      <c r="J8" s="42" t="str">
        <f>+'[1](1)'!J8</f>
        <v>신용카드</v>
      </c>
      <c r="K8" s="44">
        <v>17746649</v>
      </c>
      <c r="L8" s="2"/>
      <c r="M8" s="20"/>
      <c r="N8" s="51" t="str">
        <f t="shared" si="3"/>
        <v>효신(업)</v>
      </c>
      <c r="O8" s="52">
        <f>SUM(D7+I7+D20+I20+D38+I38)</f>
        <v>0</v>
      </c>
      <c r="P8" s="106" t="str">
        <f t="shared" si="4"/>
        <v>롯대칠성</v>
      </c>
      <c r="Q8" s="53">
        <f>SUM(F7+K7+F20+K20+F38+K38)</f>
        <v>570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/>
      <c r="G9" s="27"/>
      <c r="H9" s="42" t="str">
        <f t="shared" si="2"/>
        <v>-</v>
      </c>
      <c r="I9" s="50"/>
      <c r="J9" s="42" t="str">
        <f>+'[1](1)'!J9</f>
        <v>상품권</v>
      </c>
      <c r="K9" s="44"/>
      <c r="L9" s="2"/>
      <c r="M9" s="20"/>
      <c r="N9" s="51" t="str">
        <f t="shared" si="3"/>
        <v>자가소비</v>
      </c>
      <c r="O9" s="54">
        <f>SUM(D8+I8+D21+I21+D39+I39)</f>
        <v>0</v>
      </c>
      <c r="P9" s="51" t="str">
        <f t="shared" si="4"/>
        <v>신용카드</v>
      </c>
      <c r="Q9" s="53">
        <f>IF(K8=0,F8,IF(F21=0,K8,IF(K21=0,F21,K21)))</f>
        <v>17746649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>
        <v>377.31200000000001</v>
      </c>
      <c r="E10" s="42" t="str">
        <f>+'[1](1)'!E10</f>
        <v>OK케시백</v>
      </c>
      <c r="F10" s="44"/>
      <c r="G10" s="27"/>
      <c r="H10" s="42" t="str">
        <f t="shared" si="2"/>
        <v>고객우대</v>
      </c>
      <c r="I10" s="50">
        <v>225.44</v>
      </c>
      <c r="J10" s="42" t="str">
        <f>+'[1](1)'!J10</f>
        <v>OK케시백</v>
      </c>
      <c r="K10" s="44"/>
      <c r="L10" s="2"/>
      <c r="M10" s="20"/>
      <c r="N10" s="51" t="str">
        <f t="shared" si="3"/>
        <v>-</v>
      </c>
      <c r="O10" s="54"/>
      <c r="P10" s="51" t="str">
        <f t="shared" si="4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-13205.92</v>
      </c>
      <c r="E11" s="42" t="str">
        <f>+'[1](1)'!E11</f>
        <v>모바일</v>
      </c>
      <c r="F11" s="44"/>
      <c r="G11" s="27"/>
      <c r="H11" s="83" t="str">
        <f t="shared" si="2"/>
        <v>-</v>
      </c>
      <c r="I11" s="55">
        <f>SUM(I10*-35)</f>
        <v>-7890.4</v>
      </c>
      <c r="J11" s="56" t="str">
        <f>+'[1](1)'!J11</f>
        <v>모바일</v>
      </c>
      <c r="K11" s="44"/>
      <c r="L11" s="2"/>
      <c r="M11" s="20"/>
      <c r="N11" s="51" t="str">
        <f t="shared" si="3"/>
        <v>고객우대</v>
      </c>
      <c r="O11" s="54">
        <f>SUM(D10+I10+D23+I23+D41+I41)</f>
        <v>602.75199999999995</v>
      </c>
      <c r="P11" s="51" t="str">
        <f t="shared" si="4"/>
        <v>OK케시백</v>
      </c>
      <c r="Q11" s="53">
        <f>SUM(F10+K10+F23+K23+F41+K41)</f>
        <v>0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/>
      <c r="G12" s="27"/>
      <c r="H12" s="84" t="str">
        <f t="shared" si="2"/>
        <v>-</v>
      </c>
      <c r="I12" s="57"/>
      <c r="J12" s="29" t="str">
        <f>+'[1](1)'!J12</f>
        <v>제로페이</v>
      </c>
      <c r="K12" s="58"/>
      <c r="L12" s="2"/>
      <c r="M12" s="20"/>
      <c r="N12" s="51" t="str">
        <f t="shared" si="3"/>
        <v>-</v>
      </c>
      <c r="O12" s="55">
        <f>SUM(O11*-35)</f>
        <v>-21096.32</v>
      </c>
      <c r="P12" s="51" t="str">
        <f t="shared" si="4"/>
        <v>모바일</v>
      </c>
      <c r="Q12" s="53">
        <f>SUM(F11+K11+F24+K24+F42+K42)</f>
        <v>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SUM((D4-D5-D6-D7-D8-D9)*$I$1+D11)</f>
        <v>10154480.84</v>
      </c>
      <c r="E13" s="29" t="str">
        <f>+'[1](1)'!E13</f>
        <v>합계</v>
      </c>
      <c r="F13" s="61">
        <f>SUM(F4:F12)</f>
        <v>10154442</v>
      </c>
      <c r="G13" s="62"/>
      <c r="H13" s="29" t="str">
        <f t="shared" si="2"/>
        <v>합계</v>
      </c>
      <c r="I13" s="60">
        <f>SUM((I4-I5-I6-I7-I8-I9)*$I$1+I11)</f>
        <v>7867179.5719999997</v>
      </c>
      <c r="J13" s="29" t="str">
        <f t="shared" ref="J13" si="5">+E13</f>
        <v>합계</v>
      </c>
      <c r="K13" s="61">
        <f>IF(K8=0,0,SUM(K4:K12)-F8)</f>
        <v>7866158</v>
      </c>
      <c r="L13" s="2"/>
      <c r="M13" s="20"/>
      <c r="N13" s="63" t="str">
        <f t="shared" si="3"/>
        <v>-</v>
      </c>
      <c r="O13" s="64"/>
      <c r="P13" s="63" t="str">
        <f t="shared" si="4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-38.839999999850988</v>
      </c>
      <c r="G14" s="27"/>
      <c r="H14" s="27"/>
      <c r="I14" s="27"/>
      <c r="J14" s="27"/>
      <c r="K14" s="67">
        <f>SUM(K13-I13)</f>
        <v>-1021.5719999996945</v>
      </c>
      <c r="L14" s="2">
        <f>SUM(L4:L13)</f>
        <v>0</v>
      </c>
      <c r="M14" s="18" t="s">
        <v>9</v>
      </c>
      <c r="N14" s="39" t="str">
        <f t="shared" si="3"/>
        <v>합계</v>
      </c>
      <c r="O14" s="68">
        <f>SUM((O5-O6-O7-O8-O9-O10)*+E1+O12)</f>
        <v>135118.02399999998</v>
      </c>
      <c r="P14" s="39" t="str">
        <f t="shared" si="4"/>
        <v>합계</v>
      </c>
      <c r="Q14" s="69">
        <f>SUM(Q5:Q13)</f>
        <v>18020600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-1060.4119999995455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30" t="s">
        <v>34</v>
      </c>
      <c r="O18" s="143"/>
      <c r="P18" s="116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105" t="str">
        <f t="shared" ref="E19:E25" si="9">+E6</f>
        <v>블루/레드포인트</v>
      </c>
      <c r="F19" s="44"/>
      <c r="G19" s="27"/>
      <c r="H19" s="42" t="str">
        <f t="shared" ref="H19:H25" si="10">+C6</f>
        <v>외상전표</v>
      </c>
      <c r="I19" s="50"/>
      <c r="J19" s="105" t="str">
        <f t="shared" ref="J19:J25" si="11">+E6</f>
        <v>블루/레드포인트</v>
      </c>
      <c r="K19" s="44"/>
      <c r="L19" s="2"/>
      <c r="M19" s="1"/>
      <c r="N19" s="134" t="s">
        <v>37</v>
      </c>
      <c r="O19" s="135"/>
      <c r="P19" s="117">
        <v>7</v>
      </c>
      <c r="Q19" s="48">
        <f>SUM(P19*1000)</f>
        <v>7000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롯대칠성</v>
      </c>
      <c r="F20" s="44"/>
      <c r="G20" s="27"/>
      <c r="H20" s="42" t="str">
        <f t="shared" si="10"/>
        <v>효신(업)</v>
      </c>
      <c r="I20" s="50"/>
      <c r="J20" s="42" t="str">
        <f t="shared" si="11"/>
        <v>롯대칠성</v>
      </c>
      <c r="K20" s="44"/>
      <c r="L20" s="2"/>
      <c r="M20" s="1"/>
      <c r="N20" s="140" t="s">
        <v>38</v>
      </c>
      <c r="O20" s="141"/>
      <c r="P20" s="118">
        <v>55</v>
      </c>
      <c r="Q20" s="53">
        <f>SUM(P20*1000)</f>
        <v>55000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40" t="s">
        <v>57</v>
      </c>
      <c r="O21" s="141"/>
      <c r="P21" s="118">
        <v>3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42" t="s">
        <v>59</v>
      </c>
      <c r="O22" s="137"/>
      <c r="P22" s="118">
        <v>21</v>
      </c>
      <c r="Q22" s="53"/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36" t="s">
        <v>61</v>
      </c>
      <c r="O23" s="137"/>
      <c r="P23" s="118">
        <v>11</v>
      </c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36" t="s">
        <v>62</v>
      </c>
      <c r="O24" s="137"/>
      <c r="P24" s="118">
        <v>5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36"/>
      <c r="O25" s="137"/>
      <c r="P25" s="121"/>
      <c r="Q25" s="12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SUM((D17-D18-D19-D20-D21-D22)*$I$1+D24)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SUM((I17-I18-I19-I20-I21-I22)*$I$1+I24)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36"/>
      <c r="O26" s="137"/>
      <c r="P26" s="123"/>
      <c r="Q26" s="114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38" t="s">
        <v>39</v>
      </c>
      <c r="O27" s="139"/>
      <c r="P27" s="119">
        <f>+P28-SUM(P19:P26)</f>
        <v>-13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30" t="s">
        <v>40</v>
      </c>
      <c r="O28" s="131"/>
      <c r="P28" s="120">
        <v>89</v>
      </c>
      <c r="Q28" s="69">
        <f>SUM(Q19:Q27)</f>
        <v>62000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1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2"/>
      <c r="O31" s="103">
        <v>25202</v>
      </c>
      <c r="P31" s="103">
        <v>25229</v>
      </c>
      <c r="Q31" s="104">
        <f>P31-O31</f>
        <v>27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1:O21"/>
    <mergeCell ref="N2:Q2"/>
    <mergeCell ref="P3:Q3"/>
    <mergeCell ref="N19:O19"/>
    <mergeCell ref="N20:O20"/>
    <mergeCell ref="N18:O18"/>
    <mergeCell ref="N28:O28"/>
    <mergeCell ref="N22:O22"/>
    <mergeCell ref="N23:O23"/>
    <mergeCell ref="N24:O24"/>
    <mergeCell ref="N27:O27"/>
    <mergeCell ref="N25:O25"/>
    <mergeCell ref="N26:O26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31</vt:i4>
      </vt:variant>
    </vt:vector>
  </HeadingPairs>
  <TitlesOfParts>
    <vt:vector size="31" baseType="lpstr">
      <vt:lpstr>(1)</vt:lpstr>
      <vt:lpstr>(2)</vt:lpstr>
      <vt:lpstr>(3)</vt:lpstr>
      <vt:lpstr>(4)</vt:lpstr>
      <vt:lpstr>(5)</vt:lpstr>
      <vt:lpstr>(6)</vt:lpstr>
      <vt:lpstr>(7)</vt:lpstr>
      <vt:lpstr>(8)</vt:lpstr>
      <vt:lpstr>(9)</vt:lpstr>
      <vt:lpstr>(10)</vt:lpstr>
      <vt:lpstr>(11)</vt:lpstr>
      <vt:lpstr>(12)</vt:lpstr>
      <vt:lpstr>(13)</vt:lpstr>
      <vt:lpstr>(14)</vt:lpstr>
      <vt:lpstr>(15)</vt:lpstr>
      <vt:lpstr>(16)</vt:lpstr>
      <vt:lpstr>(17)</vt:lpstr>
      <vt:lpstr>(18)</vt:lpstr>
      <vt:lpstr>(19)</vt:lpstr>
      <vt:lpstr>(20)</vt:lpstr>
      <vt:lpstr>(21)</vt:lpstr>
      <vt:lpstr>(22)</vt:lpstr>
      <vt:lpstr>(23)</vt:lpstr>
      <vt:lpstr>(24)</vt:lpstr>
      <vt:lpstr>(25)</vt:lpstr>
      <vt:lpstr>(26)</vt:lpstr>
      <vt:lpstr>(27)</vt:lpstr>
      <vt:lpstr>(28)</vt:lpstr>
      <vt:lpstr>(29)</vt:lpstr>
      <vt:lpstr>(30)</vt:lpstr>
      <vt:lpstr>(31)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cp:lastPrinted>2017-12-05T23:48:13Z</cp:lastPrinted>
  <dcterms:created xsi:type="dcterms:W3CDTF">2017-04-25T00:27:17Z</dcterms:created>
  <dcterms:modified xsi:type="dcterms:W3CDTF">2023-10-24T09:11:11Z</dcterms:modified>
</cp:coreProperties>
</file>