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3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K8" i="158" l="1"/>
  <c r="K8" i="155" l="1"/>
  <c r="K8" i="148" l="1"/>
  <c r="P27" i="142" l="1"/>
  <c r="K8" i="137" l="1"/>
  <c r="K10" i="137"/>
  <c r="I11" i="13" l="1"/>
  <c r="F13" i="13" l="1"/>
  <c r="F13" i="13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11" i="131"/>
  <c r="D11" i="131"/>
  <c r="I24" i="13"/>
  <c r="D24" i="13"/>
  <c r="D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H13" i="13" l="1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Q13" i="159" l="1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Q14" i="132"/>
  <c r="Q14" i="133"/>
  <c r="Q14" i="134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Q13" i="13" l="1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Q14" i="13" l="1"/>
  <c r="L1" i="135" l="1"/>
  <c r="L14" i="159" l="1"/>
  <c r="L1" i="134"/>
  <c r="L1" i="132"/>
  <c r="L1" i="131"/>
  <c r="F26" i="1"/>
  <c r="K13" i="1"/>
  <c r="K26" i="1" l="1"/>
  <c r="L1" i="133"/>
  <c r="Q20" i="1" l="1"/>
  <c r="L1" i="158" l="1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L1" i="159" l="1"/>
  <c r="L1" i="148"/>
  <c r="Q9" i="1" l="1"/>
  <c r="Q19" i="1" l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L1" i="1" l="1"/>
  <c r="L2" i="1" s="1"/>
  <c r="L3" i="1" s="1"/>
  <c r="L1" i="13"/>
  <c r="Q14" i="1"/>
  <c r="L2" i="13" l="1"/>
  <c r="L3" i="13" l="1"/>
  <c r="L2" i="131"/>
  <c r="D1" i="1"/>
  <c r="L3" i="131" l="1"/>
  <c r="L2" i="132"/>
  <c r="L2" i="133" l="1"/>
  <c r="L3" i="132"/>
  <c r="K44" i="1"/>
  <c r="I42" i="1"/>
  <c r="F44" i="1"/>
  <c r="D42" i="1"/>
  <c r="L3" i="133" l="1"/>
  <c r="L2" i="134"/>
  <c r="L2" i="135" l="1"/>
  <c r="L3" i="135" s="1"/>
  <c r="L3" i="134"/>
  <c r="L2" i="136" l="1"/>
  <c r="L2" i="137" s="1"/>
  <c r="L3" i="136" l="1"/>
  <c r="L2" i="138"/>
  <c r="L3" i="137"/>
  <c r="L2" i="139" l="1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  <c r="O14" i="1"/>
  <c r="J1" i="1"/>
  <c r="I44" i="1"/>
  <c r="K45" i="1" s="1"/>
  <c r="I26" i="1"/>
  <c r="K27" i="1" s="1"/>
  <c r="D26" i="158"/>
  <c r="F27" i="158" s="1"/>
  <c r="D26" i="1"/>
  <c r="F27" i="1" s="1"/>
  <c r="I13" i="1"/>
  <c r="K14" i="1" s="1"/>
  <c r="D13" i="1"/>
  <c r="F14" i="1" s="1"/>
  <c r="D26" i="154"/>
  <c r="F27" i="154" s="1"/>
  <c r="I26" i="156"/>
  <c r="K27" i="156" s="1"/>
  <c r="I13" i="158"/>
  <c r="K14" i="158" s="1"/>
  <c r="D13" i="158"/>
  <c r="F14" i="158" s="1"/>
  <c r="D26" i="13"/>
  <c r="F27" i="13" s="1"/>
  <c r="I26" i="133"/>
  <c r="K27" i="133" s="1"/>
  <c r="I13" i="133"/>
  <c r="K14" i="133" s="1"/>
  <c r="I26" i="134"/>
  <c r="K27" i="134" s="1"/>
  <c r="I26" i="137"/>
  <c r="K27" i="137" s="1"/>
  <c r="I13" i="139"/>
  <c r="K14" i="139" s="1"/>
  <c r="I26" i="140"/>
  <c r="K27" i="140" s="1"/>
  <c r="I13" i="142"/>
  <c r="K14" i="142" s="1"/>
  <c r="I26" i="144"/>
  <c r="K27" i="144" s="1"/>
  <c r="I13" i="145"/>
  <c r="K14" i="145" s="1"/>
  <c r="D26" i="147"/>
  <c r="F27" i="147" s="1"/>
  <c r="I26" i="148"/>
  <c r="K27" i="148" s="1"/>
  <c r="I26" i="149"/>
  <c r="K27" i="149" s="1"/>
  <c r="I13" i="149"/>
  <c r="K14" i="149" s="1"/>
  <c r="D13" i="151"/>
  <c r="F14" i="151" s="1"/>
  <c r="D26" i="136"/>
  <c r="F27" i="136" s="1"/>
  <c r="I26" i="136"/>
  <c r="K27" i="136" s="1"/>
  <c r="I26" i="135"/>
  <c r="K27" i="135" s="1"/>
  <c r="D13" i="132"/>
  <c r="F14" i="132" s="1"/>
  <c r="I13" i="143"/>
  <c r="K14" i="143" s="1"/>
  <c r="D13" i="143"/>
  <c r="F14" i="143" s="1"/>
  <c r="I13" i="150"/>
  <c r="K14" i="150" s="1"/>
  <c r="I13" i="153"/>
  <c r="K14" i="153" s="1"/>
  <c r="I26" i="153"/>
  <c r="K27" i="153" s="1"/>
  <c r="I26" i="155"/>
  <c r="K27" i="155" s="1"/>
  <c r="D26" i="155"/>
  <c r="F27" i="155" s="1"/>
  <c r="D44" i="1"/>
  <c r="F45" i="1" s="1"/>
  <c r="I26" i="157"/>
  <c r="K27" i="157" s="1"/>
  <c r="D13" i="157"/>
  <c r="F14" i="157" s="1"/>
  <c r="I13" i="159"/>
  <c r="K14" i="159" s="1"/>
  <c r="D13" i="159"/>
  <c r="F14" i="159" s="1"/>
  <c r="D26" i="159"/>
  <c r="F27" i="159"/>
  <c r="I13" i="131"/>
  <c r="K14" i="131" s="1"/>
  <c r="I13" i="138"/>
  <c r="K14" i="138" s="1"/>
  <c r="I13" i="141"/>
  <c r="K14" i="141" s="1"/>
  <c r="D13" i="141"/>
  <c r="F14" i="141" s="1"/>
  <c r="I13" i="146"/>
  <c r="K14" i="146" s="1"/>
  <c r="D13" i="146"/>
  <c r="F14" i="146" s="1"/>
  <c r="D26" i="152"/>
  <c r="F27" i="152" s="1"/>
  <c r="D13" i="152"/>
  <c r="F14" i="152" s="1"/>
  <c r="I26" i="154" l="1"/>
  <c r="K27" i="154" s="1"/>
  <c r="I26" i="13"/>
  <c r="K27" i="13" s="1"/>
  <c r="I26" i="151"/>
  <c r="K27" i="151" s="1"/>
  <c r="D13" i="136"/>
  <c r="F14" i="136" s="1"/>
  <c r="I26" i="141"/>
  <c r="K27" i="141" s="1"/>
  <c r="D26" i="145"/>
  <c r="F27" i="145" s="1"/>
  <c r="I13" i="154"/>
  <c r="K14" i="154" s="1"/>
  <c r="I26" i="147"/>
  <c r="K27" i="147" s="1"/>
  <c r="I26" i="159"/>
  <c r="K27" i="159" s="1"/>
  <c r="Q15" i="159" s="1"/>
  <c r="Q15" i="1"/>
  <c r="I26" i="152"/>
  <c r="K27" i="152" s="1"/>
  <c r="I13" i="144"/>
  <c r="K14" i="144" s="1"/>
  <c r="D26" i="146"/>
  <c r="F27" i="146" s="1"/>
  <c r="D13" i="13"/>
  <c r="F14" i="13" s="1"/>
  <c r="D13" i="155"/>
  <c r="F14" i="155" s="1"/>
  <c r="D13" i="150"/>
  <c r="F14" i="150" s="1"/>
  <c r="I13" i="152"/>
  <c r="K14" i="152" s="1"/>
  <c r="I26" i="146"/>
  <c r="K27" i="146" s="1"/>
  <c r="I13" i="140"/>
  <c r="K14" i="140" s="1"/>
  <c r="D13" i="134"/>
  <c r="F14" i="134" s="1"/>
  <c r="D26" i="150"/>
  <c r="F27" i="150" s="1"/>
  <c r="D13" i="140"/>
  <c r="F14" i="140" s="1"/>
  <c r="I13" i="134"/>
  <c r="K14" i="134" s="1"/>
  <c r="I13" i="148"/>
  <c r="K14" i="148" s="1"/>
  <c r="D13" i="154"/>
  <c r="F14" i="154" s="1"/>
  <c r="D13" i="145"/>
  <c r="F14" i="145" s="1"/>
  <c r="I26" i="158"/>
  <c r="K27" i="158" s="1"/>
  <c r="Q15" i="158" s="1"/>
  <c r="D13" i="139"/>
  <c r="F14" i="139" s="1"/>
  <c r="I13" i="136"/>
  <c r="K14" i="136" s="1"/>
  <c r="I13" i="132"/>
  <c r="K14" i="132" s="1"/>
  <c r="D26" i="139"/>
  <c r="F27" i="139" s="1"/>
  <c r="D26" i="131"/>
  <c r="F27" i="131" s="1"/>
  <c r="D13" i="135"/>
  <c r="F14" i="135" s="1"/>
  <c r="D13" i="142"/>
  <c r="F14" i="142" s="1"/>
  <c r="D26" i="137"/>
  <c r="F27" i="137" s="1"/>
  <c r="I13" i="155"/>
  <c r="K14" i="155" s="1"/>
  <c r="I26" i="143"/>
  <c r="K27" i="143" s="1"/>
  <c r="D26" i="157"/>
  <c r="F27" i="157" s="1"/>
  <c r="D26" i="134"/>
  <c r="F27" i="134" s="1"/>
  <c r="D26" i="156"/>
  <c r="F27" i="156" s="1"/>
  <c r="I13" i="151"/>
  <c r="K14" i="151" s="1"/>
  <c r="D13" i="147"/>
  <c r="F14" i="147" s="1"/>
  <c r="D26" i="143"/>
  <c r="F27" i="143" s="1"/>
  <c r="D26" i="148"/>
  <c r="F27" i="148" s="1"/>
  <c r="I26" i="145"/>
  <c r="K27" i="145" s="1"/>
  <c r="D13" i="137"/>
  <c r="F14" i="137" s="1"/>
  <c r="I26" i="131"/>
  <c r="K27" i="131" s="1"/>
  <c r="D26" i="140"/>
  <c r="F27" i="140" s="1"/>
  <c r="I26" i="132"/>
  <c r="K27" i="132" s="1"/>
  <c r="D13" i="131"/>
  <c r="F14" i="131" s="1"/>
  <c r="D13" i="156"/>
  <c r="F14" i="156" s="1"/>
  <c r="D13" i="144"/>
  <c r="F14" i="144" s="1"/>
  <c r="I26" i="139"/>
  <c r="K27" i="139" s="1"/>
  <c r="I13" i="13"/>
  <c r="K14" i="13" s="1"/>
  <c r="I13" i="135"/>
  <c r="K14" i="135" s="1"/>
  <c r="D13" i="153"/>
  <c r="F14" i="153" s="1"/>
  <c r="Q15" i="153" s="1"/>
  <c r="D13" i="148"/>
  <c r="F14" i="148" s="1"/>
  <c r="D26" i="142"/>
  <c r="F27" i="142" s="1"/>
  <c r="I13" i="157"/>
  <c r="K14" i="157" s="1"/>
  <c r="I13" i="147"/>
  <c r="K14" i="147" s="1"/>
  <c r="I26" i="142"/>
  <c r="K27" i="142" s="1"/>
  <c r="D13" i="138"/>
  <c r="F14" i="138" s="1"/>
  <c r="D26" i="132"/>
  <c r="F27" i="132" s="1"/>
  <c r="D26" i="151"/>
  <c r="F27" i="151" s="1"/>
  <c r="I26" i="138"/>
  <c r="K27" i="138" s="1"/>
  <c r="D13" i="133"/>
  <c r="F14" i="133" s="1"/>
  <c r="D13" i="149"/>
  <c r="F14" i="149" s="1"/>
  <c r="D26" i="144"/>
  <c r="F27" i="144" s="1"/>
  <c r="D26" i="138"/>
  <c r="F27" i="138" s="1"/>
  <c r="D26" i="135"/>
  <c r="F27" i="135" s="1"/>
  <c r="I26" i="150"/>
  <c r="K27" i="150" s="1"/>
  <c r="I13" i="137"/>
  <c r="K14" i="137" s="1"/>
  <c r="D26" i="149"/>
  <c r="F27" i="149" s="1"/>
  <c r="D26" i="133"/>
  <c r="F27" i="133" s="1"/>
  <c r="I13" i="156"/>
  <c r="K14" i="156" s="1"/>
  <c r="D26" i="141"/>
  <c r="F27" i="141" s="1"/>
  <c r="Q15" i="141" s="1"/>
  <c r="D26" i="153"/>
  <c r="F27" i="153" s="1"/>
  <c r="Q15" i="150" l="1"/>
  <c r="Q15" i="152"/>
  <c r="Q15" i="136"/>
  <c r="Q15" i="132"/>
  <c r="Q15" i="146"/>
  <c r="Q15" i="13"/>
  <c r="Q15" i="151"/>
  <c r="Q15" i="154"/>
  <c r="Q15" i="144"/>
  <c r="Q15" i="139"/>
  <c r="Q15" i="134"/>
  <c r="Q15" i="149"/>
  <c r="Q15" i="157"/>
  <c r="Q15" i="143"/>
  <c r="Q15" i="133"/>
  <c r="Q15" i="131"/>
  <c r="Q15" i="147"/>
  <c r="Q15" i="142"/>
  <c r="Q15" i="145"/>
  <c r="Q15" i="156"/>
  <c r="Q15" i="148"/>
  <c r="Q15" i="135"/>
  <c r="Q15" i="155"/>
  <c r="Q15" i="138"/>
  <c r="Q15" i="137"/>
  <c r="Q15" i="140"/>
  <c r="P3" i="1"/>
  <c r="P3" i="151"/>
  <c r="P3" i="158"/>
  <c r="P3" i="148"/>
  <c r="P3" i="152"/>
  <c r="P3" i="143"/>
  <c r="P3" i="134"/>
  <c r="P3" i="138"/>
  <c r="P3" i="144"/>
  <c r="P3" i="135"/>
  <c r="P3" i="140"/>
  <c r="P3" i="155"/>
  <c r="P3" i="136"/>
  <c r="P3" i="150"/>
  <c r="P3" i="146"/>
  <c r="P3" i="137"/>
  <c r="P3" i="141"/>
  <c r="P3" i="142"/>
  <c r="P3" i="157"/>
  <c r="P3" i="154"/>
  <c r="P3" i="147"/>
  <c r="P3" i="149"/>
  <c r="P3" i="133"/>
  <c r="P3" i="153"/>
  <c r="P3" i="131"/>
  <c r="P3" i="132"/>
  <c r="P3" i="145"/>
  <c r="P3" i="13"/>
  <c r="P3" i="159"/>
  <c r="P3" i="139"/>
  <c r="P3" i="156"/>
  <c r="F1" i="1"/>
  <c r="O14" i="132"/>
  <c r="O14" i="142"/>
  <c r="O14" i="154"/>
  <c r="O14" i="153"/>
  <c r="O14" i="133"/>
  <c r="O14" i="139"/>
  <c r="O14" i="146"/>
  <c r="O14" i="150"/>
  <c r="O14" i="158"/>
  <c r="O14" i="149"/>
  <c r="O14" i="147"/>
  <c r="O14" i="156"/>
  <c r="O14" i="134"/>
  <c r="O14" i="136"/>
  <c r="O14" i="13"/>
  <c r="O14" i="143"/>
  <c r="O14" i="151"/>
  <c r="O14" i="155"/>
  <c r="O14" i="159"/>
  <c r="O14" i="152"/>
  <c r="O14" i="135"/>
  <c r="O14" i="137"/>
  <c r="O14" i="140"/>
  <c r="O14" i="144"/>
  <c r="O14" i="148"/>
  <c r="O14" i="157"/>
  <c r="O14" i="131"/>
  <c r="O14" i="138"/>
  <c r="O14" i="141"/>
  <c r="O14" i="145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<sst xmlns="http://schemas.openxmlformats.org/spreadsheetml/2006/main" count="863" uniqueCount="65">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</sst>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2" fillId="2" borderId="0" xfId="0" applyNumberFormat="1" applyFont="1" applyFill="1" applyAlignment="1" applyProtection="1">
      <alignment horizontal="center" vertical="center"/>
      <protection locked="0"/>
    </xf>
    <xf numFmtId="176" fontId="4" fillId="2" borderId="0" xfId="0" applyNumberFormat="1" applyFont="1" applyFill="1" applyAlignment="1" applyProtection="1">
      <alignment horizontal="center" vertical="center"/>
      <protection locked="0"/>
    </xf>
    <xf numFmtId="176" fontId="22" fillId="2" borderId="0" xfId="0" applyNumberFormat="1" applyFont="1" applyFill="1" applyAlignment="1" applyProtection="1">
      <alignment horizontal="center" vertical="center"/>
      <protection locked="0"/>
    </xf>
    <xf numFmtId="176" fontId="11" fillId="2" borderId="0" xfId="0" applyNumberFormat="1" applyFont="1" applyFill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81" fontId="4" fillId="0" borderId="0" xfId="0" applyNumberFormat="1" applyFont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14" sqref="F14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2024</v>
      </c>
      <c r="D1" s="24" t="str">
        <f>IF(C1&lt;2000,"◀  년 입력","년")</f>
        <v>년</v>
      </c>
      <c r="E1" s="25">
        <v>4</v>
      </c>
      <c r="F1" s="24" t="str">
        <f>IF(E1&lt;1,"◀  월 입력","월")</f>
        <v>월</v>
      </c>
      <c r="G1" s="25">
        <v>1</v>
      </c>
      <c r="H1" s="26" t="s">
        <v>11</v>
      </c>
      <c r="I1" s="129">
        <v>1032</v>
      </c>
      <c r="J1" s="24" t="str">
        <f>IF(I1&lt;100,"◀  단가입력","원")</f>
        <v>원</v>
      </c>
      <c r="L1" s="28">
        <f>+ROUND(+O5*0.584/1000,3)</f>
        <v>12.603999999999999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12.603999999999999</v>
      </c>
      <c r="M2" s="27" t="s">
        <v>7</v>
      </c>
      <c r="N2" s="138" t="s">
        <v>12</v>
      </c>
      <c r="O2" s="138"/>
      <c r="P2" s="138"/>
      <c r="Q2" s="138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12.603999999999999</v>
      </c>
      <c r="M3" s="27" t="s">
        <v>10</v>
      </c>
      <c r="N3" s="32"/>
      <c r="O3" s="32"/>
      <c r="P3" s="137" t="str">
        <f>+'(1)'!$C$1&amp;"년"&amp;'(1)'!$E$1&amp;"월"&amp;$G$1&amp;"일"</f>
        <v>2024년4월1일</v>
      </c>
      <c r="Q3" s="137"/>
      <c r="R3" s="33"/>
    </row>
    <row r="4" spans="3:25" ht="16.5" customHeight="1" thickBot="1">
      <c r="C4" s="34" t="s">
        <v>15</v>
      </c>
      <c r="D4" s="35">
        <v>3966.9290000000001</v>
      </c>
      <c r="E4" s="34" t="str">
        <f>+'[1](1)'!E4</f>
        <v>고액권</v>
      </c>
      <c r="F4" s="36">
        <v>55000</v>
      </c>
      <c r="H4" s="93" t="str">
        <f>+C4</f>
        <v>판매량</v>
      </c>
      <c r="I4" s="35">
        <v>10021.677</v>
      </c>
      <c r="J4" s="42" t="str">
        <f>+'[1](1)'!J4</f>
        <v>고액권</v>
      </c>
      <c r="K4" s="36">
        <v>125000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32814</v>
      </c>
      <c r="S4" s="41" t="s">
        <v>17</v>
      </c>
      <c r="T4" s="27">
        <v>50612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2600</v>
      </c>
      <c r="H5" s="94" t="str">
        <f>+C5</f>
        <v>법인전표</v>
      </c>
      <c r="I5" s="43"/>
      <c r="J5" s="42" t="str">
        <f>+'[1](1)'!J5</f>
        <v>천원권</v>
      </c>
      <c r="K5" s="44">
        <v>4000</v>
      </c>
      <c r="M5" s="38"/>
      <c r="N5" s="45" t="str">
        <f>+C4</f>
        <v>판매량</v>
      </c>
      <c r="O5" s="46">
        <f>SUM(D4+I4+D17+I17+D35+I35)</f>
        <v>21582.469000000001</v>
      </c>
      <c r="P5" s="47" t="str">
        <f>+E4</f>
        <v>고액권</v>
      </c>
      <c r="Q5" s="48">
        <f>SUM(F4+K4+F17+K17+F35+K35)</f>
        <v>360000</v>
      </c>
      <c r="R5" s="49">
        <v>20</v>
      </c>
      <c r="S5" s="41" t="s">
        <v>20</v>
      </c>
      <c r="T5" s="27">
        <v>18</v>
      </c>
    </row>
    <row r="6" spans="3:25" ht="16.5" customHeight="1">
      <c r="C6" s="42" t="s">
        <v>21</v>
      </c>
      <c r="D6" s="50">
        <v>0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403.03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7700</v>
      </c>
      <c r="R6" s="49">
        <v>2.5</v>
      </c>
      <c r="S6" s="41" t="s">
        <v>23</v>
      </c>
      <c r="T6" s="133">
        <v>2.5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427.53799999999995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4036830</v>
      </c>
      <c r="H8" s="94" t="str">
        <f t="shared" si="2"/>
        <v>자가소비</v>
      </c>
      <c r="I8" s="50"/>
      <c r="J8" s="42" t="str">
        <f>+'[1](1)'!J8</f>
        <v>신용카드</v>
      </c>
      <c r="K8" s="44">
        <v>13786694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21416583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/>
      <c r="H10" s="94" t="str">
        <f t="shared" si="2"/>
        <v>고객우대</v>
      </c>
      <c r="I10" s="50">
        <v>168.07900000000001</v>
      </c>
      <c r="J10" s="42" t="str">
        <f>+'[1](1)'!J10</f>
        <v>OK케시백</v>
      </c>
      <c r="K10" s="44">
        <v>17000</v>
      </c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-5882.7650000000003</v>
      </c>
      <c r="J11" s="56" t="str">
        <f>+'[1](1)'!J11</f>
        <v>모바일</v>
      </c>
      <c r="K11" s="44">
        <v>25000</v>
      </c>
      <c r="M11" s="38"/>
      <c r="N11" s="51" t="str">
        <f t="shared" si="3"/>
        <v>고객우대</v>
      </c>
      <c r="O11" s="54">
        <f>SUM(D10+I10+D23+I23+D41+I41)</f>
        <v>168.07900000000001</v>
      </c>
      <c r="P11" s="51" t="str">
        <f t="shared" si="4"/>
        <v>OK케시백</v>
      </c>
      <c r="Q11" s="53">
        <f>SUM(F10+K10+F23+K23+F41+K41)</f>
        <v>17000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-5882.7650000000003</v>
      </c>
      <c r="P12" s="51" t="str">
        <f t="shared" si="4"/>
        <v>모바일</v>
      </c>
      <c r="Q12" s="53">
        <f>SUM(F11+K11+F24+K24+F42+K42)</f>
        <v>25000</v>
      </c>
      <c r="R12" s="40"/>
    </row>
    <row r="13" spans="3:25" ht="16.5" customHeight="1" thickBot="1">
      <c r="C13" s="59" t="s">
        <v>33</v>
      </c>
      <c r="D13" s="60">
        <f>SUM((D4-D5-D6-D7-D8-D9)*$I$1+D11)</f>
        <v>4093870.7280000001</v>
      </c>
      <c r="E13" s="29" t="str">
        <f>+'[1](1)'!E13</f>
        <v>합계</v>
      </c>
      <c r="F13" s="61">
        <f>SUM(F4:F12)</f>
        <v>4094430</v>
      </c>
      <c r="G13" s="62"/>
      <c r="H13" s="92" t="str">
        <f t="shared" si="2"/>
        <v>합계</v>
      </c>
      <c r="I13" s="60">
        <f>SUM((I4-I5-I6-I7-I8-I9)*$I$1+I11)</f>
        <v>9920560.9389999993</v>
      </c>
      <c r="J13" s="29" t="str">
        <f t="shared" ref="J13" si="5">+E13</f>
        <v>합계</v>
      </c>
      <c r="K13" s="61">
        <f>IF(K8=0,0,SUM(K4:K12)-F8)</f>
        <v>9920864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559.27199999988079</v>
      </c>
      <c r="K14" s="67">
        <f>SUM(K13-I13)</f>
        <v>303.06100000068545</v>
      </c>
      <c r="N14" s="39" t="str">
        <f t="shared" si="3"/>
        <v>합계</v>
      </c>
      <c r="O14" s="68">
        <f>SUM((O5-O6-O7-O8-O9-O10)*+$I$1+O12)</f>
        <v>21826006.026999999</v>
      </c>
      <c r="P14" s="39" t="str">
        <f t="shared" si="4"/>
        <v>합계</v>
      </c>
      <c r="Q14" s="69">
        <f>SUM(Q5:Q13)</f>
        <v>21826283</v>
      </c>
    </row>
    <row r="15" spans="3:25" ht="16.5" customHeight="1" thickBot="1">
      <c r="C15" s="27">
        <v>3</v>
      </c>
      <c r="H15" s="27">
        <v>4</v>
      </c>
      <c r="Q15" s="70">
        <f>SUM(F14+K14+F27+K27)</f>
        <v>276.97300000023097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7593.8630000000003</v>
      </c>
      <c r="E17" s="34" t="str">
        <f>+E4</f>
        <v>고액권</v>
      </c>
      <c r="F17" s="36">
        <v>180000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1100</v>
      </c>
      <c r="H18" s="94" t="str">
        <f>+C5</f>
        <v>법인전표</v>
      </c>
      <c r="I18" s="43"/>
      <c r="J18" s="42" t="str">
        <f>+E5</f>
        <v>천원권</v>
      </c>
      <c r="K18" s="44"/>
      <c r="N18" s="135" t="s">
        <v>34</v>
      </c>
      <c r="O18" s="148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24.507999999999999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9" t="s">
        <v>37</v>
      </c>
      <c r="O19" s="140"/>
      <c r="P19" s="117">
        <v>11</v>
      </c>
      <c r="Q19" s="48">
        <f>SUM(P19*1000)</f>
        <v>11000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5" t="s">
        <v>38</v>
      </c>
      <c r="O20" s="146"/>
      <c r="P20" s="118">
        <v>130</v>
      </c>
      <c r="Q20" s="53">
        <f>SUM(P20*1000)</f>
        <v>130000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21416583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5" t="s">
        <v>56</v>
      </c>
      <c r="O21" s="146"/>
      <c r="P21" s="118">
        <v>10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7" t="s">
        <v>58</v>
      </c>
      <c r="O22" s="142"/>
      <c r="P22" s="118">
        <v>15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41" t="s">
        <v>60</v>
      </c>
      <c r="O23" s="142"/>
      <c r="P23" s="118">
        <v>16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41" t="s">
        <v>63</v>
      </c>
      <c r="O24" s="142"/>
      <c r="P24" s="118">
        <v>9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41"/>
      <c r="O25" s="142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7811574.3600000003</v>
      </c>
      <c r="E26" s="29" t="str">
        <f t="shared" si="8"/>
        <v>합계</v>
      </c>
      <c r="F26" s="61">
        <f>IF(F21=0,0,SUM(F17:F25)-K8)</f>
        <v>7810989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41"/>
      <c r="O26" s="142"/>
      <c r="P26" s="72"/>
      <c r="Q26" s="113"/>
      <c r="R26" s="32"/>
      <c r="S26" s="32"/>
    </row>
    <row r="27" spans="3:19" ht="15.75" customHeight="1" thickBot="1">
      <c r="F27" s="67">
        <f>SUM(F26-D26)</f>
        <v>-585.36000000033528</v>
      </c>
      <c r="K27" s="67">
        <f>SUM(K26-I26)</f>
        <v>0</v>
      </c>
      <c r="N27" s="143" t="s">
        <v>39</v>
      </c>
      <c r="O27" s="144"/>
      <c r="P27" s="119">
        <f>+P28-SUM(P19:P26)</f>
        <v>-23</v>
      </c>
      <c r="Q27" s="73"/>
    </row>
    <row r="28" spans="3:19" ht="23.25" customHeight="1" thickBot="1">
      <c r="F28" s="67"/>
      <c r="K28" s="67"/>
      <c r="N28" s="135" t="s">
        <v>40</v>
      </c>
      <c r="O28" s="136"/>
      <c r="P28" s="120">
        <v>168</v>
      </c>
      <c r="Q28" s="69">
        <f>SUM(Q19:Q27)</f>
        <v>141000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35127</v>
      </c>
      <c r="P31" s="103">
        <v>35212</v>
      </c>
      <c r="Q31" s="104">
        <f>P31-O31</f>
        <v>85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5.8410000000000002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9.984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99.84</v>
      </c>
      <c r="M3" s="18" t="s">
        <v>10</v>
      </c>
      <c r="N3" s="3"/>
      <c r="O3" s="3"/>
      <c r="P3" s="150" t="str">
        <f>+'(1)'!C1&amp;"년"&amp;'(1)'!E1&amp;"월"&amp;C1&amp;"일"</f>
        <v>2024년4월10일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6224.8190000000004</v>
      </c>
      <c r="E4" s="34" t="str">
        <f>+'[1](1)'!E4</f>
        <v>고액권</v>
      </c>
      <c r="F4" s="36">
        <v>25000</v>
      </c>
      <c r="G4" s="27"/>
      <c r="H4" s="34" t="str">
        <f>+C4</f>
        <v>판매량</v>
      </c>
      <c r="I4" s="35">
        <v>3777.4050000000002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24226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5900</v>
      </c>
      <c r="L5" s="2"/>
      <c r="M5" s="20"/>
      <c r="N5" s="45" t="str">
        <f>+C4</f>
        <v>판매량</v>
      </c>
      <c r="O5" s="46">
        <f>SUM(D4+I4+D17+I17+D35+I35)</f>
        <v>10002.224</v>
      </c>
      <c r="P5" s="47" t="str">
        <f>+E4</f>
        <v>고액권</v>
      </c>
      <c r="Q5" s="48">
        <f>SUM(F4+K4+F17+K17+F35+K35)</f>
        <v>25000</v>
      </c>
      <c r="R5" s="7">
        <v>23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111.02800000000001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52.94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9900</v>
      </c>
      <c r="R6" s="7">
        <v>1.6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163.96800000000002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6235358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10072959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10072959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0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45000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6309432.3119999999</v>
      </c>
      <c r="E13" s="29" t="str">
        <f>+'[1](1)'!E13</f>
        <v>합계</v>
      </c>
      <c r="F13" s="61">
        <f>SUM(F4:F12)</f>
        <v>6309358</v>
      </c>
      <c r="G13" s="62"/>
      <c r="H13" s="29" t="str">
        <f t="shared" si="3"/>
        <v>합계</v>
      </c>
      <c r="I13" s="60">
        <f>SUM((I4-I5-I6-I7-I8-I9)*$I$1+I11)</f>
        <v>3843647.8800000004</v>
      </c>
      <c r="J13" s="29" t="str">
        <f t="shared" ref="J13" si="6">+E13</f>
        <v>합계</v>
      </c>
      <c r="K13" s="61">
        <f>IF(K8=0,0,SUM(K4:K12)-F8)</f>
        <v>3843501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-74.311999999918044</v>
      </c>
      <c r="G14" s="27"/>
      <c r="H14" s="27"/>
      <c r="I14" s="27"/>
      <c r="J14" s="27"/>
      <c r="K14" s="67">
        <f>SUM(K13-I13)</f>
        <v>-146.8800000003539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39353.023999999998</v>
      </c>
      <c r="P14" s="39" t="str">
        <f t="shared" si="5"/>
        <v>합계</v>
      </c>
      <c r="Q14" s="69">
        <f>SUM(Q5:Q13)</f>
        <v>10152859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-221.19200000027195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105</v>
      </c>
      <c r="Q28" s="69">
        <f>SUM(Q19:Q27)</f>
        <v>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35661</v>
      </c>
      <c r="P31" s="103">
        <v>35708</v>
      </c>
      <c r="Q31" s="104">
        <f>P31-O31</f>
        <v>47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10.112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9.9960000000000004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109.956</v>
      </c>
      <c r="M3" s="18" t="s">
        <v>10</v>
      </c>
      <c r="N3" s="3"/>
      <c r="O3" s="3"/>
      <c r="P3" s="150" t="str">
        <f>+'(1)'!C1&amp;"년"&amp;'(1)'!E1&amp;"월"&amp;C1&amp;"일"</f>
        <v>2024년4월11일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9473.5190000000002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7841.3810000000003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42462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7200</v>
      </c>
      <c r="L5" s="2"/>
      <c r="M5" s="20"/>
      <c r="N5" s="45" t="str">
        <f>+C4</f>
        <v>판매량</v>
      </c>
      <c r="O5" s="46">
        <f>SUM(D4+I4+D17+I17+D35+I35)</f>
        <v>17314.900000000001</v>
      </c>
      <c r="P5" s="47" t="str">
        <f>+E4</f>
        <v>고액권</v>
      </c>
      <c r="Q5" s="48">
        <f>SUM(F4+K4+F17+K17+F35+K35)</f>
        <v>190000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264.166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76.566999999999993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10200</v>
      </c>
      <c r="R6" s="7">
        <v>1.7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340.733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9357997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17283324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17283324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193.99100000000001</v>
      </c>
      <c r="E10" s="42" t="str">
        <f>+'[1](1)'!E10</f>
        <v>OK케시백</v>
      </c>
      <c r="F10" s="44">
        <v>22637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-6789.6850000000004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193.99100000000001</v>
      </c>
      <c r="P11" s="51" t="str">
        <f t="shared" si="5"/>
        <v>OK케시백</v>
      </c>
      <c r="Q11" s="53">
        <f>SUM(F10+K10+F23+K23+F41+K41)</f>
        <v>22637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-6789.6850000000004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9497262.6109999996</v>
      </c>
      <c r="E13" s="29" t="str">
        <f>+'[1](1)'!E13</f>
        <v>합계</v>
      </c>
      <c r="F13" s="61">
        <f>SUM(F4:F12)</f>
        <v>9498634</v>
      </c>
      <c r="G13" s="62"/>
      <c r="H13" s="29" t="str">
        <f t="shared" si="3"/>
        <v>합계</v>
      </c>
      <c r="I13" s="60">
        <f>SUM((I4-I5-I6-I7-I8-I9)*$I$1+I11)</f>
        <v>8013288.0480000004</v>
      </c>
      <c r="J13" s="29" t="str">
        <f t="shared" ref="J13" si="6">+E13</f>
        <v>합계</v>
      </c>
      <c r="K13" s="61">
        <f>IF(K8=0,0,SUM(K4:K12)-F8)</f>
        <v>8012527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1371.3890000004321</v>
      </c>
      <c r="G14" s="27"/>
      <c r="H14" s="27"/>
      <c r="I14" s="27"/>
      <c r="J14" s="27"/>
      <c r="K14" s="67">
        <f>SUM(K13-I13)</f>
        <v>-761.04800000041723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61106.983000000007</v>
      </c>
      <c r="P14" s="39" t="str">
        <f t="shared" si="5"/>
        <v>합계</v>
      </c>
      <c r="Q14" s="69">
        <f>SUM(Q5:Q13)</f>
        <v>17511161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610.3410000000149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32</v>
      </c>
      <c r="Q19" s="48">
        <f>SUM(P19*1000)</f>
        <v>32000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109</v>
      </c>
      <c r="Q20" s="53">
        <f>SUM(P20*1000)</f>
        <v>109000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206</v>
      </c>
      <c r="Q28" s="69">
        <f>SUM(Q19:Q27)</f>
        <v>141000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35708</v>
      </c>
      <c r="P31" s="103">
        <v>35764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11.465999999999999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10.119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121.428</v>
      </c>
      <c r="M3" s="18" t="s">
        <v>10</v>
      </c>
      <c r="N3" s="3"/>
      <c r="O3" s="3"/>
      <c r="P3" s="150" t="str">
        <f>+'(1)'!C1&amp;"년"&amp;'(1)'!E1&amp;"월"&amp;C1&amp;"일"</f>
        <v>2024년4월12일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11043.904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8590.1859999999997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21621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2200</v>
      </c>
      <c r="L5" s="2"/>
      <c r="M5" s="20"/>
      <c r="N5" s="45" t="str">
        <f>+C4</f>
        <v>판매량</v>
      </c>
      <c r="O5" s="46">
        <f>SUM(D4+I4+D17+I17+D35+I35)</f>
        <v>19634.09</v>
      </c>
      <c r="P5" s="47" t="str">
        <f>+E4</f>
        <v>고액권</v>
      </c>
      <c r="Q5" s="48">
        <f>SUM(F4+K4+F17+K17+F35+K35)</f>
        <v>310000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422.411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22.885000000000002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6200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445.29599999999999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10765403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19427229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10000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19427229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304.86399999999998</v>
      </c>
      <c r="E10" s="42" t="str">
        <f>+'[1](1)'!E10</f>
        <v>OK케시백</v>
      </c>
      <c r="F10" s="44">
        <v>21121</v>
      </c>
      <c r="G10" s="27"/>
      <c r="H10" s="42" t="str">
        <f t="shared" si="3"/>
        <v>고객우대</v>
      </c>
      <c r="I10" s="50">
        <v>45.488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-10670.24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-1592.08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350.35199999999998</v>
      </c>
      <c r="P11" s="51" t="str">
        <f t="shared" si="5"/>
        <v>OK케시백</v>
      </c>
      <c r="Q11" s="53">
        <f>SUM(F10+K10+F23+K23+F41+K41)</f>
        <v>21121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-12262.32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10950710.536</v>
      </c>
      <c r="E13" s="29" t="str">
        <f>+'[1](1)'!E13</f>
        <v>합계</v>
      </c>
      <c r="F13" s="61">
        <f>SUM(F4:F12)</f>
        <v>10950524</v>
      </c>
      <c r="G13" s="62"/>
      <c r="H13" s="29" t="str">
        <f t="shared" si="3"/>
        <v>합계</v>
      </c>
      <c r="I13" s="60">
        <f>SUM((I4-I5-I6-I7-I8-I9)*$I$1+I11)</f>
        <v>8839862.5519999992</v>
      </c>
      <c r="J13" s="29" t="str">
        <f t="shared" ref="J13" si="6">+E13</f>
        <v>합계</v>
      </c>
      <c r="K13" s="61">
        <f>IF(K8=0,0,SUM(K4:K12)-F8)</f>
        <v>8839026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-186.53600000031292</v>
      </c>
      <c r="G14" s="27"/>
      <c r="H14" s="27"/>
      <c r="I14" s="27"/>
      <c r="J14" s="27"/>
      <c r="K14" s="67">
        <f>SUM(K13-I13)</f>
        <v>-836.55199999921024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64492.856000000007</v>
      </c>
      <c r="P14" s="39" t="str">
        <f t="shared" si="5"/>
        <v>합계</v>
      </c>
      <c r="Q14" s="69">
        <f>SUM(Q5:Q13)</f>
        <v>19789550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-1023.0879999995232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166</v>
      </c>
      <c r="Q20" s="53">
        <f>SUM(P20*1000)</f>
        <v>166000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-45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202</v>
      </c>
      <c r="Q28" s="69">
        <f>SUM(Q19:Q27)</f>
        <v>188000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35764</v>
      </c>
      <c r="P31" s="103">
        <v>35859</v>
      </c>
      <c r="Q31" s="104">
        <f>P31-O31</f>
        <v>95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9.9350000000000005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10.105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131.36500000000001</v>
      </c>
      <c r="M3" s="18" t="s">
        <v>10</v>
      </c>
      <c r="N3" s="3"/>
      <c r="O3" s="3"/>
      <c r="P3" s="150" t="str">
        <f>+'(1)'!C1&amp;"년"&amp;'(1)'!E1&amp;"월"&amp;C1&amp;"일"</f>
        <v>2024년4월13일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8250.857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8761.09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40071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6000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9800</v>
      </c>
      <c r="L5" s="2"/>
      <c r="M5" s="20"/>
      <c r="N5" s="45" t="str">
        <f>+C4</f>
        <v>판매량</v>
      </c>
      <c r="O5" s="46">
        <f>SUM(D4+I4+D17+I17+D35+I35)</f>
        <v>17011.947</v>
      </c>
      <c r="P5" s="47" t="str">
        <f>+E4</f>
        <v>고액권</v>
      </c>
      <c r="Q5" s="48">
        <f>SUM(F4+K4+F17+K17+F35+K35)</f>
        <v>340000</v>
      </c>
      <c r="R5" s="7">
        <v>25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142.947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15800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142.947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8103634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17015307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10000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17015307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150.726</v>
      </c>
      <c r="E10" s="42" t="str">
        <f>+'[1](1)'!E10</f>
        <v>OK케시백</v>
      </c>
      <c r="F10" s="44">
        <v>7520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-5275.41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150.726</v>
      </c>
      <c r="P11" s="51" t="str">
        <f t="shared" si="5"/>
        <v>OK케시백</v>
      </c>
      <c r="Q11" s="53">
        <f>SUM(F10+K10+F23+K23+F41+K41)</f>
        <v>7520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-5275.41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8362087.71</v>
      </c>
      <c r="E13" s="29" t="str">
        <f>+'[1](1)'!E13</f>
        <v>합계</v>
      </c>
      <c r="F13" s="61">
        <f>SUM(F4:F12)</f>
        <v>8362154</v>
      </c>
      <c r="G13" s="62"/>
      <c r="H13" s="29" t="str">
        <f t="shared" si="3"/>
        <v>합계</v>
      </c>
      <c r="I13" s="60">
        <f>SUM((I4-I5-I6-I7-I8-I9)*$I$1+I11)</f>
        <v>9041444.8800000008</v>
      </c>
      <c r="J13" s="29" t="str">
        <f t="shared" ref="J13" si="6">+E13</f>
        <v>합계</v>
      </c>
      <c r="K13" s="61">
        <f>IF(K8=0,0,SUM(K4:K12)-F8)</f>
        <v>9041473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66.290000000037253</v>
      </c>
      <c r="G14" s="27"/>
      <c r="H14" s="27"/>
      <c r="I14" s="27"/>
      <c r="J14" s="27"/>
      <c r="K14" s="67">
        <f>SUM(K13-I13)</f>
        <v>28.119999999180436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62200.59</v>
      </c>
      <c r="P14" s="39" t="str">
        <f t="shared" si="5"/>
        <v>합계</v>
      </c>
      <c r="Q14" s="69">
        <f>SUM(Q5:Q13)</f>
        <v>17403627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94.409999999217689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103</v>
      </c>
      <c r="Q20" s="53">
        <f>SUM(P20*1000)</f>
        <v>103000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157</v>
      </c>
      <c r="Q28" s="69">
        <f>SUM(Q19:Q27)</f>
        <v>119000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35859</v>
      </c>
      <c r="P31" s="103">
        <v>35927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6.2370000000000001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9.8290000000000006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137.60599999999999</v>
      </c>
      <c r="M3" s="18" t="s">
        <v>10</v>
      </c>
      <c r="N3" s="3"/>
      <c r="O3" s="3"/>
      <c r="P3" s="150" t="str">
        <f>+'(1)'!C1&amp;"년"&amp;'(1)'!E1&amp;"월"&amp;C1&amp;"일"</f>
        <v>2024년4월14일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5755.21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4923.9250000000002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29035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10679.135</v>
      </c>
      <c r="P5" s="47" t="str">
        <f>+E4</f>
        <v>고액권</v>
      </c>
      <c r="Q5" s="48">
        <f>SUM(F4+K4+F17+K17+F35+K35)</f>
        <v>235000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190.40899999999999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190.40899999999999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5563876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10577676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10577676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112.90900000000001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-3951.8150000000001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112.90900000000001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-3951.8150000000001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5738922.8169999998</v>
      </c>
      <c r="E13" s="29" t="str">
        <f>+'[1](1)'!E13</f>
        <v>합계</v>
      </c>
      <c r="F13" s="61">
        <f>SUM(F4:F12)</f>
        <v>5738876</v>
      </c>
      <c r="G13" s="62"/>
      <c r="H13" s="29" t="str">
        <f t="shared" si="3"/>
        <v>합계</v>
      </c>
      <c r="I13" s="60">
        <f>SUM((I4-I5-I6-I7-I8-I9)*$I$1+I11)</f>
        <v>5081490.6000000006</v>
      </c>
      <c r="J13" s="29" t="str">
        <f t="shared" ref="J13" si="6">+E13</f>
        <v>합계</v>
      </c>
      <c r="K13" s="61">
        <f>IF(K8=0,0,SUM(K4:K12)-F8)</f>
        <v>5080800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-46.816999999806285</v>
      </c>
      <c r="G14" s="27"/>
      <c r="H14" s="27"/>
      <c r="I14" s="27"/>
      <c r="J14" s="27"/>
      <c r="K14" s="67">
        <f>SUM(K13-I13)</f>
        <v>-690.60000000055879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38003.089</v>
      </c>
      <c r="P14" s="39" t="str">
        <f t="shared" si="5"/>
        <v>합계</v>
      </c>
      <c r="Q14" s="69">
        <f>SUM(Q5:Q13)</f>
        <v>10819676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-737.41700000036508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83</v>
      </c>
      <c r="Q20" s="53">
        <f>SUM(P20*1000)</f>
        <v>83000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105</v>
      </c>
      <c r="Q28" s="69">
        <f>SUM(Q19:Q27)</f>
        <v>93000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35927</v>
      </c>
      <c r="P31" s="103">
        <v>35978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10.237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9.8559999999999999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147.84</v>
      </c>
      <c r="M3" s="18" t="s">
        <v>10</v>
      </c>
      <c r="N3" s="3"/>
      <c r="O3" s="3"/>
      <c r="P3" s="150" t="str">
        <f>+'(1)'!C1&amp;"년"&amp;'(1)'!E1&amp;"월"&amp;C1&amp;"일"</f>
        <v>2024년4월15일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9479.4230000000007</v>
      </c>
      <c r="E4" s="34" t="str">
        <f>+'[1](1)'!E4</f>
        <v>고액권</v>
      </c>
      <c r="F4" s="36">
        <v>15000</v>
      </c>
      <c r="G4" s="27"/>
      <c r="H4" s="34" t="str">
        <f>+C4</f>
        <v>판매량</v>
      </c>
      <c r="I4" s="35">
        <v>8049.4430000000002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46973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1400</v>
      </c>
      <c r="L5" s="2"/>
      <c r="M5" s="20"/>
      <c r="N5" s="45" t="str">
        <f>+C4</f>
        <v>판매량</v>
      </c>
      <c r="O5" s="46">
        <f>SUM(D4+I4+D17+I17+D35+I35)</f>
        <v>17528.866000000002</v>
      </c>
      <c r="P5" s="47" t="str">
        <f>+E4</f>
        <v>고액권</v>
      </c>
      <c r="Q5" s="48">
        <f>SUM(F4+K4+F17+K17+F35+K35)</f>
        <v>165000</v>
      </c>
      <c r="R5" s="7">
        <v>23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275.92599999999999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29.39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2400</v>
      </c>
      <c r="R6" s="7">
        <v>1.5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305.31599999999997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43.244999999999997</v>
      </c>
      <c r="E8" s="42" t="str">
        <f>+'[1](1)'!E8</f>
        <v>신용카드</v>
      </c>
      <c r="F8" s="44">
        <v>9421856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17546872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43.244999999999997</v>
      </c>
      <c r="P9" s="51" t="str">
        <f t="shared" si="5"/>
        <v>신용카드</v>
      </c>
      <c r="Q9" s="53">
        <f>IF(K8=0,F8,IF(F21=0,K8,IF(K21=0,F21,K21)))</f>
        <v>17546872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300.84699999999998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-10529.644999999999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300.84699999999998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-10529.644999999999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9442850.4190000016</v>
      </c>
      <c r="E13" s="29" t="str">
        <f>+'[1](1)'!E13</f>
        <v>합계</v>
      </c>
      <c r="F13" s="61">
        <f>SUM(F4:F12)</f>
        <v>9442856</v>
      </c>
      <c r="G13" s="62"/>
      <c r="H13" s="29" t="str">
        <f t="shared" si="3"/>
        <v>합계</v>
      </c>
      <c r="I13" s="60">
        <f>SUM((I4-I5-I6-I7-I8-I9)*$I$1+I11)</f>
        <v>8276694.6959999995</v>
      </c>
      <c r="J13" s="29" t="str">
        <f t="shared" ref="J13" si="6">+E13</f>
        <v>합계</v>
      </c>
      <c r="K13" s="61">
        <f>IF(K8=0,0,SUM(K4:K12)-F8)</f>
        <v>8276416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5.5809999983757734</v>
      </c>
      <c r="G14" s="27"/>
      <c r="H14" s="27"/>
      <c r="I14" s="27"/>
      <c r="J14" s="27"/>
      <c r="K14" s="67">
        <f>SUM(K13-I13)</f>
        <v>-278.69599999953061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58191.575000000019</v>
      </c>
      <c r="P14" s="39" t="str">
        <f t="shared" si="5"/>
        <v>합계</v>
      </c>
      <c r="Q14" s="69">
        <f>SUM(Q5:Q13)</f>
        <v>17719272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-273.11500000115484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40</v>
      </c>
      <c r="Q28" s="69">
        <f>SUM(Q19:Q27)</f>
        <v>24000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35978</v>
      </c>
      <c r="P31" s="103">
        <v>35986</v>
      </c>
      <c r="Q31" s="104">
        <f>P31-O31</f>
        <v>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10.119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9.8719999999999999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157.952</v>
      </c>
      <c r="M3" s="18" t="s">
        <v>10</v>
      </c>
      <c r="N3" s="3"/>
      <c r="O3" s="3"/>
      <c r="P3" s="150" t="str">
        <f>+'(1)'!C1&amp;"년"&amp;'(1)'!E1&amp;"월"&amp;C1&amp;"일"</f>
        <v>2024년4월16일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9936.0660000000007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7390.9470000000001</v>
      </c>
      <c r="J4" s="42" t="str">
        <f>+'[1](1)'!J4</f>
        <v>고액권</v>
      </c>
      <c r="K4" s="36">
        <v>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28829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4600</v>
      </c>
      <c r="L5" s="2"/>
      <c r="M5" s="20"/>
      <c r="N5" s="45" t="str">
        <f>+C4</f>
        <v>판매량</v>
      </c>
      <c r="O5" s="46">
        <f>SUM(D4+I4+D17+I17+D35+I35)</f>
        <v>17327.012999999999</v>
      </c>
      <c r="P5" s="47" t="str">
        <f>+E4</f>
        <v>고액권</v>
      </c>
      <c r="Q5" s="48">
        <f>SUM(F4+K4+F17+K17+F35+K35)</f>
        <v>265000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444.834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43.938000000000002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8600</v>
      </c>
      <c r="R6" s="7">
        <v>1.7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488.77199999999999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9540165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17071437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17071437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204.28200000000001</v>
      </c>
      <c r="E10" s="42" t="str">
        <f>+'[1](1)'!E10</f>
        <v>OK케시백</v>
      </c>
      <c r="F10" s="44">
        <v>24000</v>
      </c>
      <c r="G10" s="27"/>
      <c r="H10" s="42" t="str">
        <f t="shared" si="3"/>
        <v>고객우대</v>
      </c>
      <c r="I10" s="50">
        <v>46.494999999999997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-7149.8700000000008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-1627.3249999999998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250.77700000000002</v>
      </c>
      <c r="P11" s="51" t="str">
        <f t="shared" si="5"/>
        <v>OK케시백</v>
      </c>
      <c r="Q11" s="53">
        <f>SUM(F10+K10+F23+K23+F41+K41)</f>
        <v>24000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-8777.1949999999997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9787801.5540000014</v>
      </c>
      <c r="E13" s="29" t="str">
        <f>+'[1](1)'!E13</f>
        <v>합계</v>
      </c>
      <c r="F13" s="61">
        <f>SUM(F4:F12)</f>
        <v>9788165</v>
      </c>
      <c r="G13" s="62"/>
      <c r="H13" s="29" t="str">
        <f t="shared" si="3"/>
        <v>합계</v>
      </c>
      <c r="I13" s="60">
        <f>SUM((I4-I5-I6-I7-I8-I9)*$I$1+I11)</f>
        <v>7580485.9629999995</v>
      </c>
      <c r="J13" s="29" t="str">
        <f t="shared" ref="J13" si="6">+E13</f>
        <v>합계</v>
      </c>
      <c r="K13" s="61">
        <f>IF(K8=0,0,SUM(K4:K12)-F8)</f>
        <v>7580872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363.44599999859929</v>
      </c>
      <c r="G14" s="27"/>
      <c r="H14" s="27"/>
      <c r="I14" s="27"/>
      <c r="J14" s="27"/>
      <c r="K14" s="67">
        <f>SUM(K13-I13)</f>
        <v>386.03700000047684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58575.768999999993</v>
      </c>
      <c r="P14" s="39" t="str">
        <f t="shared" si="5"/>
        <v>합계</v>
      </c>
      <c r="Q14" s="69">
        <f>SUM(Q5:Q13)</f>
        <v>17369037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749.48299999907613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92</v>
      </c>
      <c r="Q20" s="53">
        <f>SUM(P20*1000)</f>
        <v>92000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186</v>
      </c>
      <c r="Q28" s="69">
        <f>SUM(Q19:Q27)</f>
        <v>116000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35986</v>
      </c>
      <c r="P31" s="103">
        <v>36027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9.9329999999999998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168.86099999999999</v>
      </c>
      <c r="M3" s="18" t="s">
        <v>10</v>
      </c>
      <c r="N3" s="3"/>
      <c r="O3" s="3"/>
      <c r="P3" s="150" t="str">
        <f>+'(1)'!C1&amp;"년"&amp;'(1)'!E1&amp;"월"&amp;C1&amp;"일"</f>
        <v>2024년4월17일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10851.455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7829.64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45481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8400</v>
      </c>
      <c r="L5" s="2"/>
      <c r="M5" s="20"/>
      <c r="N5" s="45" t="str">
        <f>+C4</f>
        <v>판매량</v>
      </c>
      <c r="O5" s="46">
        <f>SUM(D4+I4+D17+I17+D35+I35)</f>
        <v>18681.095000000001</v>
      </c>
      <c r="P5" s="47" t="str">
        <f>+E4</f>
        <v>고액권</v>
      </c>
      <c r="Q5" s="48">
        <f>SUM(F4+K4+F17+K17+F35+K35)</f>
        <v>195000</v>
      </c>
      <c r="R5" s="7">
        <v>23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248.57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19.936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12400</v>
      </c>
      <c r="R6" s="7">
        <v>1.6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268.50599999999997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10762804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18776158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18776158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275.63099999999997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-9647.0849999999991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275.63099999999997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-9647.0849999999991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10932530.234999999</v>
      </c>
      <c r="E13" s="29" t="str">
        <f>+'[1](1)'!E13</f>
        <v>합계</v>
      </c>
      <c r="F13" s="61">
        <f>SUM(F4:F12)</f>
        <v>10941804</v>
      </c>
      <c r="G13" s="62"/>
      <c r="H13" s="29" t="str">
        <f t="shared" si="3"/>
        <v>합계</v>
      </c>
      <c r="I13" s="60">
        <f>SUM((I4-I5-I6-I7-I8-I9)*$I$1+I11)</f>
        <v>8059614.5280000009</v>
      </c>
      <c r="J13" s="29" t="str">
        <f t="shared" ref="J13" si="6">+E13</f>
        <v>합계</v>
      </c>
      <c r="K13" s="61">
        <f>IF(K8=0,0,SUM(K4:K12)-F8)</f>
        <v>8051754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9273.765000000596</v>
      </c>
      <c r="G14" s="27"/>
      <c r="H14" s="27"/>
      <c r="I14" s="27"/>
      <c r="J14" s="27"/>
      <c r="K14" s="67">
        <f>SUM(K13-I13)</f>
        <v>-7860.5280000008643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64003.271000000001</v>
      </c>
      <c r="P14" s="39" t="str">
        <f t="shared" si="5"/>
        <v>합계</v>
      </c>
      <c r="Q14" s="69">
        <f>SUM(Q5:Q13)</f>
        <v>18993558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1413.2369999997318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93</v>
      </c>
      <c r="Q20" s="53">
        <f>SUM(P20*1000)</f>
        <v>93000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174</v>
      </c>
      <c r="Q28" s="69">
        <f>SUM(Q19:Q27)</f>
        <v>113000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36027</v>
      </c>
      <c r="P31" s="103">
        <v>36084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11.147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180</v>
      </c>
      <c r="M3" s="18" t="s">
        <v>10</v>
      </c>
      <c r="N3" s="3"/>
      <c r="O3" s="3"/>
      <c r="P3" s="150" t="str">
        <f>+'(1)'!C1&amp;"년"&amp;'(1)'!E1&amp;"월"&amp;C1&amp;"일"</f>
        <v>2024년4월18일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10263.6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8824.17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25641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</v>
      </c>
      <c r="L5" s="2"/>
      <c r="M5" s="20"/>
      <c r="N5" s="45" t="str">
        <f>+C4</f>
        <v>판매량</v>
      </c>
      <c r="O5" s="46">
        <f>SUM(D4+I4+D17+I17+D35+I35)</f>
        <v>19087.77</v>
      </c>
      <c r="P5" s="47" t="str">
        <f>+E4</f>
        <v>고액권</v>
      </c>
      <c r="Q5" s="48">
        <f>SUM(F4+K4+F17+K17+F35+K35)</f>
        <v>230000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392.82100000000003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</v>
      </c>
      <c r="R6" s="7">
        <v>1.7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392.82100000000003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10035842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19042492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19042492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340.81299999999999</v>
      </c>
      <c r="E10" s="42" t="str">
        <f>+'[1](1)'!E10</f>
        <v>OK케시백</v>
      </c>
      <c r="F10" s="44">
        <v>3000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-11928.455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340.81299999999999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-11928.455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10174715.473000001</v>
      </c>
      <c r="E13" s="29" t="str">
        <f>+'[1](1)'!E13</f>
        <v>합계</v>
      </c>
      <c r="F13" s="61">
        <f>SUM(F4:F12)</f>
        <v>10173842</v>
      </c>
      <c r="G13" s="62"/>
      <c r="H13" s="29" t="str">
        <f t="shared" si="3"/>
        <v>합계</v>
      </c>
      <c r="I13" s="60">
        <f>SUM((I4-I5-I6-I7-I8-I9)*$I$1+I11)</f>
        <v>9106543.4399999995</v>
      </c>
      <c r="J13" s="29" t="str">
        <f t="shared" ref="J13" si="6">+E13</f>
        <v>합계</v>
      </c>
      <c r="K13" s="61">
        <f>IF(K8=0,0,SUM(K4:K12)-F8)</f>
        <v>9107050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-873.47300000116229</v>
      </c>
      <c r="G14" s="27"/>
      <c r="H14" s="27"/>
      <c r="I14" s="27"/>
      <c r="J14" s="27"/>
      <c r="K14" s="67">
        <f>SUM(K13-I13)</f>
        <v>506.56000000052154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62851.341</v>
      </c>
      <c r="P14" s="39" t="str">
        <f t="shared" si="5"/>
        <v>합계</v>
      </c>
      <c r="Q14" s="69">
        <f>SUM(Q5:Q13)</f>
        <v>19280892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-366.91300000064075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85</v>
      </c>
      <c r="Q20" s="53">
        <f>SUM(P20*1000)</f>
        <v>85000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164</v>
      </c>
      <c r="Q28" s="69">
        <f>SUM(Q19:Q27)</f>
        <v>104000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36084</v>
      </c>
      <c r="P31" s="103">
        <v>36147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10.704000000000001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10.037000000000001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190.703</v>
      </c>
      <c r="M3" s="18" t="s">
        <v>10</v>
      </c>
      <c r="N3" s="3"/>
      <c r="O3" s="3"/>
      <c r="P3" s="150" t="str">
        <f>+'(1)'!C1&amp;"년"&amp;'(1)'!E1&amp;"월"&amp;C1&amp;"일"</f>
        <v>2024년4월19일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9257.9770000000008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9070.7450000000008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42762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18328.722000000002</v>
      </c>
      <c r="P5" s="47" t="str">
        <f>+E4</f>
        <v>고액권</v>
      </c>
      <c r="Q5" s="48">
        <f>SUM(F4+K4+F17+K17+F35+K35)</f>
        <v>330000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399.46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80.167000000000002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479.62699999999995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8986483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18072745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18072745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204.55199999999999</v>
      </c>
      <c r="E10" s="42" t="str">
        <f>+'[1](1)'!E10</f>
        <v>OK케시백</v>
      </c>
      <c r="F10" s="44">
        <v>4000</v>
      </c>
      <c r="G10" s="27"/>
      <c r="H10" s="42" t="str">
        <f t="shared" si="3"/>
        <v>고객우대</v>
      </c>
      <c r="I10" s="50">
        <v>54.654000000000003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-7159.32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-1912.89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259.20600000000002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-9072.2100000000009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9134830.2240000013</v>
      </c>
      <c r="E13" s="29" t="str">
        <f>+'[1](1)'!E13</f>
        <v>합계</v>
      </c>
      <c r="F13" s="61">
        <f>SUM(F4:F12)</f>
        <v>9134483</v>
      </c>
      <c r="G13" s="62"/>
      <c r="H13" s="29" t="str">
        <f t="shared" si="3"/>
        <v>합계</v>
      </c>
      <c r="I13" s="60">
        <f>SUM((I4-I5-I6-I7-I8-I9)*$I$1+I11)</f>
        <v>9276363.6060000006</v>
      </c>
      <c r="J13" s="29" t="str">
        <f t="shared" ref="J13" si="6">+E13</f>
        <v>합계</v>
      </c>
      <c r="K13" s="61">
        <f>IF(K8=0,0,SUM(K4:K12)-F8)</f>
        <v>9276262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-347.2240000013262</v>
      </c>
      <c r="G14" s="27"/>
      <c r="H14" s="27"/>
      <c r="I14" s="27"/>
      <c r="J14" s="27"/>
      <c r="K14" s="67">
        <f>SUM(K13-I13)</f>
        <v>-101.60600000061095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62324.170000000006</v>
      </c>
      <c r="P14" s="39" t="str">
        <f t="shared" si="5"/>
        <v>합계</v>
      </c>
      <c r="Q14" s="69">
        <f>SUM(Q5:Q13)</f>
        <v>18410745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-448.83000000193715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97</v>
      </c>
      <c r="Q20" s="53">
        <f>SUM(P20*1000)</f>
        <v>97000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133</v>
      </c>
      <c r="Q28" s="69">
        <f>SUM(Q19:Q27)</f>
        <v>109000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36147</v>
      </c>
      <c r="P31" s="103">
        <v>36213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R19" sqref="R19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4</v>
      </c>
      <c r="F1" s="27"/>
      <c r="G1" s="27"/>
      <c r="H1" s="27"/>
      <c r="I1" s="132">
        <v>1032</v>
      </c>
      <c r="J1" s="27"/>
      <c r="K1" s="27"/>
      <c r="L1" s="31">
        <f>+ROUND(+O5*0.584/1000,3)</f>
        <v>10.641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11.622999999999999</v>
      </c>
      <c r="M2" s="27" t="s">
        <v>7</v>
      </c>
      <c r="N2" s="138" t="s">
        <v>42</v>
      </c>
      <c r="O2" s="138"/>
      <c r="P2" s="138"/>
      <c r="Q2" s="138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8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23.245999999999999</v>
      </c>
      <c r="M3" s="27" t="s">
        <v>10</v>
      </c>
      <c r="N3" s="32"/>
      <c r="O3" s="32"/>
      <c r="P3" s="137" t="str">
        <f>+'(1)'!C1&amp;"년"&amp;'(1)'!E1&amp;"월"&amp;C1&amp;"일"</f>
        <v>2024년4월2일</v>
      </c>
      <c r="Q3" s="137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9857.6620000000003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8362.82</v>
      </c>
      <c r="J4" s="42" t="str">
        <f>+'[1](1)'!J4</f>
        <v>고액권</v>
      </c>
      <c r="K4" s="36">
        <v>125000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51410</v>
      </c>
      <c r="S4" s="41" t="s">
        <v>43</v>
      </c>
      <c r="T4" s="27">
        <v>50612</v>
      </c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4400</v>
      </c>
      <c r="L5" s="37"/>
      <c r="M5" s="82"/>
      <c r="N5" s="45" t="str">
        <f>+C4</f>
        <v>판매량</v>
      </c>
      <c r="O5" s="46">
        <f>SUM(D4+I4+D17+I17+D35+I35)</f>
        <v>18220.482</v>
      </c>
      <c r="P5" s="47" t="str">
        <f>+E4</f>
        <v>고액권</v>
      </c>
      <c r="Q5" s="48">
        <f>SUM(F4+K4+F17+K17+F35+K35)</f>
        <v>190000</v>
      </c>
      <c r="R5" s="49">
        <v>20</v>
      </c>
      <c r="S5" s="41" t="s">
        <v>44</v>
      </c>
      <c r="T5" s="27">
        <v>18</v>
      </c>
      <c r="U5" s="27"/>
      <c r="V5" s="27"/>
    </row>
    <row r="6" spans="3:22" ht="16.5" customHeight="1">
      <c r="C6" s="83" t="str">
        <f>+'(1)'!C6</f>
        <v>외상전표</v>
      </c>
      <c r="D6" s="50">
        <v>252.70599999999999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31.895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8400</v>
      </c>
      <c r="R6" s="49">
        <v>2.6</v>
      </c>
      <c r="S6" s="41" t="s">
        <v>45</v>
      </c>
      <c r="T6" s="133">
        <v>2.5</v>
      </c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284.601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9804546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18268917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18268917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395.27800000000002</v>
      </c>
      <c r="E10" s="42" t="str">
        <f>+'[1](1)'!E10</f>
        <v>OK케시백</v>
      </c>
      <c r="F10" s="44">
        <v>24637</v>
      </c>
      <c r="G10" s="27"/>
      <c r="H10" s="42" t="str">
        <f t="shared" si="2"/>
        <v>고객우대</v>
      </c>
      <c r="I10" s="50">
        <v>45.192</v>
      </c>
      <c r="J10" s="42" t="str">
        <f>+'[1](1)'!J10</f>
        <v>OK케시백</v>
      </c>
      <c r="K10" s="44">
        <v>2000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-13834.730000000001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-1581.72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440.47</v>
      </c>
      <c r="P11" s="51" t="str">
        <f t="shared" si="4"/>
        <v>OK케시백</v>
      </c>
      <c r="Q11" s="53">
        <f>SUM(F10+K10+F23+K23+F41+K41)</f>
        <v>26637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-15416.45</v>
      </c>
      <c r="P12" s="51" t="str">
        <f t="shared" si="4"/>
        <v>모바일</v>
      </c>
      <c r="Q12" s="53">
        <f>SUM(F11+K11+F24+K24+F42+K42)</f>
        <v>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9898479.8619999997</v>
      </c>
      <c r="E13" s="29" t="str">
        <f>+'[1](1)'!E13</f>
        <v>합계</v>
      </c>
      <c r="F13" s="61">
        <f>SUM(F4:F12)</f>
        <v>9898183</v>
      </c>
      <c r="G13" s="62"/>
      <c r="H13" s="29" t="str">
        <f t="shared" si="2"/>
        <v>합계</v>
      </c>
      <c r="I13" s="60">
        <f>SUM((I4-I5-I6-I7-I8-I9)*$I$1+I11)</f>
        <v>8595932.879999999</v>
      </c>
      <c r="J13" s="29" t="str">
        <f t="shared" ref="J13" si="5">+E13</f>
        <v>합계</v>
      </c>
      <c r="K13" s="61">
        <f>IF(K8=0,0,SUM(K4:K12)-F8)</f>
        <v>8595771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-296.86199999973178</v>
      </c>
      <c r="G14" s="27"/>
      <c r="H14" s="27"/>
      <c r="I14" s="27"/>
      <c r="J14" s="27"/>
      <c r="K14" s="67">
        <f>SUM(K13-I13)</f>
        <v>-161.87999999895692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56327.074000000008</v>
      </c>
      <c r="P14" s="39" t="str">
        <f t="shared" si="4"/>
        <v>합계</v>
      </c>
      <c r="Q14" s="69">
        <f>SUM(Q5:Q13)</f>
        <v>18493954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-458.7419999986887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14</v>
      </c>
      <c r="Q19" s="48">
        <f>SUM(P19*1000)</f>
        <v>14000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89</v>
      </c>
      <c r="Q20" s="53">
        <f>SUM(P20*1000)</f>
        <v>89000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19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41"/>
      <c r="O26" s="142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5" t="s">
        <v>40</v>
      </c>
      <c r="O28" s="136"/>
      <c r="P28" s="120">
        <v>136</v>
      </c>
      <c r="Q28" s="69">
        <f>SUM(Q19:Q27)</f>
        <v>103000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35212</v>
      </c>
      <c r="P31" s="103">
        <v>35268</v>
      </c>
      <c r="Q31" s="104">
        <f>P31-O31</f>
        <v>56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8.7409999999999997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9.9719999999999995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199.44</v>
      </c>
      <c r="M3" s="18" t="s">
        <v>10</v>
      </c>
      <c r="N3" s="3"/>
      <c r="O3" s="3"/>
      <c r="P3" s="150" t="str">
        <f>+'(1)'!C1&amp;"년"&amp;'(1)'!E1&amp;"월"&amp;C1&amp;"일"</f>
        <v>2024년4월20일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6736.54</v>
      </c>
      <c r="E4" s="34" t="str">
        <f>+'[1](1)'!E4</f>
        <v>고액권</v>
      </c>
      <c r="F4" s="36">
        <v>60000</v>
      </c>
      <c r="G4" s="27"/>
      <c r="H4" s="34" t="str">
        <f>+C4</f>
        <v>판매량</v>
      </c>
      <c r="I4" s="35">
        <v>8231.1360000000004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27262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14967.675999999999</v>
      </c>
      <c r="P5" s="47" t="str">
        <f>+E4</f>
        <v>고액권</v>
      </c>
      <c r="Q5" s="48">
        <f>SUM(F4+K4+F17+K17+F35+K35)</f>
        <v>235000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165.66300000000001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36.965000000000003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1.9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202.62800000000001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6713138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F8+8274850</f>
        <v>14987988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14987988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229.65700000000001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-8037.9950000000008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229.65700000000001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-8037.9950000000008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6773107.0690000001</v>
      </c>
      <c r="E13" s="29" t="str">
        <f>+'[1](1)'!E13</f>
        <v>합계</v>
      </c>
      <c r="F13" s="61">
        <f>SUM(F4:F12)</f>
        <v>6773138</v>
      </c>
      <c r="G13" s="62"/>
      <c r="H13" s="29" t="str">
        <f t="shared" si="3"/>
        <v>합계</v>
      </c>
      <c r="I13" s="60">
        <f>SUM((I4-I5-I6-I7-I8-I9)*$I$1+I11)</f>
        <v>8456384.472000001</v>
      </c>
      <c r="J13" s="29" t="str">
        <f t="shared" ref="J13" si="6">+E13</f>
        <v>합계</v>
      </c>
      <c r="K13" s="61">
        <f>IF(K8=0,0,SUM(K4:K12)-F8)</f>
        <v>8454850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30.93099999986589</v>
      </c>
      <c r="G14" s="27"/>
      <c r="H14" s="27"/>
      <c r="I14" s="27"/>
      <c r="J14" s="27"/>
      <c r="K14" s="67">
        <f>SUM(K13-I13)</f>
        <v>-1534.4720000009984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51022.196999999993</v>
      </c>
      <c r="P14" s="39" t="str">
        <f t="shared" si="5"/>
        <v>합계</v>
      </c>
      <c r="Q14" s="69">
        <f>SUM(Q5:Q13)</f>
        <v>15227988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-1503.5410000011325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29</v>
      </c>
      <c r="Q28" s="69">
        <f>SUM(Q19:Q27)</f>
        <v>13000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36213</v>
      </c>
      <c r="P31" s="103">
        <v>36217</v>
      </c>
      <c r="Q31" s="104">
        <f>P31-O31</f>
        <v>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8" sqref="K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6.5519999999999996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9.8089999999999993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205.98899999999998</v>
      </c>
      <c r="M3" s="18" t="s">
        <v>10</v>
      </c>
      <c r="N3" s="3"/>
      <c r="O3" s="3"/>
      <c r="P3" s="150" t="str">
        <f>+'(1)'!C1&amp;"년"&amp;'(1)'!E1&amp;"월"&amp;C1&amp;"일"</f>
        <v>2024년4월21일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6768.78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4451.2370000000001</v>
      </c>
      <c r="J4" s="42" t="str">
        <f>+'[1](1)'!J4</f>
        <v>고액권</v>
      </c>
      <c r="K4" s="36">
        <v>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51153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2800</v>
      </c>
      <c r="L5" s="2"/>
      <c r="M5" s="20"/>
      <c r="N5" s="45" t="str">
        <f>+C4</f>
        <v>판매량</v>
      </c>
      <c r="O5" s="46">
        <f>SUM(D4+I4+D17+I17+D35+I35)</f>
        <v>11220.017</v>
      </c>
      <c r="P5" s="47" t="str">
        <f>+E4</f>
        <v>고액권</v>
      </c>
      <c r="Q5" s="48">
        <f>SUM(F4+K4+F17+K17+F35+K35)</f>
        <v>55000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146.589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29.51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2800</v>
      </c>
      <c r="R6" s="7">
        <v>1.7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176.09899999999999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6737166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11271095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60000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11271095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55.302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-1935.57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55.302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-1935.57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6832165.5419999994</v>
      </c>
      <c r="E13" s="29" t="str">
        <f>+'[1](1)'!E13</f>
        <v>합계</v>
      </c>
      <c r="F13" s="61">
        <f>SUM(F4:F12)</f>
        <v>6832166</v>
      </c>
      <c r="G13" s="62"/>
      <c r="H13" s="29" t="str">
        <f t="shared" si="3"/>
        <v>합계</v>
      </c>
      <c r="I13" s="60">
        <f>SUM((I4-I5-I6-I7-I8-I9)*$I$1+I11)</f>
        <v>4563222.2639999995</v>
      </c>
      <c r="J13" s="29" t="str">
        <f t="shared" ref="J13" si="6">+E13</f>
        <v>합계</v>
      </c>
      <c r="K13" s="61">
        <f>IF(K8=0,0,SUM(K4:K12)-F8)</f>
        <v>4563729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0.45800000056624413</v>
      </c>
      <c r="G14" s="27"/>
      <c r="H14" s="27"/>
      <c r="I14" s="27"/>
      <c r="J14" s="27"/>
      <c r="K14" s="67">
        <f>SUM(K13-I13)</f>
        <v>506.73600000049919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42240.101999999999</v>
      </c>
      <c r="P14" s="39" t="str">
        <f t="shared" si="5"/>
        <v>합계</v>
      </c>
      <c r="Q14" s="69">
        <f>SUM(Q5:Q13)</f>
        <v>11395895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507.19400000106543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113</v>
      </c>
      <c r="Q20" s="53">
        <f>SUM(P20*1000)</f>
        <v>113000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165</v>
      </c>
      <c r="Q28" s="69">
        <f>SUM(Q19:Q27)</f>
        <v>134000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36217</v>
      </c>
      <c r="P31" s="103">
        <v>36282</v>
      </c>
      <c r="Q31" s="104">
        <f>P31-O31</f>
        <v>65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10.452999999999999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9.8379999999999992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216.43599999999998</v>
      </c>
      <c r="M3" s="18" t="s">
        <v>10</v>
      </c>
      <c r="N3" s="3"/>
      <c r="O3" s="3"/>
      <c r="P3" s="150" t="str">
        <f>+'(1)'!C1&amp;"년"&amp;'(1)'!E1&amp;"월"&amp;C1&amp;"일"</f>
        <v>2024년4월22일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9703.2540000000008</v>
      </c>
      <c r="E4" s="34" t="str">
        <f>+'[1](1)'!E4</f>
        <v>고액권</v>
      </c>
      <c r="F4" s="36">
        <v>15000</v>
      </c>
      <c r="G4" s="27"/>
      <c r="H4" s="34" t="str">
        <f>+C4</f>
        <v>판매량</v>
      </c>
      <c r="I4" s="35">
        <v>8195.5450000000001</v>
      </c>
      <c r="J4" s="42" t="str">
        <f>+'[1](1)'!J4</f>
        <v>고액권</v>
      </c>
      <c r="K4" s="36">
        <v>62000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32609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1200</v>
      </c>
      <c r="L5" s="2"/>
      <c r="M5" s="20"/>
      <c r="N5" s="45" t="str">
        <f>+C4</f>
        <v>판매량</v>
      </c>
      <c r="O5" s="46">
        <f>SUM(D4+I4+D17+I17+D35+I35)</f>
        <v>17898.798999999999</v>
      </c>
      <c r="P5" s="47" t="str">
        <f>+E4</f>
        <v>고액권</v>
      </c>
      <c r="Q5" s="48">
        <f>SUM(F4+K4+F17+K17+F35+K35)</f>
        <v>77000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214.245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54.850999999999999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1.8</v>
      </c>
      <c r="S6" s="6" t="s">
        <v>4</v>
      </c>
      <c r="T6" s="134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269.096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54.466000000000001</v>
      </c>
      <c r="E8" s="42" t="str">
        <f>+'[1](1)'!E8</f>
        <v>신용카드</v>
      </c>
      <c r="F8" s="44">
        <v>9633166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17967206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54.466000000000001</v>
      </c>
      <c r="P9" s="51" t="str">
        <f t="shared" si="5"/>
        <v>신용카드</v>
      </c>
      <c r="Q9" s="53">
        <f>IF(K8=0,F8,IF(F21=0,K8,IF(K21=0,F21,K21)))</f>
        <v>17967206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138.04400000000001</v>
      </c>
      <c r="E10" s="42" t="str">
        <f>+'[1](1)'!E10</f>
        <v>OK케시백</v>
      </c>
      <c r="F10" s="44">
        <v>24556</v>
      </c>
      <c r="G10" s="27"/>
      <c r="H10" s="42" t="str">
        <f t="shared" si="3"/>
        <v>고객우대</v>
      </c>
      <c r="I10" s="50">
        <v>113.63800000000001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-4831.54</v>
      </c>
      <c r="E11" s="42" t="str">
        <f>+'[1](1)'!E11</f>
        <v>모바일</v>
      </c>
      <c r="F11" s="44">
        <v>55000</v>
      </c>
      <c r="G11" s="27"/>
      <c r="H11" s="83" t="str">
        <f t="shared" si="3"/>
        <v>-</v>
      </c>
      <c r="I11" s="55">
        <f>SUM(I10*-35)</f>
        <v>-3977.3300000000004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251.68200000000002</v>
      </c>
      <c r="P11" s="51" t="str">
        <f t="shared" si="5"/>
        <v>OK케시백</v>
      </c>
      <c r="Q11" s="53">
        <f>SUM(F10+K10+F23+K23+F41+K41)</f>
        <v>24556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-8808.8700000000008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9731616.8360000011</v>
      </c>
      <c r="E13" s="29" t="str">
        <f>+'[1](1)'!E13</f>
        <v>합계</v>
      </c>
      <c r="F13" s="61">
        <f>SUM(F4:F12)</f>
        <v>9730722</v>
      </c>
      <c r="G13" s="62"/>
      <c r="H13" s="29" t="str">
        <f t="shared" si="3"/>
        <v>합계</v>
      </c>
      <c r="I13" s="60">
        <f>SUM((I4-I5-I6-I7-I8-I9)*$I$1+I11)</f>
        <v>8397218.8780000005</v>
      </c>
      <c r="J13" s="29" t="str">
        <f t="shared" ref="J13" si="6">+E13</f>
        <v>합계</v>
      </c>
      <c r="K13" s="61">
        <f>IF(K8=0,0,SUM(K4:K12)-F8)</f>
        <v>8397240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-894.83600000105798</v>
      </c>
      <c r="G14" s="27"/>
      <c r="H14" s="27"/>
      <c r="I14" s="27"/>
      <c r="J14" s="27"/>
      <c r="K14" s="67">
        <f>SUM(K13-I13)</f>
        <v>21.121999999508262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61492.077999999987</v>
      </c>
      <c r="P14" s="39" t="str">
        <f t="shared" si="5"/>
        <v>합계</v>
      </c>
      <c r="Q14" s="69">
        <f>SUM(Q5:Q13)</f>
        <v>18127962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-873.71400000154972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95</v>
      </c>
      <c r="Q20" s="53"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154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36282</v>
      </c>
      <c r="P31" s="103">
        <v>36345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9.5820000000000007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9.827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226.02099999999999</v>
      </c>
      <c r="M3" s="18" t="s">
        <v>10</v>
      </c>
      <c r="N3" s="3"/>
      <c r="O3" s="3"/>
      <c r="P3" s="150" t="str">
        <f>+'(1)'!C1&amp;"년"&amp;'(1)'!E1&amp;"월"&amp;C1&amp;"일"</f>
        <v>2024년4월23일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8486.9369999999999</v>
      </c>
      <c r="E4" s="34" t="str">
        <f>+'[1](1)'!E4</f>
        <v>고액권</v>
      </c>
      <c r="F4" s="36">
        <v>40000</v>
      </c>
      <c r="G4" s="27"/>
      <c r="H4" s="34" t="str">
        <f>+C4</f>
        <v>판매량</v>
      </c>
      <c r="I4" s="35">
        <v>7920.5789999999997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51410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1200</v>
      </c>
      <c r="L5" s="2"/>
      <c r="M5" s="20"/>
      <c r="N5" s="45" t="str">
        <f>+C4</f>
        <v>판매량</v>
      </c>
      <c r="O5" s="46">
        <f>SUM(D4+I4+D17+I17+D35+I35)</f>
        <v>16407.516</v>
      </c>
      <c r="P5" s="47" t="str">
        <f>+E4</f>
        <v>고액권</v>
      </c>
      <c r="Q5" s="48">
        <f>SUM(F4+K4+F17+K17+F35+K35)</f>
        <v>150000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345.17599999999999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17.199000000000002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2200</v>
      </c>
      <c r="R6" s="7">
        <v>2.5</v>
      </c>
      <c r="S6" s="6" t="s">
        <v>4</v>
      </c>
      <c r="T6" s="134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362.375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8350942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16394673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16394673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219.22800000000001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54.67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-7672.9800000000005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-1913.45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273.89800000000002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-9586.43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8394624.3719999995</v>
      </c>
      <c r="E13" s="29" t="str">
        <f>+'[1](1)'!E13</f>
        <v>합계</v>
      </c>
      <c r="F13" s="61">
        <f>SUM(F4:F12)</f>
        <v>8393942</v>
      </c>
      <c r="G13" s="62"/>
      <c r="H13" s="29" t="str">
        <f t="shared" si="3"/>
        <v>합계</v>
      </c>
      <c r="I13" s="60">
        <f>SUM((I4-I5-I6-I7-I8-I9)*$I$1+I11)</f>
        <v>8154374.71</v>
      </c>
      <c r="J13" s="29" t="str">
        <f t="shared" ref="J13" si="6">+E13</f>
        <v>합계</v>
      </c>
      <c r="K13" s="61">
        <f>IF(K8=0,0,SUM(K4:K12)-F8)</f>
        <v>8154931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-682.37199999950826</v>
      </c>
      <c r="G14" s="27"/>
      <c r="H14" s="27"/>
      <c r="I14" s="27"/>
      <c r="J14" s="27"/>
      <c r="K14" s="67">
        <f>SUM(K13-I13)</f>
        <v>556.29000000003725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54594.133999999998</v>
      </c>
      <c r="P14" s="39" t="str">
        <f t="shared" si="5"/>
        <v>합계</v>
      </c>
      <c r="Q14" s="69">
        <f>SUM(Q5:Q13)</f>
        <v>16548873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-126.08199999947101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74</v>
      </c>
      <c r="Q28" s="69">
        <f>SUM(Q19:Q27)</f>
        <v>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36345</v>
      </c>
      <c r="P31" s="103">
        <v>36372</v>
      </c>
      <c r="Q31" s="104">
        <f>P31-O31</f>
        <v>27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10.835000000000001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9.8689999999999998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236.85599999999999</v>
      </c>
      <c r="M3" s="18" t="s">
        <v>10</v>
      </c>
      <c r="N3" s="3"/>
      <c r="O3" s="3"/>
      <c r="P3" s="150" t="str">
        <f>+'(1)'!C1&amp;"년"&amp;'(1)'!E1&amp;"월"&amp;C1&amp;"일"</f>
        <v>2024년4월24일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9804.0939999999991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8748.7739999999994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32814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1600</v>
      </c>
      <c r="L5" s="2"/>
      <c r="M5" s="20"/>
      <c r="N5" s="45" t="str">
        <f>+C4</f>
        <v>판매량</v>
      </c>
      <c r="O5" s="46">
        <f>SUM(D4+I4+D17+I17+D35+I35)</f>
        <v>18552.867999999999</v>
      </c>
      <c r="P5" s="47" t="str">
        <f>+E4</f>
        <v>고액권</v>
      </c>
      <c r="Q5" s="48">
        <f>SUM(F4+K4+F17+K17+F35+K35)</f>
        <v>265000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454.762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>
        <v>23653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2600</v>
      </c>
      <c r="R6" s="7">
        <v>1.8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454.762</v>
      </c>
      <c r="P7" s="106" t="str">
        <f t="shared" ref="P7:P14" si="5">+E6</f>
        <v>블루/레드포인트</v>
      </c>
      <c r="Q7" s="53">
        <f>SUM(F6+K6+F19+K19+F37+K37)</f>
        <v>23653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9499286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18363793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18363793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377.57600000000002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109.101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-13215.16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-3818.5349999999999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486.67700000000002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-17033.695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9635295.4639999978</v>
      </c>
      <c r="E13" s="29" t="str">
        <f>+'[1](1)'!E13</f>
        <v>합계</v>
      </c>
      <c r="F13" s="61">
        <f>SUM(F4:F12)</f>
        <v>9635286</v>
      </c>
      <c r="G13" s="62"/>
      <c r="H13" s="29" t="str">
        <f t="shared" si="3"/>
        <v>합계</v>
      </c>
      <c r="I13" s="60">
        <f>SUM((I4-I5-I6-I7-I8-I9)*$I$1+I11)</f>
        <v>9024916.2329999991</v>
      </c>
      <c r="J13" s="29" t="str">
        <f t="shared" ref="J13" si="6">+E13</f>
        <v>합계</v>
      </c>
      <c r="K13" s="61">
        <f>IF(K8=0,0,SUM(K4:K12)-F8)</f>
        <v>9024760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-9.4639999978244305</v>
      </c>
      <c r="G14" s="27"/>
      <c r="H14" s="27"/>
      <c r="I14" s="27"/>
      <c r="J14" s="27"/>
      <c r="K14" s="67">
        <f>SUM(K13-I13)</f>
        <v>-156.23299999907613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55358.728999999999</v>
      </c>
      <c r="P14" s="39" t="str">
        <f t="shared" si="5"/>
        <v>합계</v>
      </c>
      <c r="Q14" s="69">
        <f>SUM(Q5:Q13)</f>
        <v>18660046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-165.69699999690056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72</v>
      </c>
      <c r="Q20" s="53">
        <f>SUM(P20*1000)</f>
        <v>72000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153</v>
      </c>
      <c r="Q28" s="69">
        <f>SUM(Q19:Q27)</f>
        <v>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36372</v>
      </c>
      <c r="P31" s="103">
        <v>36407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8" sqref="O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9.8559999999999999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9.8680000000000003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246.70000000000002</v>
      </c>
      <c r="M3" s="18" t="s">
        <v>10</v>
      </c>
      <c r="N3" s="3"/>
      <c r="O3" s="3"/>
      <c r="P3" s="150" t="str">
        <f>+'(1)'!C1&amp;"년"&amp;'(1)'!E1&amp;"월"&amp;C1&amp;"일"</f>
        <v>2024년4월25일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8636.1450000000004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8240.32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51668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16876.465</v>
      </c>
      <c r="P5" s="47" t="str">
        <f>+E4</f>
        <v>고액권</v>
      </c>
      <c r="Q5" s="48">
        <f>SUM(F4+K4+F17+K17+F35+K35)</f>
        <v>290000</v>
      </c>
      <c r="R5" s="7">
        <v>23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283.911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16.038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1.5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299.94900000000001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8473093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16795239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16795239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168.99700000000001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-5914.8950000000004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168.99700000000001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-5914.8950000000004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8613590.5930000003</v>
      </c>
      <c r="E13" s="29" t="str">
        <f>+'[1](1)'!E13</f>
        <v>합계</v>
      </c>
      <c r="F13" s="61">
        <f>SUM(F4:F12)</f>
        <v>8607093</v>
      </c>
      <c r="G13" s="62"/>
      <c r="H13" s="29" t="str">
        <f t="shared" si="3"/>
        <v>합계</v>
      </c>
      <c r="I13" s="60">
        <f>SUM((I4-I5-I6-I7-I8-I9)*$I$1+I11)</f>
        <v>8487459.0239999983</v>
      </c>
      <c r="J13" s="29" t="str">
        <f t="shared" ref="J13" si="6">+E13</f>
        <v>합계</v>
      </c>
      <c r="K13" s="61">
        <f>IF(K8=0,0,SUM(K4:K12)-F8)</f>
        <v>8487146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-6497.5930000003427</v>
      </c>
      <c r="G14" s="27"/>
      <c r="H14" s="27"/>
      <c r="I14" s="27"/>
      <c r="J14" s="27"/>
      <c r="K14" s="67">
        <f>SUM(K13-I13)</f>
        <v>-313.02399999834597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60391.168999999994</v>
      </c>
      <c r="P14" s="39" t="str">
        <f t="shared" si="5"/>
        <v>합계</v>
      </c>
      <c r="Q14" s="69">
        <f>SUM(Q5:Q13)</f>
        <v>17094239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-6810.6169999986887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87</v>
      </c>
      <c r="Q20" s="53">
        <f>SUM(P20*1000)</f>
        <v>87000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143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36407</v>
      </c>
      <c r="P31" s="103">
        <v>36452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10.913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9.9079999999999995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257.608</v>
      </c>
      <c r="M3" s="18" t="s">
        <v>10</v>
      </c>
      <c r="N3" s="3"/>
      <c r="O3" s="3"/>
      <c r="P3" s="150" t="str">
        <f>+'(1)'!C1&amp;"년"&amp;'(1)'!E1&amp;"월"&amp;C1&amp;"일"</f>
        <v>2024년4월26일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9575.7019999999993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9111.1929999999993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32449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18686.894999999997</v>
      </c>
      <c r="P5" s="47" t="str">
        <f>+E4</f>
        <v>고액권</v>
      </c>
      <c r="Q5" s="48">
        <f>SUM(F4+K4+F17+K17+F35+K35)</f>
        <v>190000</v>
      </c>
      <c r="R5" s="7">
        <v>24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381.98099999999999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23.440999999999999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6200</v>
      </c>
      <c r="R6" s="7">
        <v>1.8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405.42199999999997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9319162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18604522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18604522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214.11500000000001</v>
      </c>
      <c r="E10" s="42" t="str">
        <f>+'[1](1)'!E10</f>
        <v>OK케시백</v>
      </c>
      <c r="F10" s="44">
        <v>4000</v>
      </c>
      <c r="G10" s="27"/>
      <c r="H10" s="42" t="str">
        <f t="shared" si="3"/>
        <v>고객우대</v>
      </c>
      <c r="I10" s="50">
        <v>107.452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-7494.0250000000005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-3760.8199999999997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321.56700000000001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-11254.845000000001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9480426.0469999984</v>
      </c>
      <c r="E13" s="29" t="str">
        <f>+'[1](1)'!E13</f>
        <v>합계</v>
      </c>
      <c r="F13" s="61">
        <f>SUM(F4:F12)</f>
        <v>9480162</v>
      </c>
      <c r="G13" s="62"/>
      <c r="H13" s="29" t="str">
        <f t="shared" si="3"/>
        <v>합계</v>
      </c>
      <c r="I13" s="60">
        <f>SUM((I4-I5-I6-I7-I8-I9)*$I$1+I11)</f>
        <v>9374799.243999999</v>
      </c>
      <c r="J13" s="29" t="str">
        <f t="shared" ref="J13" si="6">+E13</f>
        <v>합계</v>
      </c>
      <c r="K13" s="61">
        <f>IF(K8=0,0,SUM(K4:K12)-F8)</f>
        <v>9374560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-264.04699999839067</v>
      </c>
      <c r="G14" s="27"/>
      <c r="H14" s="27"/>
      <c r="I14" s="27"/>
      <c r="J14" s="27"/>
      <c r="K14" s="67">
        <f>SUM(K13-I13)</f>
        <v>-239.24399999901652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61871.046999999991</v>
      </c>
      <c r="P14" s="39" t="str">
        <f t="shared" si="5"/>
        <v>합계</v>
      </c>
      <c r="Q14" s="69">
        <f>SUM(Q5:Q13)</f>
        <v>18854722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-503.2909999974072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97</v>
      </c>
      <c r="Q20" s="53">
        <f>SUM(P20*1000)</f>
        <v>97000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161</v>
      </c>
      <c r="Q28" s="69">
        <f>SUM(Q19:Q27)</f>
        <v>109000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36452</v>
      </c>
      <c r="P31" s="103">
        <v>36518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9.93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9.9090000000000007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267.54300000000001</v>
      </c>
      <c r="M3" s="18" t="s">
        <v>10</v>
      </c>
      <c r="N3" s="3"/>
      <c r="O3" s="3"/>
      <c r="P3" s="150" t="str">
        <f>+'(1)'!C1&amp;"년"&amp;'(1)'!E1&amp;"월"&amp;C1&amp;"일"</f>
        <v>2024년4월27일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8329.35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8674.107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14326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17003.457000000002</v>
      </c>
      <c r="P5" s="47" t="str">
        <f>+E4</f>
        <v>고액권</v>
      </c>
      <c r="Q5" s="48">
        <f>SUM(F4+K4+F17+K17+F35+K35)</f>
        <v>260000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168.727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30.702000000000002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199.429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8233550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F8+8806780</f>
        <v>17040330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17040330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101.289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-3545.1150000000002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101.289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-3545.1150000000002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8418217.8210000005</v>
      </c>
      <c r="E13" s="29" t="str">
        <f>+'[1](1)'!E13</f>
        <v>합계</v>
      </c>
      <c r="F13" s="61">
        <f>SUM(F4:F12)</f>
        <v>8415550</v>
      </c>
      <c r="G13" s="62"/>
      <c r="H13" s="29" t="str">
        <f t="shared" si="3"/>
        <v>합계</v>
      </c>
      <c r="I13" s="60">
        <f>SUM((I4-I5-I6-I7-I8-I9)*$I$1+I11)</f>
        <v>8919993.9600000009</v>
      </c>
      <c r="J13" s="29" t="str">
        <f t="shared" ref="J13" si="6">+E13</f>
        <v>합계</v>
      </c>
      <c r="K13" s="61">
        <f>IF(K8=0,0,SUM(K4:K12)-F8)</f>
        <v>8919780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-2667.8210000004619</v>
      </c>
      <c r="G14" s="27"/>
      <c r="H14" s="27"/>
      <c r="I14" s="27"/>
      <c r="J14" s="27"/>
      <c r="K14" s="67">
        <f>SUM(K13-I13)</f>
        <v>-213.96000000089407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63670.99700000001</v>
      </c>
      <c r="P14" s="39" t="str">
        <f t="shared" si="5"/>
        <v>합계</v>
      </c>
      <c r="Q14" s="69">
        <f>SUM(Q5:Q13)</f>
        <v>17335330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-2881.781000001356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114</v>
      </c>
      <c r="Q20" s="53">
        <f>SUM(P20*1000)</f>
        <v>114000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173</v>
      </c>
      <c r="Q28" s="69">
        <f>SUM(Q19:Q27)</f>
        <v>139000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36518</v>
      </c>
      <c r="P31" s="103">
        <v>36591</v>
      </c>
      <c r="Q31" s="104">
        <f>P31-O31</f>
        <v>73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6.1349999999999998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9.7739999999999991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273.67199999999997</v>
      </c>
      <c r="M3" s="18" t="s">
        <v>10</v>
      </c>
      <c r="N3" s="3"/>
      <c r="O3" s="3"/>
      <c r="P3" s="150" t="str">
        <f>+'(1)'!C1&amp;"년"&amp;'(1)'!E1&amp;"월"&amp;C1&amp;"일"</f>
        <v>2024년4월28일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6042.3159999999998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4463.0619999999999</v>
      </c>
      <c r="J4" s="42" t="str">
        <f>+'[1](1)'!J4</f>
        <v>고액권</v>
      </c>
      <c r="K4" s="36">
        <v>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41007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7000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5200</v>
      </c>
      <c r="L5" s="2"/>
      <c r="M5" s="20"/>
      <c r="N5" s="45" t="str">
        <f>+C4</f>
        <v>판매량</v>
      </c>
      <c r="O5" s="46">
        <f>SUM(D4+I4+D17+I17+D35+I35)</f>
        <v>10505.378000000001</v>
      </c>
      <c r="P5" s="47" t="str">
        <f>+E4</f>
        <v>고액권</v>
      </c>
      <c r="Q5" s="48">
        <f>SUM(F4+K4+F17+K17+F35+K35)</f>
        <v>220000</v>
      </c>
      <c r="R5" s="7">
        <v>26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194.42599999999999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12200</v>
      </c>
      <c r="R6" s="7">
        <v>2.6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194.42599999999999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5797732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10346923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10346923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0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6035022.4799999995</v>
      </c>
      <c r="E13" s="29" t="str">
        <f>+'[1](1)'!E13</f>
        <v>합계</v>
      </c>
      <c r="F13" s="61">
        <f>SUM(F4:F12)</f>
        <v>6034732</v>
      </c>
      <c r="G13" s="62"/>
      <c r="H13" s="29" t="str">
        <f t="shared" si="3"/>
        <v>합계</v>
      </c>
      <c r="I13" s="60">
        <f>SUM((I4-I5-I6-I7-I8-I9)*$I$1+I11)</f>
        <v>4605879.9840000002</v>
      </c>
      <c r="J13" s="29" t="str">
        <f t="shared" ref="J13" si="6">+E13</f>
        <v>합계</v>
      </c>
      <c r="K13" s="61">
        <f>IF(K8=0,0,SUM(K4:K12)-F8)</f>
        <v>4604391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-290.47999999951571</v>
      </c>
      <c r="G14" s="27"/>
      <c r="H14" s="27"/>
      <c r="I14" s="27"/>
      <c r="J14" s="27"/>
      <c r="K14" s="67">
        <f>SUM(K13-I13)</f>
        <v>-1488.9840000001714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41243.808000000005</v>
      </c>
      <c r="P14" s="39" t="str">
        <f t="shared" si="5"/>
        <v>합계</v>
      </c>
      <c r="Q14" s="69">
        <f>SUM(Q5:Q13)</f>
        <v>10639123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-1779.4639999996871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102</v>
      </c>
      <c r="Q20" s="53">
        <f>SUM(P20*1000)</f>
        <v>102000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124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36591</v>
      </c>
      <c r="P31" s="103">
        <v>36657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10.565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9.8010000000000002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284.22899999999998</v>
      </c>
      <c r="M3" s="18" t="s">
        <v>10</v>
      </c>
      <c r="N3" s="3"/>
      <c r="O3" s="3"/>
      <c r="P3" s="150" t="str">
        <f>+'(1)'!C1&amp;"년"&amp;'(1)'!E1&amp;"월"&amp;C1&amp;"일"</f>
        <v>2024년4월29일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9321.0580000000009</v>
      </c>
      <c r="E4" s="34" t="str">
        <f>+'[1](1)'!E4</f>
        <v>고액권</v>
      </c>
      <c r="F4" s="36">
        <v>335000</v>
      </c>
      <c r="G4" s="27"/>
      <c r="H4" s="34" t="str">
        <f>+C4</f>
        <v>판매량</v>
      </c>
      <c r="I4" s="35">
        <v>8769.15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22110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18090.207999999999</v>
      </c>
      <c r="P5" s="47" t="str">
        <f>+E4</f>
        <v>고액권</v>
      </c>
      <c r="Q5" s="48">
        <f>SUM(F4+K4+F17+K17+F35+K35)</f>
        <v>420000</v>
      </c>
      <c r="R5" s="7">
        <v>28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334.84300000000002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27.172999999999998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2.1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362.01600000000002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8926606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17853525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17853525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0</v>
      </c>
      <c r="E10" s="42" t="str">
        <f>+'[1](1)'!E10</f>
        <v>OK케시백</v>
      </c>
      <c r="F10" s="44">
        <v>8200</v>
      </c>
      <c r="G10" s="27"/>
      <c r="H10" s="42" t="str">
        <f t="shared" si="3"/>
        <v>고객우대</v>
      </c>
      <c r="I10" s="50">
        <v>49.076000000000001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-1717.66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49.076000000000001</v>
      </c>
      <c r="P11" s="51" t="str">
        <f t="shared" si="5"/>
        <v>OK케시백</v>
      </c>
      <c r="Q11" s="53">
        <f>SUM(F10+K10+F23+K23+F41+K41)</f>
        <v>8200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-1717.66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9273773.8800000008</v>
      </c>
      <c r="E13" s="29" t="str">
        <f>+'[1](1)'!E13</f>
        <v>합계</v>
      </c>
      <c r="F13" s="61">
        <f>SUM(F4:F12)</f>
        <v>9271806</v>
      </c>
      <c r="G13" s="62"/>
      <c r="H13" s="29" t="str">
        <f t="shared" si="3"/>
        <v>합계</v>
      </c>
      <c r="I13" s="60">
        <f>SUM((I4-I5-I6-I7-I8-I9)*$I$1+I11)</f>
        <v>9020002.6039999984</v>
      </c>
      <c r="J13" s="29" t="str">
        <f t="shared" ref="J13" si="6">+E13</f>
        <v>합계</v>
      </c>
      <c r="K13" s="61">
        <f>IF(K8=0,0,SUM(K4:K12)-F8)</f>
        <v>9019919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-1967.8800000008196</v>
      </c>
      <c r="G14" s="27"/>
      <c r="H14" s="27"/>
      <c r="I14" s="27"/>
      <c r="J14" s="27"/>
      <c r="K14" s="67">
        <f>SUM(K13-I13)</f>
        <v>-83.603999998420477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69195.107999999993</v>
      </c>
      <c r="P14" s="39" t="str">
        <f t="shared" si="5"/>
        <v>합계</v>
      </c>
      <c r="Q14" s="69">
        <f>SUM(Q5:Q13)</f>
        <v>18291725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-2051.48399999924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105</v>
      </c>
      <c r="Q20" s="53">
        <f>SUM(P20*1000)</f>
        <v>105000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182</v>
      </c>
      <c r="Q28" s="69">
        <f>SUM(Q19:Q27)</f>
        <v>131000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36657</v>
      </c>
      <c r="P31" s="103">
        <v>36715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1">
        <f>+ROUND(+O5*0.584/1000,3)</f>
        <v>10.042999999999999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11.096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33.287999999999997</v>
      </c>
      <c r="M3" s="18" t="s">
        <v>10</v>
      </c>
      <c r="N3" s="3"/>
      <c r="O3" s="3"/>
      <c r="P3" s="150" t="str">
        <f>+'(1)'!C1&amp;"년"&amp;'(1)'!E1&amp;"월"&amp;C1&amp;"일"</f>
        <v>2024년4월3일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8975.4269999999997</v>
      </c>
      <c r="E4" s="34" t="str">
        <f>+'[1](1)'!E4</f>
        <v>고액권</v>
      </c>
      <c r="F4" s="36">
        <v>20000</v>
      </c>
      <c r="G4" s="27"/>
      <c r="H4" s="34" t="str">
        <f>+C4</f>
        <v>판매량</v>
      </c>
      <c r="I4" s="35">
        <v>8221.8009999999995</v>
      </c>
      <c r="J4" s="42" t="str">
        <f>+'[1](1)'!J4</f>
        <v>고액권</v>
      </c>
      <c r="K4" s="36">
        <v>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33773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17197.227999999999</v>
      </c>
      <c r="P5" s="47" t="str">
        <f>+E4</f>
        <v>고액권</v>
      </c>
      <c r="Q5" s="48">
        <f>SUM(F4+K4+F17+K17+F35+K35)</f>
        <v>55000</v>
      </c>
      <c r="R5" s="7">
        <v>21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387.44299999999998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26.832999999999998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2500</v>
      </c>
      <c r="R6" s="7">
        <v>2.7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414.27599999999995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54.771999999999998</v>
      </c>
      <c r="E8" s="42" t="str">
        <f>+'[1](1)'!E8</f>
        <v>신용카드</v>
      </c>
      <c r="F8" s="44">
        <v>8772477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17187857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54.771999999999998</v>
      </c>
      <c r="P9" s="51" t="str">
        <f t="shared" si="4"/>
        <v>신용카드</v>
      </c>
      <c r="Q9" s="53">
        <f>IF(K8=0,F8,IF(F21=0,K8,IF(K21=0,F21,K21)))</f>
        <v>17187857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260.91300000000001</v>
      </c>
      <c r="E10" s="42" t="str">
        <f>+'[1](1)'!E10</f>
        <v>OK케시백</v>
      </c>
      <c r="F10" s="44">
        <v>4000</v>
      </c>
      <c r="G10" s="27"/>
      <c r="H10" s="42" t="str">
        <f t="shared" si="2"/>
        <v>고객우대</v>
      </c>
      <c r="I10" s="50">
        <v>57.441000000000003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-9131.9549999999999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-2010.4350000000002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318.35400000000004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-11142.390000000001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8797142.8289999999</v>
      </c>
      <c r="E13" s="29" t="str">
        <f>+'[1](1)'!E13</f>
        <v>합계</v>
      </c>
      <c r="F13" s="61">
        <f>SUM(F4:F12)</f>
        <v>8797477</v>
      </c>
      <c r="G13" s="62"/>
      <c r="H13" s="29" t="str">
        <f t="shared" si="2"/>
        <v>합계</v>
      </c>
      <c r="I13" s="60">
        <f>SUM((I4-I5-I6-I7-I8-I9)*$I$1+I11)</f>
        <v>8455196.5409999993</v>
      </c>
      <c r="J13" s="29" t="str">
        <f t="shared" ref="J13" si="5">+E13</f>
        <v>합계</v>
      </c>
      <c r="K13" s="61">
        <f>IF(K8=0,0,SUM(K4:K12)-F8)</f>
        <v>8453880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334.17100000008941</v>
      </c>
      <c r="G14" s="27"/>
      <c r="H14" s="27"/>
      <c r="I14" s="27"/>
      <c r="J14" s="27"/>
      <c r="K14" s="67">
        <f>SUM(K13-I13)</f>
        <v>-1316.5409999992698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55770.329999999987</v>
      </c>
      <c r="P14" s="39" t="str">
        <f t="shared" si="4"/>
        <v>합계</v>
      </c>
      <c r="Q14" s="69">
        <f>SUM(Q5:Q13)</f>
        <v>17251357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-982.36999999918044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118</v>
      </c>
      <c r="Q28" s="69">
        <f>SUM(Q19:Q27)</f>
        <v>80000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35268</v>
      </c>
      <c r="P31" s="103">
        <v>35306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6.7210000000000001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9.6980000000000004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290.94</v>
      </c>
      <c r="M3" s="18" t="s">
        <v>10</v>
      </c>
      <c r="N3" s="3"/>
      <c r="O3" s="3"/>
      <c r="P3" s="150" t="str">
        <f>+'(1)'!C1&amp;"년"&amp;'(1)'!E1&amp;"월"&amp;C1&amp;"일"</f>
        <v>2024년4월30일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10394.436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1114.884</v>
      </c>
      <c r="J4" s="42" t="str">
        <f>+'[1](1)'!J4</f>
        <v>고액권</v>
      </c>
      <c r="K4" s="36">
        <v>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46869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11509.32</v>
      </c>
      <c r="P5" s="47" t="str">
        <f>+E4</f>
        <v>고액권</v>
      </c>
      <c r="Q5" s="48">
        <f>SUM(F4+K4+F17+K17+F35+K35)</f>
        <v>155000</v>
      </c>
      <c r="R5" s="7">
        <v>27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396.25900000000001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28.068999999999999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424.32800000000003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10014819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F8+1116582</f>
        <v>11131401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80000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11131401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385.62299999999999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80000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-13496.805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385.62299999999999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45382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-13496.805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10304621.858999999</v>
      </c>
      <c r="E13" s="29" t="str">
        <f>+'[1](1)'!E13</f>
        <v>합계</v>
      </c>
      <c r="F13" s="61">
        <f>SUM(F4:F12)</f>
        <v>10304201</v>
      </c>
      <c r="G13" s="62"/>
      <c r="H13" s="29" t="str">
        <f t="shared" si="3"/>
        <v>합계</v>
      </c>
      <c r="I13" s="60">
        <f>SUM((I4-I5-I6-I7-I8-I9)*$I$1+I11)</f>
        <v>1121593.08</v>
      </c>
      <c r="J13" s="29" t="str">
        <f t="shared" ref="J13" si="6">+E13</f>
        <v>합계</v>
      </c>
      <c r="K13" s="61">
        <f>IF(K8=0,0,SUM(K4:K12)-F8)</f>
        <v>1121582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45382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-420.85899999924004</v>
      </c>
      <c r="G14" s="27"/>
      <c r="H14" s="27"/>
      <c r="I14" s="27"/>
      <c r="J14" s="27"/>
      <c r="K14" s="67">
        <f>SUM(K13-I13)</f>
        <v>-11.080000000074506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30843.163</v>
      </c>
      <c r="P14" s="39" t="str">
        <f t="shared" si="5"/>
        <v>합계</v>
      </c>
      <c r="Q14" s="69">
        <f>SUM(Q5:Q13)</f>
        <v>11425783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-431.93899999931455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>
        <v>130</v>
      </c>
      <c r="Q20" s="53">
        <f>SUM(P20*1000)</f>
        <v>130000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>
        <v>31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>
        <v>21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-34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180</v>
      </c>
      <c r="Q28" s="69">
        <f>SUM(Q19:Q27)</f>
        <v>148000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36715</v>
      </c>
      <c r="P31" s="103">
        <v>36794</v>
      </c>
      <c r="Q31" s="104">
        <f>P31-O31</f>
        <v>79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32" sqref="I3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9.3849999999999998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290.935</v>
      </c>
      <c r="M3" s="18" t="s">
        <v>10</v>
      </c>
      <c r="N3" s="3"/>
      <c r="O3" s="3"/>
      <c r="P3" s="150" t="str">
        <f>+'(1)'!C1&amp;"년"&amp;'(1)'!E1&amp;"월"&amp;C1&amp;"일"</f>
        <v>2024년4월31일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0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9" t="s">
        <v>37</v>
      </c>
      <c r="O19" s="140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5" t="s">
        <v>38</v>
      </c>
      <c r="O20" s="146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5" t="s">
        <v>57</v>
      </c>
      <c r="O21" s="146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7" t="s">
        <v>59</v>
      </c>
      <c r="O22" s="142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41" t="s">
        <v>61</v>
      </c>
      <c r="O23" s="142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41" t="s">
        <v>62</v>
      </c>
      <c r="O24" s="142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D23" sqref="D2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1">
        <f>+ROUND(+O5*0.584/1000,3)</f>
        <v>11.278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11.141999999999999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44.567999999999998</v>
      </c>
      <c r="M3" s="18" t="s">
        <v>10</v>
      </c>
      <c r="N3" s="3"/>
      <c r="O3" s="3"/>
      <c r="P3" s="150" t="str">
        <f>+'(1)'!C1&amp;"년"&amp;'(1)'!E1&amp;"월"&amp;C1&amp;"일"</f>
        <v>2024년4월4일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10384.614</v>
      </c>
      <c r="E4" s="34" t="str">
        <f>+'[1](1)'!E4</f>
        <v>고액권</v>
      </c>
      <c r="F4" s="36">
        <v>60000</v>
      </c>
      <c r="G4" s="27"/>
      <c r="H4" s="34" t="str">
        <f>+C4</f>
        <v>판매량</v>
      </c>
      <c r="I4" s="35">
        <v>8927.3870000000006</v>
      </c>
      <c r="J4" s="42" t="str">
        <f>+'[1](1)'!J4</f>
        <v>고액권</v>
      </c>
      <c r="K4" s="36">
        <v>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49793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6000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5400</v>
      </c>
      <c r="L5" s="2"/>
      <c r="M5" s="20"/>
      <c r="N5" s="45" t="str">
        <f>+C4</f>
        <v>판매량</v>
      </c>
      <c r="O5" s="46">
        <f>SUM(D4+I4+D17+I17+D35+I35)</f>
        <v>19312.001</v>
      </c>
      <c r="P5" s="47" t="str">
        <f>+E4</f>
        <v>고액권</v>
      </c>
      <c r="Q5" s="48">
        <f>SUM(F4+K4+F17+K17+F35+K35)</f>
        <v>130000</v>
      </c>
      <c r="R5" s="7">
        <v>21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404.339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25.126999999999999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11400</v>
      </c>
      <c r="R6" s="7">
        <v>1.8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429.46600000000001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10172780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19274605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10000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19274605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212.29400000000001</v>
      </c>
      <c r="E10" s="42" t="str">
        <f>+'[1](1)'!E10</f>
        <v>OK케시백</v>
      </c>
      <c r="F10" s="44">
        <v>38118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-7430.29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212.29400000000001</v>
      </c>
      <c r="P11" s="51" t="str">
        <f t="shared" si="4"/>
        <v>OK케시백</v>
      </c>
      <c r="Q11" s="53">
        <f>SUM(F10+K10+F23+K23+F41+K41)</f>
        <v>38118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-7430.29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10292213.51</v>
      </c>
      <c r="E13" s="29" t="str">
        <f>+'[1](1)'!E13</f>
        <v>합계</v>
      </c>
      <c r="F13" s="61">
        <f>SUM(F4:F12)</f>
        <v>10291898</v>
      </c>
      <c r="G13" s="62"/>
      <c r="H13" s="29" t="str">
        <f t="shared" si="2"/>
        <v>합계</v>
      </c>
      <c r="I13" s="60">
        <f>SUM((I4-I5-I6-I7-I8-I9)*$I$1+I11)</f>
        <v>9187132.3200000003</v>
      </c>
      <c r="J13" s="29" t="str">
        <f t="shared" ref="J13" si="5">+E13</f>
        <v>합계</v>
      </c>
      <c r="K13" s="61">
        <f>IF(K8=0,0,SUM(K4:K12)-F8)</f>
        <v>9187225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-315.50999999977648</v>
      </c>
      <c r="G14" s="27"/>
      <c r="H14" s="27"/>
      <c r="I14" s="27"/>
      <c r="J14" s="27"/>
      <c r="K14" s="67">
        <f>SUM(K13-I13)</f>
        <v>92.679999999701977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68099.850000000006</v>
      </c>
      <c r="P14" s="39" t="str">
        <f t="shared" si="4"/>
        <v>합계</v>
      </c>
      <c r="Q14" s="69">
        <f>SUM(Q5:Q13)</f>
        <v>19479123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-222.83000000007451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112</v>
      </c>
      <c r="Q20" s="53">
        <f>SUM(P20*1000)</f>
        <v>112000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155</v>
      </c>
      <c r="Q28" s="69">
        <f>SUM(Q19:Q27)</f>
        <v>123000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35306</v>
      </c>
      <c r="P31" s="103">
        <v>35370</v>
      </c>
      <c r="Q31" s="104">
        <f>P31-O31</f>
        <v>64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4</v>
      </c>
      <c r="F1" s="1"/>
      <c r="G1" s="1"/>
      <c r="H1" s="1"/>
      <c r="I1" s="131">
        <v>1032</v>
      </c>
      <c r="J1" s="1"/>
      <c r="K1" s="1"/>
      <c r="L1" s="21">
        <f>+ROUND(+O5*0.584/1000,3)</f>
        <v>11.776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11.269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56.344999999999999</v>
      </c>
      <c r="M3" s="18" t="s">
        <v>10</v>
      </c>
      <c r="N3" s="3"/>
      <c r="O3" s="3"/>
      <c r="P3" s="150" t="str">
        <f>+'(1)'!C1&amp;"년"&amp;'(1)'!E1&amp;"월"&amp;C1&amp;"일"</f>
        <v>2024년4월5일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11003.832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9160.16</v>
      </c>
      <c r="J4" s="42" t="str">
        <f>+'[1](1)'!J4</f>
        <v>고액권</v>
      </c>
      <c r="K4" s="36">
        <v>225000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29035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3600</v>
      </c>
      <c r="L5" s="2"/>
      <c r="M5" s="20"/>
      <c r="N5" s="45" t="str">
        <f>+C4</f>
        <v>판매량</v>
      </c>
      <c r="O5" s="46">
        <f>SUM(D4+I4+D17+I17+D35+I35)</f>
        <v>20163.991999999998</v>
      </c>
      <c r="P5" s="47" t="str">
        <f>+E4</f>
        <v>고액권</v>
      </c>
      <c r="Q5" s="48">
        <f>SUM(F4+K4+F17+K17+F35+K35)</f>
        <v>430000</v>
      </c>
      <c r="R5" s="7">
        <v>23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256.71499999999997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56.277999999999999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5600</v>
      </c>
      <c r="R6" s="7">
        <v>1.5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312.99299999999999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10858838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20023298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20023298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367.64499999999998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61.316000000000003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-12867.574999999999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-2146.06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428.96100000000001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-15013.635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11078157.169000002</v>
      </c>
      <c r="E13" s="29" t="str">
        <f>+'[1](1)'!E13</f>
        <v>합계</v>
      </c>
      <c r="F13" s="61">
        <f>SUM(F4:F12)</f>
        <v>11077838</v>
      </c>
      <c r="G13" s="62"/>
      <c r="H13" s="29" t="str">
        <f t="shared" si="2"/>
        <v>합계</v>
      </c>
      <c r="I13" s="60">
        <f>SUM((I4-I5-I6-I7-I8-I9)*$I$1+I11)</f>
        <v>9393060.1639999989</v>
      </c>
      <c r="J13" s="29" t="str">
        <f t="shared" ref="J13" si="5">+E13</f>
        <v>합계</v>
      </c>
      <c r="K13" s="61">
        <f>IF(K8=0,0,SUM(K4:K12)-F8)</f>
        <v>9393060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-319.16900000162423</v>
      </c>
      <c r="G14" s="27"/>
      <c r="H14" s="27"/>
      <c r="I14" s="27"/>
      <c r="J14" s="27"/>
      <c r="K14" s="67">
        <f>SUM(K13-I13)</f>
        <v>-0.16399999894201756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64390.360999999997</v>
      </c>
      <c r="P14" s="39" t="str">
        <f t="shared" si="4"/>
        <v>합계</v>
      </c>
      <c r="Q14" s="69">
        <f>SUM(Q5:Q13)</f>
        <v>20470898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-319.33300000056624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119</v>
      </c>
      <c r="Q20" s="53">
        <f>SUM(P20*1000)</f>
        <v>119000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159</v>
      </c>
      <c r="Q28" s="69">
        <f>SUM(Q19:Q27)</f>
        <v>132000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35370</v>
      </c>
      <c r="P31" s="103">
        <v>35448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1">
        <f>+ROUND(+O5*0.584/1000,3)</f>
        <v>9.6110000000000007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10.993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65.957999999999998</v>
      </c>
      <c r="M3" s="18" t="s">
        <v>10</v>
      </c>
      <c r="N3" s="3"/>
      <c r="O3" s="3"/>
      <c r="P3" s="150" t="str">
        <f>+'(1)'!C1&amp;"년"&amp;'(1)'!E1&amp;"월"&amp;C1&amp;"일"</f>
        <v>2024년4월6일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8469.4509999999991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7987.9059999999999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47802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16457.357</v>
      </c>
      <c r="P5" s="47" t="str">
        <f>+E4</f>
        <v>고액권</v>
      </c>
      <c r="Q5" s="48">
        <f>SUM(F4+K4+F17+K17+F35+K35)</f>
        <v>300000</v>
      </c>
      <c r="R5" s="7">
        <v>20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241.64599999999999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29.222000000000001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1.5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270.86799999999999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8372342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16387852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16387852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56.773000000000003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3000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-1987.0550000000001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56.773000000000003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-1987.0550000000001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8489107.7049999982</v>
      </c>
      <c r="E13" s="29" t="str">
        <f>+'[1](1)'!E13</f>
        <v>합계</v>
      </c>
      <c r="F13" s="61">
        <f>SUM(F4:F12)</f>
        <v>8488342</v>
      </c>
      <c r="G13" s="62"/>
      <c r="H13" s="29" t="str">
        <f t="shared" si="2"/>
        <v>합계</v>
      </c>
      <c r="I13" s="60">
        <f>SUM((I4-I5-I6-I7-I8-I9)*$I$1+I11)</f>
        <v>8213361.8880000003</v>
      </c>
      <c r="J13" s="29" t="str">
        <f t="shared" ref="J13" si="5">+E13</f>
        <v>합계</v>
      </c>
      <c r="K13" s="61">
        <f>IF(K8=0,0,SUM(K4:K12)-F8)</f>
        <v>8213510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-765.70499999821186</v>
      </c>
      <c r="G14" s="27"/>
      <c r="H14" s="27"/>
      <c r="I14" s="27"/>
      <c r="J14" s="27"/>
      <c r="K14" s="67">
        <f>SUM(K13-I13)</f>
        <v>148.11199999973178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62758.900999999998</v>
      </c>
      <c r="P14" s="39" t="str">
        <f t="shared" si="4"/>
        <v>합계</v>
      </c>
      <c r="Q14" s="69">
        <f>SUM(Q5:Q13)</f>
        <v>16701852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-617.59299999848008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95</v>
      </c>
      <c r="Q20" s="53">
        <f>SUM(P20*1000)</f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24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146</v>
      </c>
      <c r="Q28" s="69">
        <f>SUM(Q19:Q27)</f>
        <v>108000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35448</v>
      </c>
      <c r="P31" s="103">
        <v>35509</v>
      </c>
      <c r="Q31" s="104">
        <f>P31-O31</f>
        <v>61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1">
        <f>+ROUND(+O5*0.584/1000,3)</f>
        <v>6.5279999999999996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10.355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72.484999999999999</v>
      </c>
      <c r="M3" s="18" t="s">
        <v>10</v>
      </c>
      <c r="N3" s="3"/>
      <c r="O3" s="3"/>
      <c r="P3" s="150" t="str">
        <f>+'(1)'!C1&amp;"년"&amp;'(1)'!E1&amp;"월"&amp;C1&amp;"일"</f>
        <v>2024년4월7일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6754.1869999999999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4423.732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36715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11177.919</v>
      </c>
      <c r="P5" s="47" t="str">
        <f>+E4</f>
        <v>고액권</v>
      </c>
      <c r="Q5" s="48">
        <f>SUM(F4+K4+F17+K17+F35+K35)</f>
        <v>295000</v>
      </c>
      <c r="R5" s="7">
        <v>21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160.62299999999999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28.388999999999999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1.5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189.012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6590358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10917224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10917224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0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47505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47505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46230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6804558.0480000004</v>
      </c>
      <c r="E13" s="29" t="str">
        <f>+'[1](1)'!E13</f>
        <v>합계</v>
      </c>
      <c r="F13" s="61">
        <f>SUM(F4:F12)</f>
        <v>6804588</v>
      </c>
      <c r="G13" s="62"/>
      <c r="H13" s="29" t="str">
        <f t="shared" si="2"/>
        <v>합계</v>
      </c>
      <c r="I13" s="60">
        <f>SUM((I4-I5-I6-I7-I8-I9)*$I$1+I11)</f>
        <v>4535993.9759999998</v>
      </c>
      <c r="J13" s="29" t="str">
        <f t="shared" ref="J13" si="5">+E13</f>
        <v>합계</v>
      </c>
      <c r="K13" s="61">
        <f>IF(K8=0,0,SUM(K4:K12)-F8)</f>
        <v>4535871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46230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29.951999999582767</v>
      </c>
      <c r="G14" s="27"/>
      <c r="H14" s="27"/>
      <c r="I14" s="27"/>
      <c r="J14" s="27"/>
      <c r="K14" s="67">
        <f>SUM(K13-I13)</f>
        <v>-122.97599999979138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43955.627999999997</v>
      </c>
      <c r="P14" s="39" t="str">
        <f t="shared" si="4"/>
        <v>합계</v>
      </c>
      <c r="Q14" s="69">
        <f>SUM(Q5:Q13)</f>
        <v>11340459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-93.024000000208616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101</v>
      </c>
      <c r="Q20" s="53">
        <f>SUM(P20*1000)</f>
        <v>101000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121</v>
      </c>
      <c r="Q28" s="69">
        <f>SUM(Q19:Q27)</f>
        <v>114000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35509</v>
      </c>
      <c r="P31" s="103">
        <v>35573</v>
      </c>
      <c r="Q31" s="104">
        <f>P31-O31</f>
        <v>64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O14" sqref="O1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11.029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10.439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83.512</v>
      </c>
      <c r="M3" s="18" t="s">
        <v>10</v>
      </c>
      <c r="N3" s="3"/>
      <c r="O3" s="3"/>
      <c r="P3" s="150" t="str">
        <f>+'(1)'!C1&amp;"년"&amp;'(1)'!E1&amp;"월"&amp;C1&amp;"일"</f>
        <v>2024년4월8일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10464.904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8420.8160000000007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52826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18885.72</v>
      </c>
      <c r="P5" s="47" t="str">
        <f>+E4</f>
        <v>고액권</v>
      </c>
      <c r="Q5" s="48">
        <f>SUM(F4+K4+F17+K17+F35+K35)</f>
        <v>180000</v>
      </c>
      <c r="R5" s="7">
        <v>21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322.86500000000001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1.7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322.86500000000001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10306464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18924074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18924074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389.79300000000001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46.808999999999997</v>
      </c>
      <c r="J10" s="42" t="str">
        <f>+'[1](1)'!J10</f>
        <v>OK케시백</v>
      </c>
      <c r="K10" s="44">
        <v>12000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-13642.755000000001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-1638.3149999999998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436.60199999999998</v>
      </c>
      <c r="P11" s="51" t="str">
        <f t="shared" si="4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-15281.07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10452941.493000001</v>
      </c>
      <c r="E13" s="29" t="str">
        <f>+'[1](1)'!E13</f>
        <v>합계</v>
      </c>
      <c r="F13" s="61">
        <f>SUM(F4:F12)</f>
        <v>10452464</v>
      </c>
      <c r="G13" s="62"/>
      <c r="H13" s="29" t="str">
        <f t="shared" si="2"/>
        <v>합계</v>
      </c>
      <c r="I13" s="60">
        <f>SUM((I4-I5-I6-I7-I8-I9)*$I$1+I11)</f>
        <v>8688643.7970000021</v>
      </c>
      <c r="J13" s="29" t="str">
        <f t="shared" ref="J13" si="5">+E13</f>
        <v>합계</v>
      </c>
      <c r="K13" s="61">
        <f>IF(K8=0,0,SUM(K4:K12)-F8)</f>
        <v>8687610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-477.49300000071526</v>
      </c>
      <c r="G14" s="27"/>
      <c r="H14" s="27"/>
      <c r="I14" s="27"/>
      <c r="J14" s="27"/>
      <c r="K14" s="67">
        <f>SUM(K13-I13)</f>
        <v>-1033.797000002116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58970.35</v>
      </c>
      <c r="P14" s="39" t="str">
        <f t="shared" si="4"/>
        <v>합계</v>
      </c>
      <c r="Q14" s="69">
        <f>SUM(Q5:Q13)</f>
        <v>19140074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-1511.2900000028312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99</v>
      </c>
      <c r="Q20" s="53">
        <f>SUM(P20*1000)</f>
        <v>99000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149</v>
      </c>
      <c r="Q28" s="69">
        <f>SUM(Q19:Q27)</f>
        <v>114000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35573</v>
      </c>
      <c r="P31" s="103">
        <v>35636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4</v>
      </c>
      <c r="F1" s="1"/>
      <c r="G1" s="1"/>
      <c r="H1" s="1"/>
      <c r="I1" s="130">
        <v>1032</v>
      </c>
      <c r="J1" s="1"/>
      <c r="K1" s="1"/>
      <c r="L1" s="22">
        <f>+ROUND(+O5*0.584/1000,3)</f>
        <v>10.486000000000001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10.444000000000001</v>
      </c>
      <c r="M2" s="18" t="s">
        <v>7</v>
      </c>
      <c r="N2" s="149" t="s">
        <v>1</v>
      </c>
      <c r="O2" s="149"/>
      <c r="P2" s="149"/>
      <c r="Q2" s="149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93.996000000000009</v>
      </c>
      <c r="M3" s="18" t="s">
        <v>10</v>
      </c>
      <c r="N3" s="3"/>
      <c r="O3" s="3"/>
      <c r="P3" s="150" t="str">
        <f>+'(1)'!C1&amp;"년"&amp;'(1)'!E1&amp;"월"&amp;C1&amp;"일"</f>
        <v>2024년4월9일</v>
      </c>
      <c r="Q3" s="150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8605.9809999999998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9349.4609999999993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34276</v>
      </c>
      <c r="S4" s="6" t="s">
        <v>2</v>
      </c>
      <c r="T4" s="1">
        <v>50612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17955.441999999999</v>
      </c>
      <c r="P5" s="47" t="str">
        <f>+E4</f>
        <v>고액권</v>
      </c>
      <c r="Q5" s="48">
        <f>SUM(F4+K4+F17+K17+F35+K35)</f>
        <v>290000</v>
      </c>
      <c r="R5" s="7">
        <v>22</v>
      </c>
      <c r="S5" s="6" t="s">
        <v>3</v>
      </c>
      <c r="T5" s="1">
        <v>18</v>
      </c>
      <c r="U5" s="1"/>
      <c r="V5" s="1"/>
    </row>
    <row r="6" spans="3:22" ht="16.5" customHeight="1">
      <c r="C6" s="83" t="str">
        <f>+'(1)'!C6</f>
        <v>외상전표</v>
      </c>
      <c r="D6" s="50">
        <v>337.19299999999998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80.116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1.6</v>
      </c>
      <c r="S6" s="6" t="s">
        <v>4</v>
      </c>
      <c r="T6" s="134">
        <v>2.5</v>
      </c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417.30899999999997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8367149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F8+9319134</f>
        <v>17686283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60000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17686283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268.57400000000001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f>3868+2000</f>
        <v>5868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-9400.09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268.57400000000001</v>
      </c>
      <c r="P11" s="51" t="str">
        <f t="shared" si="4"/>
        <v>OK케시백</v>
      </c>
      <c r="Q11" s="53">
        <f>SUM(F10+K10+F23+K23+F41+K41)</f>
        <v>5868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41888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-9400.09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8523989.1260000002</v>
      </c>
      <c r="E13" s="29" t="str">
        <f>+'[1](1)'!E13</f>
        <v>합계</v>
      </c>
      <c r="F13" s="61">
        <f>SUM(F4:F12)</f>
        <v>8524037</v>
      </c>
      <c r="G13" s="62"/>
      <c r="H13" s="29" t="str">
        <f t="shared" si="2"/>
        <v>합계</v>
      </c>
      <c r="I13" s="60">
        <f>SUM((I4-I5-I6-I7-I8-I9)*$I$1+I11)</f>
        <v>9565964.0399999991</v>
      </c>
      <c r="J13" s="29" t="str">
        <f t="shared" ref="J13" si="5">+E13</f>
        <v>합계</v>
      </c>
      <c r="K13" s="61">
        <f>IF(K8=0,0,SUM(K4:K12)-F8)</f>
        <v>9566002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41888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47.873999999836087</v>
      </c>
      <c r="G14" s="27"/>
      <c r="H14" s="27"/>
      <c r="I14" s="27"/>
      <c r="J14" s="27"/>
      <c r="K14" s="67">
        <f>SUM(K13-I13)</f>
        <v>37.96000000089407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60752.441999999995</v>
      </c>
      <c r="P14" s="39" t="str">
        <f t="shared" si="4"/>
        <v>합계</v>
      </c>
      <c r="Q14" s="69">
        <f>SUM(Q5:Q13)</f>
        <v>18090039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85.834000000730157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5" t="s">
        <v>34</v>
      </c>
      <c r="O18" s="148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9" t="s">
        <v>37</v>
      </c>
      <c r="O19" s="140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5" t="s">
        <v>38</v>
      </c>
      <c r="O20" s="146"/>
      <c r="P20" s="118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5" t="s">
        <v>57</v>
      </c>
      <c r="O21" s="146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7" t="s">
        <v>59</v>
      </c>
      <c r="O22" s="142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41" t="s">
        <v>61</v>
      </c>
      <c r="O23" s="142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41" t="s">
        <v>62</v>
      </c>
      <c r="O24" s="142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41"/>
      <c r="O25" s="142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41"/>
      <c r="O26" s="142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3" t="s">
        <v>39</v>
      </c>
      <c r="O27" s="144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5" t="s">
        <v>40</v>
      </c>
      <c r="O28" s="136"/>
      <c r="P28" s="120">
        <v>66</v>
      </c>
      <c r="Q28" s="69">
        <f>SUM(Q19:Q27)</f>
        <v>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35636</v>
      </c>
      <c r="P31" s="103">
        <v>35661</v>
      </c>
      <c r="Q31" s="104">
        <f>P31-O31</f>
        <v>25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2024-05-02T00:22:28Z</dcterms:modified>
</cp:coreProperties>
</file>