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580" yWindow="0" windowWidth="28220" windowHeight="15940" tabRatio="972" activeTab="1"/>
  </bookViews>
  <sheets>
    <sheet name="Section III (Method A.1)" sheetId="6" r:id="rId1"/>
    <sheet name="Section IV (Method B.2)" sheetId="7" r:id="rId2"/>
    <sheet name="Section V (Method B.1)" sheetId="8" r:id="rId3"/>
    <sheet name="Section VI-a (Method C2)" sheetId="9" r:id="rId4"/>
    <sheet name="Section VI-b (Method C2)" sheetId="16" r:id="rId5"/>
    <sheet name="SectionVII (Method C.1)" sheetId="10" r:id="rId6"/>
    <sheet name="Lookup" sheetId="5" r:id="rId7"/>
    <sheet name="HI 40.5 database fields" sheetId="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6" l="1"/>
  <c r="H15" i="6"/>
  <c r="G15" i="6"/>
  <c r="I14" i="6"/>
  <c r="H14" i="6"/>
  <c r="G14" i="6"/>
  <c r="I13" i="6"/>
  <c r="H13" i="6"/>
  <c r="G13" i="6"/>
  <c r="AW6" i="9"/>
  <c r="AQ6" i="9"/>
  <c r="AP6" i="9"/>
  <c r="BU6" i="9"/>
  <c r="BV6" i="9"/>
  <c r="BZ6" i="9"/>
  <c r="CC6" i="9"/>
  <c r="CF6" i="9"/>
  <c r="AR6" i="9"/>
  <c r="AS6" i="9"/>
  <c r="AT6" i="9"/>
  <c r="CI6" i="9"/>
  <c r="AX6" i="9"/>
  <c r="CA6" i="9"/>
  <c r="CD6" i="9"/>
  <c r="CG6" i="9"/>
  <c r="CJ6" i="9"/>
  <c r="AY6" i="9"/>
  <c r="CB6" i="9"/>
  <c r="CE6" i="9"/>
  <c r="CH6" i="9"/>
  <c r="CK6" i="9"/>
  <c r="CO6" i="9"/>
  <c r="AU6" i="9"/>
  <c r="AV6" i="9"/>
  <c r="AZ6" i="9"/>
  <c r="BC6" i="9"/>
  <c r="BF6" i="9"/>
  <c r="BI6" i="9"/>
  <c r="BL6" i="9"/>
  <c r="BA6" i="9"/>
  <c r="BD6" i="9"/>
  <c r="BG6" i="9"/>
  <c r="BJ6" i="9"/>
  <c r="BM6" i="9"/>
  <c r="BB6" i="9"/>
  <c r="BE6" i="9"/>
  <c r="BH6" i="9"/>
  <c r="BK6" i="9"/>
  <c r="BN6" i="9"/>
  <c r="BO6" i="9"/>
  <c r="CP6" i="9"/>
  <c r="S6" i="9"/>
  <c r="T6" i="9"/>
  <c r="V6" i="9"/>
  <c r="W6" i="9"/>
  <c r="Z6" i="9"/>
  <c r="AA6" i="9"/>
  <c r="AC6" i="9"/>
  <c r="AD6" i="9"/>
  <c r="AG6" i="9"/>
  <c r="AH6" i="9"/>
  <c r="AJ6" i="9"/>
  <c r="AK6" i="9"/>
  <c r="BR6" i="9"/>
  <c r="BQ6" i="9"/>
  <c r="BP6" i="9"/>
  <c r="BS6" i="9"/>
  <c r="BT6" i="9"/>
  <c r="CQ6" i="9"/>
  <c r="CN6" i="9"/>
  <c r="CM6" i="9"/>
  <c r="CL6" i="9"/>
  <c r="BY6" i="9"/>
  <c r="BX6" i="9"/>
  <c r="BW6" i="9"/>
  <c r="AE24" i="10"/>
  <c r="X24" i="10"/>
  <c r="W24" i="10"/>
  <c r="BV24" i="10"/>
  <c r="BW24" i="10"/>
  <c r="CA24" i="10"/>
  <c r="CD24" i="10"/>
  <c r="CG24" i="10"/>
  <c r="Y24" i="10"/>
  <c r="Z24" i="10"/>
  <c r="AA24" i="10"/>
  <c r="CJ24" i="10"/>
  <c r="AF24" i="10"/>
  <c r="CB24" i="10"/>
  <c r="CE24" i="10"/>
  <c r="CH24" i="10"/>
  <c r="CK24" i="10"/>
  <c r="AG24" i="10"/>
  <c r="CC24" i="10"/>
  <c r="CF24" i="10"/>
  <c r="CI24" i="10"/>
  <c r="CL24" i="10"/>
  <c r="CP24" i="10"/>
  <c r="AC24" i="10"/>
  <c r="AD24" i="10"/>
  <c r="AH24" i="10"/>
  <c r="AK24" i="10"/>
  <c r="AN24" i="10"/>
  <c r="AQ24" i="10"/>
  <c r="AT24" i="10"/>
  <c r="AI24" i="10"/>
  <c r="AL24" i="10"/>
  <c r="AO24" i="10"/>
  <c r="AR24" i="10"/>
  <c r="AU24" i="10"/>
  <c r="AJ24" i="10"/>
  <c r="AM24" i="10"/>
  <c r="AP24" i="10"/>
  <c r="AS24" i="10"/>
  <c r="AV24" i="10"/>
  <c r="AW24" i="10"/>
  <c r="CQ24" i="10"/>
  <c r="AB24" i="10"/>
  <c r="BE24" i="10"/>
  <c r="BA24" i="10"/>
  <c r="BF24" i="10"/>
  <c r="BG24" i="10"/>
  <c r="BH24" i="10"/>
  <c r="BL24" i="10"/>
  <c r="BP24" i="10"/>
  <c r="AX24" i="10"/>
  <c r="BB24" i="10"/>
  <c r="BI24" i="10"/>
  <c r="BM24" i="10"/>
  <c r="BQ24" i="10"/>
  <c r="AY24" i="10"/>
  <c r="BC24" i="10"/>
  <c r="BJ24" i="10"/>
  <c r="BN24" i="10"/>
  <c r="BR24" i="10"/>
  <c r="AZ24" i="10"/>
  <c r="BD24" i="10"/>
  <c r="BK24" i="10"/>
  <c r="BO24" i="10"/>
  <c r="BS24" i="10"/>
  <c r="BT24" i="10"/>
  <c r="BU24" i="10"/>
  <c r="CR24" i="10"/>
  <c r="CO24" i="10"/>
  <c r="CN24" i="10"/>
  <c r="CM24" i="10"/>
  <c r="BZ24" i="10"/>
  <c r="BY24" i="10"/>
  <c r="BX24" i="10"/>
  <c r="AE23" i="10"/>
  <c r="X23" i="10"/>
  <c r="W23" i="10"/>
  <c r="BV23" i="10"/>
  <c r="BW23" i="10"/>
  <c r="CA23" i="10"/>
  <c r="CD23" i="10"/>
  <c r="CG23" i="10"/>
  <c r="Y23" i="10"/>
  <c r="Z23" i="10"/>
  <c r="AA23" i="10"/>
  <c r="CJ23" i="10"/>
  <c r="AF23" i="10"/>
  <c r="CB23" i="10"/>
  <c r="CE23" i="10"/>
  <c r="CH23" i="10"/>
  <c r="CK23" i="10"/>
  <c r="AG23" i="10"/>
  <c r="CC23" i="10"/>
  <c r="CF23" i="10"/>
  <c r="CI23" i="10"/>
  <c r="CL23" i="10"/>
  <c r="CP23" i="10"/>
  <c r="AC23" i="10"/>
  <c r="AD23" i="10"/>
  <c r="AH23" i="10"/>
  <c r="AK23" i="10"/>
  <c r="AN23" i="10"/>
  <c r="AQ23" i="10"/>
  <c r="AT23" i="10"/>
  <c r="AI23" i="10"/>
  <c r="AL23" i="10"/>
  <c r="AO23" i="10"/>
  <c r="AR23" i="10"/>
  <c r="AU23" i="10"/>
  <c r="AJ23" i="10"/>
  <c r="AM23" i="10"/>
  <c r="AP23" i="10"/>
  <c r="AS23" i="10"/>
  <c r="AV23" i="10"/>
  <c r="AW23" i="10"/>
  <c r="CQ23" i="10"/>
  <c r="AB23" i="10"/>
  <c r="BE23" i="10"/>
  <c r="BA23" i="10"/>
  <c r="BF23" i="10"/>
  <c r="BG23" i="10"/>
  <c r="BH23" i="10"/>
  <c r="BL23" i="10"/>
  <c r="BP23" i="10"/>
  <c r="AX23" i="10"/>
  <c r="BB23" i="10"/>
  <c r="BI23" i="10"/>
  <c r="BM23" i="10"/>
  <c r="BQ23" i="10"/>
  <c r="AY23" i="10"/>
  <c r="BC23" i="10"/>
  <c r="BJ23" i="10"/>
  <c r="BN23" i="10"/>
  <c r="BR23" i="10"/>
  <c r="AZ23" i="10"/>
  <c r="BD23" i="10"/>
  <c r="BK23" i="10"/>
  <c r="BO23" i="10"/>
  <c r="BS23" i="10"/>
  <c r="BT23" i="10"/>
  <c r="BU23" i="10"/>
  <c r="CR23" i="10"/>
  <c r="CO23" i="10"/>
  <c r="CN23" i="10"/>
  <c r="CM23" i="10"/>
  <c r="BZ23" i="10"/>
  <c r="BY23" i="10"/>
  <c r="BX23" i="10"/>
  <c r="AE22" i="10"/>
  <c r="X22" i="10"/>
  <c r="W22" i="10"/>
  <c r="BV22" i="10"/>
  <c r="BW22" i="10"/>
  <c r="CA22" i="10"/>
  <c r="CD22" i="10"/>
  <c r="CG22" i="10"/>
  <c r="Y22" i="10"/>
  <c r="Z22" i="10"/>
  <c r="AA22" i="10"/>
  <c r="CJ22" i="10"/>
  <c r="AF22" i="10"/>
  <c r="CB22" i="10"/>
  <c r="CE22" i="10"/>
  <c r="CH22" i="10"/>
  <c r="CK22" i="10"/>
  <c r="AG22" i="10"/>
  <c r="CC22" i="10"/>
  <c r="CF22" i="10"/>
  <c r="CI22" i="10"/>
  <c r="CL22" i="10"/>
  <c r="CP22" i="10"/>
  <c r="AC22" i="10"/>
  <c r="AD22" i="10"/>
  <c r="AH22" i="10"/>
  <c r="AK22" i="10"/>
  <c r="AN22" i="10"/>
  <c r="AQ22" i="10"/>
  <c r="AT22" i="10"/>
  <c r="AI22" i="10"/>
  <c r="AL22" i="10"/>
  <c r="AO22" i="10"/>
  <c r="AR22" i="10"/>
  <c r="AU22" i="10"/>
  <c r="AJ22" i="10"/>
  <c r="AM22" i="10"/>
  <c r="AP22" i="10"/>
  <c r="AS22" i="10"/>
  <c r="AV22" i="10"/>
  <c r="AW22" i="10"/>
  <c r="CQ22" i="10"/>
  <c r="AB22" i="10"/>
  <c r="BE22" i="10"/>
  <c r="BA22" i="10"/>
  <c r="BF22" i="10"/>
  <c r="BG22" i="10"/>
  <c r="BH22" i="10"/>
  <c r="BL22" i="10"/>
  <c r="BP22" i="10"/>
  <c r="AX22" i="10"/>
  <c r="BB22" i="10"/>
  <c r="BI22" i="10"/>
  <c r="BM22" i="10"/>
  <c r="BQ22" i="10"/>
  <c r="AY22" i="10"/>
  <c r="BC22" i="10"/>
  <c r="BJ22" i="10"/>
  <c r="BN22" i="10"/>
  <c r="BR22" i="10"/>
  <c r="AZ22" i="10"/>
  <c r="BD22" i="10"/>
  <c r="BK22" i="10"/>
  <c r="BO22" i="10"/>
  <c r="BS22" i="10"/>
  <c r="BT22" i="10"/>
  <c r="BU22" i="10"/>
  <c r="CR22" i="10"/>
  <c r="CO22" i="10"/>
  <c r="CN22" i="10"/>
  <c r="CM22" i="10"/>
  <c r="BZ22" i="10"/>
  <c r="BY22" i="10"/>
  <c r="BX22" i="10"/>
  <c r="AE21" i="10"/>
  <c r="X21" i="10"/>
  <c r="W21" i="10"/>
  <c r="BV21" i="10"/>
  <c r="BW21" i="10"/>
  <c r="CA21" i="10"/>
  <c r="CD21" i="10"/>
  <c r="CG21" i="10"/>
  <c r="Y21" i="10"/>
  <c r="Z21" i="10"/>
  <c r="AA21" i="10"/>
  <c r="CJ21" i="10"/>
  <c r="AF21" i="10"/>
  <c r="CB21" i="10"/>
  <c r="CE21" i="10"/>
  <c r="CH21" i="10"/>
  <c r="CK21" i="10"/>
  <c r="AG21" i="10"/>
  <c r="CC21" i="10"/>
  <c r="CF21" i="10"/>
  <c r="CI21" i="10"/>
  <c r="CL21" i="10"/>
  <c r="CP21" i="10"/>
  <c r="AC21" i="10"/>
  <c r="AD21" i="10"/>
  <c r="AH21" i="10"/>
  <c r="AK21" i="10"/>
  <c r="AN21" i="10"/>
  <c r="AQ21" i="10"/>
  <c r="AT21" i="10"/>
  <c r="AI21" i="10"/>
  <c r="AL21" i="10"/>
  <c r="AO21" i="10"/>
  <c r="AR21" i="10"/>
  <c r="AU21" i="10"/>
  <c r="AJ21" i="10"/>
  <c r="AM21" i="10"/>
  <c r="AP21" i="10"/>
  <c r="AS21" i="10"/>
  <c r="AV21" i="10"/>
  <c r="AW21" i="10"/>
  <c r="CQ21" i="10"/>
  <c r="AB21" i="10"/>
  <c r="BE21" i="10"/>
  <c r="BA21" i="10"/>
  <c r="BF21" i="10"/>
  <c r="BG21" i="10"/>
  <c r="BH21" i="10"/>
  <c r="BL21" i="10"/>
  <c r="BP21" i="10"/>
  <c r="AX21" i="10"/>
  <c r="BB21" i="10"/>
  <c r="BI21" i="10"/>
  <c r="BM21" i="10"/>
  <c r="BQ21" i="10"/>
  <c r="AY21" i="10"/>
  <c r="BC21" i="10"/>
  <c r="BJ21" i="10"/>
  <c r="BN21" i="10"/>
  <c r="BR21" i="10"/>
  <c r="AZ21" i="10"/>
  <c r="BD21" i="10"/>
  <c r="BK21" i="10"/>
  <c r="BO21" i="10"/>
  <c r="BS21" i="10"/>
  <c r="BT21" i="10"/>
  <c r="BU21" i="10"/>
  <c r="CR21" i="10"/>
  <c r="CO21" i="10"/>
  <c r="CN21" i="10"/>
  <c r="CM21" i="10"/>
  <c r="BZ21" i="10"/>
  <c r="BY21" i="10"/>
  <c r="BX21" i="10"/>
  <c r="AE20" i="10"/>
  <c r="X20" i="10"/>
  <c r="W20" i="10"/>
  <c r="BV20" i="10"/>
  <c r="BW20" i="10"/>
  <c r="CA20" i="10"/>
  <c r="CD20" i="10"/>
  <c r="CG20" i="10"/>
  <c r="Y20" i="10"/>
  <c r="Z20" i="10"/>
  <c r="AA20" i="10"/>
  <c r="CJ20" i="10"/>
  <c r="AF20" i="10"/>
  <c r="CB20" i="10"/>
  <c r="CE20" i="10"/>
  <c r="CH20" i="10"/>
  <c r="CK20" i="10"/>
  <c r="AG20" i="10"/>
  <c r="CC20" i="10"/>
  <c r="CF20" i="10"/>
  <c r="CI20" i="10"/>
  <c r="CL20" i="10"/>
  <c r="CP20" i="10"/>
  <c r="AC20" i="10"/>
  <c r="AD20" i="10"/>
  <c r="AH20" i="10"/>
  <c r="AK20" i="10"/>
  <c r="AN20" i="10"/>
  <c r="AQ20" i="10"/>
  <c r="AT20" i="10"/>
  <c r="AI20" i="10"/>
  <c r="AL20" i="10"/>
  <c r="AO20" i="10"/>
  <c r="AR20" i="10"/>
  <c r="AU20" i="10"/>
  <c r="AJ20" i="10"/>
  <c r="AM20" i="10"/>
  <c r="AP20" i="10"/>
  <c r="AS20" i="10"/>
  <c r="AV20" i="10"/>
  <c r="AW20" i="10"/>
  <c r="CQ20" i="10"/>
  <c r="AB20" i="10"/>
  <c r="BE20" i="10"/>
  <c r="BA20" i="10"/>
  <c r="BF20" i="10"/>
  <c r="BG20" i="10"/>
  <c r="BH20" i="10"/>
  <c r="BL20" i="10"/>
  <c r="BP20" i="10"/>
  <c r="AX20" i="10"/>
  <c r="BB20" i="10"/>
  <c r="BI20" i="10"/>
  <c r="BM20" i="10"/>
  <c r="BQ20" i="10"/>
  <c r="AY20" i="10"/>
  <c r="BC20" i="10"/>
  <c r="BJ20" i="10"/>
  <c r="BN20" i="10"/>
  <c r="BR20" i="10"/>
  <c r="AZ20" i="10"/>
  <c r="BD20" i="10"/>
  <c r="BK20" i="10"/>
  <c r="BO20" i="10"/>
  <c r="BS20" i="10"/>
  <c r="BT20" i="10"/>
  <c r="BU20" i="10"/>
  <c r="CR20" i="10"/>
  <c r="CO20" i="10"/>
  <c r="CN20" i="10"/>
  <c r="CM20" i="10"/>
  <c r="BZ20" i="10"/>
  <c r="BY20" i="10"/>
  <c r="BX20" i="10"/>
  <c r="AE19" i="10"/>
  <c r="X19" i="10"/>
  <c r="W19" i="10"/>
  <c r="BV19" i="10"/>
  <c r="BW19" i="10"/>
  <c r="CA19" i="10"/>
  <c r="CD19" i="10"/>
  <c r="CG19" i="10"/>
  <c r="Y19" i="10"/>
  <c r="Z19" i="10"/>
  <c r="AA19" i="10"/>
  <c r="CJ19" i="10"/>
  <c r="AF19" i="10"/>
  <c r="CB19" i="10"/>
  <c r="CE19" i="10"/>
  <c r="CH19" i="10"/>
  <c r="CK19" i="10"/>
  <c r="AG19" i="10"/>
  <c r="CC19" i="10"/>
  <c r="CF19" i="10"/>
  <c r="CI19" i="10"/>
  <c r="CL19" i="10"/>
  <c r="CP19" i="10"/>
  <c r="AC19" i="10"/>
  <c r="AD19" i="10"/>
  <c r="AH19" i="10"/>
  <c r="AK19" i="10"/>
  <c r="AN19" i="10"/>
  <c r="AQ19" i="10"/>
  <c r="AT19" i="10"/>
  <c r="AI19" i="10"/>
  <c r="AL19" i="10"/>
  <c r="AO19" i="10"/>
  <c r="AR19" i="10"/>
  <c r="AU19" i="10"/>
  <c r="AJ19" i="10"/>
  <c r="AM19" i="10"/>
  <c r="AP19" i="10"/>
  <c r="AS19" i="10"/>
  <c r="AV19" i="10"/>
  <c r="AW19" i="10"/>
  <c r="CQ19" i="10"/>
  <c r="AB19" i="10"/>
  <c r="BE19" i="10"/>
  <c r="BA19" i="10"/>
  <c r="BF19" i="10"/>
  <c r="BG19" i="10"/>
  <c r="BH19" i="10"/>
  <c r="BL19" i="10"/>
  <c r="BP19" i="10"/>
  <c r="AX19" i="10"/>
  <c r="BB19" i="10"/>
  <c r="BI19" i="10"/>
  <c r="BM19" i="10"/>
  <c r="BQ19" i="10"/>
  <c r="AY19" i="10"/>
  <c r="BC19" i="10"/>
  <c r="BJ19" i="10"/>
  <c r="BN19" i="10"/>
  <c r="BR19" i="10"/>
  <c r="AZ19" i="10"/>
  <c r="BD19" i="10"/>
  <c r="BK19" i="10"/>
  <c r="BO19" i="10"/>
  <c r="BS19" i="10"/>
  <c r="BT19" i="10"/>
  <c r="BU19" i="10"/>
  <c r="CR19" i="10"/>
  <c r="CO19" i="10"/>
  <c r="CN19" i="10"/>
  <c r="CM19" i="10"/>
  <c r="BZ19" i="10"/>
  <c r="BY19" i="10"/>
  <c r="BX19" i="10"/>
  <c r="AE18" i="10"/>
  <c r="X18" i="10"/>
  <c r="W18" i="10"/>
  <c r="BV18" i="10"/>
  <c r="BW18" i="10"/>
  <c r="CA18" i="10"/>
  <c r="CD18" i="10"/>
  <c r="CG18" i="10"/>
  <c r="Y18" i="10"/>
  <c r="Z18" i="10"/>
  <c r="AA18" i="10"/>
  <c r="CJ18" i="10"/>
  <c r="AF18" i="10"/>
  <c r="CB18" i="10"/>
  <c r="CE18" i="10"/>
  <c r="CH18" i="10"/>
  <c r="CK18" i="10"/>
  <c r="AG18" i="10"/>
  <c r="CC18" i="10"/>
  <c r="CF18" i="10"/>
  <c r="CI18" i="10"/>
  <c r="CL18" i="10"/>
  <c r="CP18" i="10"/>
  <c r="AC18" i="10"/>
  <c r="AD18" i="10"/>
  <c r="AH18" i="10"/>
  <c r="AK18" i="10"/>
  <c r="AN18" i="10"/>
  <c r="AQ18" i="10"/>
  <c r="AT18" i="10"/>
  <c r="AI18" i="10"/>
  <c r="AL18" i="10"/>
  <c r="AO18" i="10"/>
  <c r="AR18" i="10"/>
  <c r="AU18" i="10"/>
  <c r="AJ18" i="10"/>
  <c r="AM18" i="10"/>
  <c r="AP18" i="10"/>
  <c r="AS18" i="10"/>
  <c r="AV18" i="10"/>
  <c r="AW18" i="10"/>
  <c r="CQ18" i="10"/>
  <c r="AB18" i="10"/>
  <c r="BE18" i="10"/>
  <c r="BA18" i="10"/>
  <c r="BF18" i="10"/>
  <c r="BG18" i="10"/>
  <c r="BH18" i="10"/>
  <c r="BL18" i="10"/>
  <c r="BP18" i="10"/>
  <c r="AX18" i="10"/>
  <c r="BB18" i="10"/>
  <c r="BI18" i="10"/>
  <c r="BM18" i="10"/>
  <c r="BQ18" i="10"/>
  <c r="AY18" i="10"/>
  <c r="BC18" i="10"/>
  <c r="BJ18" i="10"/>
  <c r="BN18" i="10"/>
  <c r="BR18" i="10"/>
  <c r="AZ18" i="10"/>
  <c r="BD18" i="10"/>
  <c r="BK18" i="10"/>
  <c r="BO18" i="10"/>
  <c r="BS18" i="10"/>
  <c r="BT18" i="10"/>
  <c r="BU18" i="10"/>
  <c r="CR18" i="10"/>
  <c r="CO18" i="10"/>
  <c r="CN18" i="10"/>
  <c r="CM18" i="10"/>
  <c r="BZ18" i="10"/>
  <c r="BY18" i="10"/>
  <c r="BX18" i="10"/>
  <c r="AE17" i="10"/>
  <c r="X17" i="10"/>
  <c r="W17" i="10"/>
  <c r="BV17" i="10"/>
  <c r="BW17" i="10"/>
  <c r="CA17" i="10"/>
  <c r="CD17" i="10"/>
  <c r="CG17" i="10"/>
  <c r="Y17" i="10"/>
  <c r="Z17" i="10"/>
  <c r="AA17" i="10"/>
  <c r="CJ17" i="10"/>
  <c r="AF17" i="10"/>
  <c r="CB17" i="10"/>
  <c r="CE17" i="10"/>
  <c r="CH17" i="10"/>
  <c r="CK17" i="10"/>
  <c r="AG17" i="10"/>
  <c r="CC17" i="10"/>
  <c r="CF17" i="10"/>
  <c r="CI17" i="10"/>
  <c r="CL17" i="10"/>
  <c r="CP17" i="10"/>
  <c r="AC17" i="10"/>
  <c r="AD17" i="10"/>
  <c r="AH17" i="10"/>
  <c r="AK17" i="10"/>
  <c r="AN17" i="10"/>
  <c r="AQ17" i="10"/>
  <c r="AT17" i="10"/>
  <c r="AI17" i="10"/>
  <c r="AL17" i="10"/>
  <c r="AO17" i="10"/>
  <c r="AR17" i="10"/>
  <c r="AU17" i="10"/>
  <c r="AJ17" i="10"/>
  <c r="AM17" i="10"/>
  <c r="AP17" i="10"/>
  <c r="AS17" i="10"/>
  <c r="AV17" i="10"/>
  <c r="AW17" i="10"/>
  <c r="CQ17" i="10"/>
  <c r="AB17" i="10"/>
  <c r="BE17" i="10"/>
  <c r="BA17" i="10"/>
  <c r="BF17" i="10"/>
  <c r="BG17" i="10"/>
  <c r="BH17" i="10"/>
  <c r="BL17" i="10"/>
  <c r="BP17" i="10"/>
  <c r="AX17" i="10"/>
  <c r="BB17" i="10"/>
  <c r="BI17" i="10"/>
  <c r="BM17" i="10"/>
  <c r="BQ17" i="10"/>
  <c r="AY17" i="10"/>
  <c r="BC17" i="10"/>
  <c r="BJ17" i="10"/>
  <c r="BN17" i="10"/>
  <c r="BR17" i="10"/>
  <c r="AZ17" i="10"/>
  <c r="BD17" i="10"/>
  <c r="BK17" i="10"/>
  <c r="BO17" i="10"/>
  <c r="BS17" i="10"/>
  <c r="BT17" i="10"/>
  <c r="BU17" i="10"/>
  <c r="CR17" i="10"/>
  <c r="CO17" i="10"/>
  <c r="CN17" i="10"/>
  <c r="CM17" i="10"/>
  <c r="BZ17" i="10"/>
  <c r="BY17" i="10"/>
  <c r="BX17" i="10"/>
  <c r="AE16" i="10"/>
  <c r="X16" i="10"/>
  <c r="W16" i="10"/>
  <c r="BV16" i="10"/>
  <c r="BW16" i="10"/>
  <c r="CA16" i="10"/>
  <c r="CD16" i="10"/>
  <c r="CG16" i="10"/>
  <c r="Y16" i="10"/>
  <c r="Z16" i="10"/>
  <c r="AA16" i="10"/>
  <c r="CJ16" i="10"/>
  <c r="AF16" i="10"/>
  <c r="CB16" i="10"/>
  <c r="CE16" i="10"/>
  <c r="CH16" i="10"/>
  <c r="CK16" i="10"/>
  <c r="AG16" i="10"/>
  <c r="CC16" i="10"/>
  <c r="CF16" i="10"/>
  <c r="CI16" i="10"/>
  <c r="CL16" i="10"/>
  <c r="CP16" i="10"/>
  <c r="AC16" i="10"/>
  <c r="AD16" i="10"/>
  <c r="AH16" i="10"/>
  <c r="AK16" i="10"/>
  <c r="AN16" i="10"/>
  <c r="AQ16" i="10"/>
  <c r="AT16" i="10"/>
  <c r="AI16" i="10"/>
  <c r="AL16" i="10"/>
  <c r="AO16" i="10"/>
  <c r="AR16" i="10"/>
  <c r="AU16" i="10"/>
  <c r="AJ16" i="10"/>
  <c r="AM16" i="10"/>
  <c r="AP16" i="10"/>
  <c r="AS16" i="10"/>
  <c r="AV16" i="10"/>
  <c r="AW16" i="10"/>
  <c r="CQ16" i="10"/>
  <c r="AB16" i="10"/>
  <c r="BE16" i="10"/>
  <c r="BA16" i="10"/>
  <c r="BF16" i="10"/>
  <c r="BG16" i="10"/>
  <c r="BH16" i="10"/>
  <c r="BL16" i="10"/>
  <c r="BP16" i="10"/>
  <c r="AX16" i="10"/>
  <c r="BB16" i="10"/>
  <c r="BI16" i="10"/>
  <c r="BM16" i="10"/>
  <c r="BQ16" i="10"/>
  <c r="AY16" i="10"/>
  <c r="BC16" i="10"/>
  <c r="BJ16" i="10"/>
  <c r="BN16" i="10"/>
  <c r="BR16" i="10"/>
  <c r="AZ16" i="10"/>
  <c r="BD16" i="10"/>
  <c r="BK16" i="10"/>
  <c r="BO16" i="10"/>
  <c r="BS16" i="10"/>
  <c r="BT16" i="10"/>
  <c r="BU16" i="10"/>
  <c r="CR16" i="10"/>
  <c r="CO16" i="10"/>
  <c r="CN16" i="10"/>
  <c r="CM16" i="10"/>
  <c r="BZ16" i="10"/>
  <c r="BY16" i="10"/>
  <c r="BX16" i="10"/>
  <c r="AE15" i="10"/>
  <c r="X15" i="10"/>
  <c r="W15" i="10"/>
  <c r="BV15" i="10"/>
  <c r="BW15" i="10"/>
  <c r="CA15" i="10"/>
  <c r="CD15" i="10"/>
  <c r="CG15" i="10"/>
  <c r="Y15" i="10"/>
  <c r="Z15" i="10"/>
  <c r="AA15" i="10"/>
  <c r="CJ15" i="10"/>
  <c r="AF15" i="10"/>
  <c r="CB15" i="10"/>
  <c r="CE15" i="10"/>
  <c r="CH15" i="10"/>
  <c r="CK15" i="10"/>
  <c r="AG15" i="10"/>
  <c r="CC15" i="10"/>
  <c r="CF15" i="10"/>
  <c r="CI15" i="10"/>
  <c r="CL15" i="10"/>
  <c r="CP15" i="10"/>
  <c r="AC15" i="10"/>
  <c r="AD15" i="10"/>
  <c r="AH15" i="10"/>
  <c r="AK15" i="10"/>
  <c r="AN15" i="10"/>
  <c r="AQ15" i="10"/>
  <c r="AT15" i="10"/>
  <c r="AI15" i="10"/>
  <c r="AL15" i="10"/>
  <c r="AO15" i="10"/>
  <c r="AR15" i="10"/>
  <c r="AU15" i="10"/>
  <c r="AJ15" i="10"/>
  <c r="AM15" i="10"/>
  <c r="AP15" i="10"/>
  <c r="AS15" i="10"/>
  <c r="AV15" i="10"/>
  <c r="AW15" i="10"/>
  <c r="CQ15" i="10"/>
  <c r="AB15" i="10"/>
  <c r="BE15" i="10"/>
  <c r="BA15" i="10"/>
  <c r="BF15" i="10"/>
  <c r="BG15" i="10"/>
  <c r="BH15" i="10"/>
  <c r="BL15" i="10"/>
  <c r="BP15" i="10"/>
  <c r="AX15" i="10"/>
  <c r="BB15" i="10"/>
  <c r="BI15" i="10"/>
  <c r="BM15" i="10"/>
  <c r="BQ15" i="10"/>
  <c r="AY15" i="10"/>
  <c r="BC15" i="10"/>
  <c r="BJ15" i="10"/>
  <c r="BN15" i="10"/>
  <c r="BR15" i="10"/>
  <c r="AZ15" i="10"/>
  <c r="BD15" i="10"/>
  <c r="BK15" i="10"/>
  <c r="BO15" i="10"/>
  <c r="BS15" i="10"/>
  <c r="BT15" i="10"/>
  <c r="BU15" i="10"/>
  <c r="CR15" i="10"/>
  <c r="CO15" i="10"/>
  <c r="CN15" i="10"/>
  <c r="CM15" i="10"/>
  <c r="BZ15" i="10"/>
  <c r="BY15" i="10"/>
  <c r="BX15" i="10"/>
  <c r="AE14" i="10"/>
  <c r="X14" i="10"/>
  <c r="W14" i="10"/>
  <c r="BV14" i="10"/>
  <c r="BW14" i="10"/>
  <c r="CA14" i="10"/>
  <c r="CD14" i="10"/>
  <c r="CG14" i="10"/>
  <c r="Y14" i="10"/>
  <c r="Z14" i="10"/>
  <c r="AA14" i="10"/>
  <c r="CJ14" i="10"/>
  <c r="AF14" i="10"/>
  <c r="CB14" i="10"/>
  <c r="CE14" i="10"/>
  <c r="CH14" i="10"/>
  <c r="CK14" i="10"/>
  <c r="AG14" i="10"/>
  <c r="CC14" i="10"/>
  <c r="CF14" i="10"/>
  <c r="CI14" i="10"/>
  <c r="CL14" i="10"/>
  <c r="CP14" i="10"/>
  <c r="AC14" i="10"/>
  <c r="AD14" i="10"/>
  <c r="AH14" i="10"/>
  <c r="AK14" i="10"/>
  <c r="AN14" i="10"/>
  <c r="AQ14" i="10"/>
  <c r="AT14" i="10"/>
  <c r="AI14" i="10"/>
  <c r="AL14" i="10"/>
  <c r="AO14" i="10"/>
  <c r="AR14" i="10"/>
  <c r="AU14" i="10"/>
  <c r="AJ14" i="10"/>
  <c r="AM14" i="10"/>
  <c r="AP14" i="10"/>
  <c r="AS14" i="10"/>
  <c r="AV14" i="10"/>
  <c r="AW14" i="10"/>
  <c r="CQ14" i="10"/>
  <c r="AB14" i="10"/>
  <c r="BE14" i="10"/>
  <c r="BA14" i="10"/>
  <c r="BF14" i="10"/>
  <c r="BG14" i="10"/>
  <c r="BH14" i="10"/>
  <c r="BL14" i="10"/>
  <c r="BP14" i="10"/>
  <c r="AX14" i="10"/>
  <c r="BB14" i="10"/>
  <c r="BI14" i="10"/>
  <c r="BM14" i="10"/>
  <c r="BQ14" i="10"/>
  <c r="AY14" i="10"/>
  <c r="BC14" i="10"/>
  <c r="BJ14" i="10"/>
  <c r="BN14" i="10"/>
  <c r="BR14" i="10"/>
  <c r="AZ14" i="10"/>
  <c r="BD14" i="10"/>
  <c r="BK14" i="10"/>
  <c r="BO14" i="10"/>
  <c r="BS14" i="10"/>
  <c r="BT14" i="10"/>
  <c r="BU14" i="10"/>
  <c r="CR14" i="10"/>
  <c r="CO14" i="10"/>
  <c r="CN14" i="10"/>
  <c r="CM14" i="10"/>
  <c r="BZ14" i="10"/>
  <c r="BY14" i="10"/>
  <c r="BX14" i="10"/>
  <c r="AE13" i="10"/>
  <c r="X13" i="10"/>
  <c r="W13" i="10"/>
  <c r="BV13" i="10"/>
  <c r="BW13" i="10"/>
  <c r="CA13" i="10"/>
  <c r="CD13" i="10"/>
  <c r="CG13" i="10"/>
  <c r="Y13" i="10"/>
  <c r="Z13" i="10"/>
  <c r="AA13" i="10"/>
  <c r="CJ13" i="10"/>
  <c r="AF13" i="10"/>
  <c r="CB13" i="10"/>
  <c r="CE13" i="10"/>
  <c r="CH13" i="10"/>
  <c r="CK13" i="10"/>
  <c r="AG13" i="10"/>
  <c r="CC13" i="10"/>
  <c r="CF13" i="10"/>
  <c r="CI13" i="10"/>
  <c r="CL13" i="10"/>
  <c r="CP13" i="10"/>
  <c r="AC13" i="10"/>
  <c r="AD13" i="10"/>
  <c r="AH13" i="10"/>
  <c r="AK13" i="10"/>
  <c r="AN13" i="10"/>
  <c r="AQ13" i="10"/>
  <c r="AT13" i="10"/>
  <c r="AI13" i="10"/>
  <c r="AL13" i="10"/>
  <c r="AO13" i="10"/>
  <c r="AR13" i="10"/>
  <c r="AU13" i="10"/>
  <c r="AJ13" i="10"/>
  <c r="AM13" i="10"/>
  <c r="AP13" i="10"/>
  <c r="AS13" i="10"/>
  <c r="AV13" i="10"/>
  <c r="AW13" i="10"/>
  <c r="CQ13" i="10"/>
  <c r="AB13" i="10"/>
  <c r="BE13" i="10"/>
  <c r="BA13" i="10"/>
  <c r="BF13" i="10"/>
  <c r="BG13" i="10"/>
  <c r="BH13" i="10"/>
  <c r="BL13" i="10"/>
  <c r="BP13" i="10"/>
  <c r="AX13" i="10"/>
  <c r="BB13" i="10"/>
  <c r="BI13" i="10"/>
  <c r="BM13" i="10"/>
  <c r="BQ13" i="10"/>
  <c r="AY13" i="10"/>
  <c r="BC13" i="10"/>
  <c r="BJ13" i="10"/>
  <c r="BN13" i="10"/>
  <c r="BR13" i="10"/>
  <c r="AZ13" i="10"/>
  <c r="BD13" i="10"/>
  <c r="BK13" i="10"/>
  <c r="BO13" i="10"/>
  <c r="BS13" i="10"/>
  <c r="BT13" i="10"/>
  <c r="BU13" i="10"/>
  <c r="CR13" i="10"/>
  <c r="CO13" i="10"/>
  <c r="CN13" i="10"/>
  <c r="CM13" i="10"/>
  <c r="BZ13" i="10"/>
  <c r="BY13" i="10"/>
  <c r="BX13" i="10"/>
  <c r="AE12" i="10"/>
  <c r="X12" i="10"/>
  <c r="W12" i="10"/>
  <c r="BV12" i="10"/>
  <c r="BW12" i="10"/>
  <c r="CA12" i="10"/>
  <c r="CD12" i="10"/>
  <c r="CG12" i="10"/>
  <c r="Y12" i="10"/>
  <c r="Z12" i="10"/>
  <c r="AA12" i="10"/>
  <c r="CJ12" i="10"/>
  <c r="AF12" i="10"/>
  <c r="CB12" i="10"/>
  <c r="CE12" i="10"/>
  <c r="CH12" i="10"/>
  <c r="CK12" i="10"/>
  <c r="AG12" i="10"/>
  <c r="CC12" i="10"/>
  <c r="CF12" i="10"/>
  <c r="CI12" i="10"/>
  <c r="CL12" i="10"/>
  <c r="CP12" i="10"/>
  <c r="AC12" i="10"/>
  <c r="AD12" i="10"/>
  <c r="AH12" i="10"/>
  <c r="AK12" i="10"/>
  <c r="AN12" i="10"/>
  <c r="AQ12" i="10"/>
  <c r="AT12" i="10"/>
  <c r="AI12" i="10"/>
  <c r="AL12" i="10"/>
  <c r="AO12" i="10"/>
  <c r="AR12" i="10"/>
  <c r="AU12" i="10"/>
  <c r="AJ12" i="10"/>
  <c r="AM12" i="10"/>
  <c r="AP12" i="10"/>
  <c r="AS12" i="10"/>
  <c r="AV12" i="10"/>
  <c r="AW12" i="10"/>
  <c r="CQ12" i="10"/>
  <c r="AB12" i="10"/>
  <c r="BE12" i="10"/>
  <c r="BA12" i="10"/>
  <c r="BF12" i="10"/>
  <c r="BG12" i="10"/>
  <c r="BH12" i="10"/>
  <c r="BL12" i="10"/>
  <c r="BP12" i="10"/>
  <c r="AX12" i="10"/>
  <c r="BB12" i="10"/>
  <c r="BI12" i="10"/>
  <c r="BM12" i="10"/>
  <c r="BQ12" i="10"/>
  <c r="AY12" i="10"/>
  <c r="BC12" i="10"/>
  <c r="BJ12" i="10"/>
  <c r="BN12" i="10"/>
  <c r="BR12" i="10"/>
  <c r="AZ12" i="10"/>
  <c r="BD12" i="10"/>
  <c r="BK12" i="10"/>
  <c r="BO12" i="10"/>
  <c r="BS12" i="10"/>
  <c r="BT12" i="10"/>
  <c r="BU12" i="10"/>
  <c r="CR12" i="10"/>
  <c r="CO12" i="10"/>
  <c r="CN12" i="10"/>
  <c r="CM12" i="10"/>
  <c r="BZ12" i="10"/>
  <c r="BY12" i="10"/>
  <c r="BX12" i="10"/>
  <c r="AE11" i="10"/>
  <c r="X11" i="10"/>
  <c r="W11" i="10"/>
  <c r="BV11" i="10"/>
  <c r="BW11" i="10"/>
  <c r="CA11" i="10"/>
  <c r="CD11" i="10"/>
  <c r="CG11" i="10"/>
  <c r="Y11" i="10"/>
  <c r="Z11" i="10"/>
  <c r="AA11" i="10"/>
  <c r="CJ11" i="10"/>
  <c r="AF11" i="10"/>
  <c r="CB11" i="10"/>
  <c r="CE11" i="10"/>
  <c r="CH11" i="10"/>
  <c r="CK11" i="10"/>
  <c r="AG11" i="10"/>
  <c r="CC11" i="10"/>
  <c r="CF11" i="10"/>
  <c r="CI11" i="10"/>
  <c r="CL11" i="10"/>
  <c r="CP11" i="10"/>
  <c r="AC11" i="10"/>
  <c r="AD11" i="10"/>
  <c r="AH11" i="10"/>
  <c r="AK11" i="10"/>
  <c r="AN11" i="10"/>
  <c r="AQ11" i="10"/>
  <c r="AT11" i="10"/>
  <c r="AI11" i="10"/>
  <c r="AL11" i="10"/>
  <c r="AO11" i="10"/>
  <c r="AR11" i="10"/>
  <c r="AU11" i="10"/>
  <c r="AJ11" i="10"/>
  <c r="AM11" i="10"/>
  <c r="AP11" i="10"/>
  <c r="AS11" i="10"/>
  <c r="AV11" i="10"/>
  <c r="AW11" i="10"/>
  <c r="CQ11" i="10"/>
  <c r="AB11" i="10"/>
  <c r="BE11" i="10"/>
  <c r="BA11" i="10"/>
  <c r="BF11" i="10"/>
  <c r="BG11" i="10"/>
  <c r="BH11" i="10"/>
  <c r="BL11" i="10"/>
  <c r="BP11" i="10"/>
  <c r="AX11" i="10"/>
  <c r="BB11" i="10"/>
  <c r="BI11" i="10"/>
  <c r="BM11" i="10"/>
  <c r="BQ11" i="10"/>
  <c r="AY11" i="10"/>
  <c r="BC11" i="10"/>
  <c r="BJ11" i="10"/>
  <c r="BN11" i="10"/>
  <c r="BR11" i="10"/>
  <c r="AZ11" i="10"/>
  <c r="BD11" i="10"/>
  <c r="BK11" i="10"/>
  <c r="BO11" i="10"/>
  <c r="BS11" i="10"/>
  <c r="BT11" i="10"/>
  <c r="BU11" i="10"/>
  <c r="CR11" i="10"/>
  <c r="CO11" i="10"/>
  <c r="CN11" i="10"/>
  <c r="CM11" i="10"/>
  <c r="BZ11" i="10"/>
  <c r="BY11" i="10"/>
  <c r="BX11" i="10"/>
  <c r="AE10" i="10"/>
  <c r="X10" i="10"/>
  <c r="W10" i="10"/>
  <c r="BV10" i="10"/>
  <c r="BW10" i="10"/>
  <c r="CA10" i="10"/>
  <c r="CD10" i="10"/>
  <c r="CG10" i="10"/>
  <c r="Y10" i="10"/>
  <c r="Z10" i="10"/>
  <c r="AA10" i="10"/>
  <c r="CJ10" i="10"/>
  <c r="AF10" i="10"/>
  <c r="CB10" i="10"/>
  <c r="CE10" i="10"/>
  <c r="CH10" i="10"/>
  <c r="CK10" i="10"/>
  <c r="AG10" i="10"/>
  <c r="CC10" i="10"/>
  <c r="CF10" i="10"/>
  <c r="CI10" i="10"/>
  <c r="CL10" i="10"/>
  <c r="CP10" i="10"/>
  <c r="AC10" i="10"/>
  <c r="AD10" i="10"/>
  <c r="AH10" i="10"/>
  <c r="AK10" i="10"/>
  <c r="AN10" i="10"/>
  <c r="AQ10" i="10"/>
  <c r="AT10" i="10"/>
  <c r="AI10" i="10"/>
  <c r="AL10" i="10"/>
  <c r="AO10" i="10"/>
  <c r="AR10" i="10"/>
  <c r="AU10" i="10"/>
  <c r="AJ10" i="10"/>
  <c r="AM10" i="10"/>
  <c r="AP10" i="10"/>
  <c r="AS10" i="10"/>
  <c r="AV10" i="10"/>
  <c r="AW10" i="10"/>
  <c r="CQ10" i="10"/>
  <c r="AB10" i="10"/>
  <c r="BE10" i="10"/>
  <c r="BA10" i="10"/>
  <c r="BF10" i="10"/>
  <c r="BG10" i="10"/>
  <c r="BH10" i="10"/>
  <c r="BL10" i="10"/>
  <c r="BP10" i="10"/>
  <c r="AX10" i="10"/>
  <c r="BB10" i="10"/>
  <c r="BI10" i="10"/>
  <c r="BM10" i="10"/>
  <c r="BQ10" i="10"/>
  <c r="AY10" i="10"/>
  <c r="BC10" i="10"/>
  <c r="BJ10" i="10"/>
  <c r="BN10" i="10"/>
  <c r="BR10" i="10"/>
  <c r="AZ10" i="10"/>
  <c r="BD10" i="10"/>
  <c r="BK10" i="10"/>
  <c r="BO10" i="10"/>
  <c r="BS10" i="10"/>
  <c r="BT10" i="10"/>
  <c r="BU10" i="10"/>
  <c r="CR10" i="10"/>
  <c r="CO10" i="10"/>
  <c r="CN10" i="10"/>
  <c r="CM10" i="10"/>
  <c r="BZ10" i="10"/>
  <c r="BY10" i="10"/>
  <c r="BX10" i="10"/>
  <c r="AE9" i="10"/>
  <c r="X9" i="10"/>
  <c r="W9" i="10"/>
  <c r="BV9" i="10"/>
  <c r="BW9" i="10"/>
  <c r="CA9" i="10"/>
  <c r="CD9" i="10"/>
  <c r="CG9" i="10"/>
  <c r="Y9" i="10"/>
  <c r="Z9" i="10"/>
  <c r="AA9" i="10"/>
  <c r="CJ9" i="10"/>
  <c r="AF9" i="10"/>
  <c r="CB9" i="10"/>
  <c r="CE9" i="10"/>
  <c r="CH9" i="10"/>
  <c r="CK9" i="10"/>
  <c r="AG9" i="10"/>
  <c r="CC9" i="10"/>
  <c r="CF9" i="10"/>
  <c r="CI9" i="10"/>
  <c r="CL9" i="10"/>
  <c r="CP9" i="10"/>
  <c r="AC9" i="10"/>
  <c r="AD9" i="10"/>
  <c r="AH9" i="10"/>
  <c r="AK9" i="10"/>
  <c r="AN9" i="10"/>
  <c r="AQ9" i="10"/>
  <c r="AT9" i="10"/>
  <c r="AI9" i="10"/>
  <c r="AL9" i="10"/>
  <c r="AO9" i="10"/>
  <c r="AR9" i="10"/>
  <c r="AU9" i="10"/>
  <c r="AJ9" i="10"/>
  <c r="AM9" i="10"/>
  <c r="AP9" i="10"/>
  <c r="AS9" i="10"/>
  <c r="AV9" i="10"/>
  <c r="AW9" i="10"/>
  <c r="CQ9" i="10"/>
  <c r="AB9" i="10"/>
  <c r="BE9" i="10"/>
  <c r="BA9" i="10"/>
  <c r="BF9" i="10"/>
  <c r="BG9" i="10"/>
  <c r="BH9" i="10"/>
  <c r="BL9" i="10"/>
  <c r="BP9" i="10"/>
  <c r="AX9" i="10"/>
  <c r="BB9" i="10"/>
  <c r="BI9" i="10"/>
  <c r="BM9" i="10"/>
  <c r="BQ9" i="10"/>
  <c r="AY9" i="10"/>
  <c r="BC9" i="10"/>
  <c r="BJ9" i="10"/>
  <c r="BN9" i="10"/>
  <c r="BR9" i="10"/>
  <c r="AZ9" i="10"/>
  <c r="BD9" i="10"/>
  <c r="BK9" i="10"/>
  <c r="BO9" i="10"/>
  <c r="BS9" i="10"/>
  <c r="BT9" i="10"/>
  <c r="BU9" i="10"/>
  <c r="CR9" i="10"/>
  <c r="CO9" i="10"/>
  <c r="CN9" i="10"/>
  <c r="CM9" i="10"/>
  <c r="BZ9" i="10"/>
  <c r="BY9" i="10"/>
  <c r="BX9" i="10"/>
  <c r="AE8" i="10"/>
  <c r="X8" i="10"/>
  <c r="W8" i="10"/>
  <c r="BV8" i="10"/>
  <c r="BW8" i="10"/>
  <c r="CA8" i="10"/>
  <c r="CD8" i="10"/>
  <c r="CG8" i="10"/>
  <c r="Y8" i="10"/>
  <c r="Z8" i="10"/>
  <c r="AA8" i="10"/>
  <c r="CJ8" i="10"/>
  <c r="AF8" i="10"/>
  <c r="CB8" i="10"/>
  <c r="CE8" i="10"/>
  <c r="CH8" i="10"/>
  <c r="CK8" i="10"/>
  <c r="AG8" i="10"/>
  <c r="CC8" i="10"/>
  <c r="CF8" i="10"/>
  <c r="CI8" i="10"/>
  <c r="CL8" i="10"/>
  <c r="CP8" i="10"/>
  <c r="AC8" i="10"/>
  <c r="AD8" i="10"/>
  <c r="AH8" i="10"/>
  <c r="AK8" i="10"/>
  <c r="AN8" i="10"/>
  <c r="AQ8" i="10"/>
  <c r="AT8" i="10"/>
  <c r="AI8" i="10"/>
  <c r="AL8" i="10"/>
  <c r="AO8" i="10"/>
  <c r="AR8" i="10"/>
  <c r="AU8" i="10"/>
  <c r="AJ8" i="10"/>
  <c r="AM8" i="10"/>
  <c r="AP8" i="10"/>
  <c r="AS8" i="10"/>
  <c r="AV8" i="10"/>
  <c r="AW8" i="10"/>
  <c r="CQ8" i="10"/>
  <c r="AB8" i="10"/>
  <c r="BE8" i="10"/>
  <c r="BA8" i="10"/>
  <c r="BF8" i="10"/>
  <c r="BG8" i="10"/>
  <c r="BH8" i="10"/>
  <c r="BL8" i="10"/>
  <c r="BP8" i="10"/>
  <c r="AX8" i="10"/>
  <c r="BB8" i="10"/>
  <c r="BI8" i="10"/>
  <c r="BM8" i="10"/>
  <c r="BQ8" i="10"/>
  <c r="AY8" i="10"/>
  <c r="BC8" i="10"/>
  <c r="BJ8" i="10"/>
  <c r="BN8" i="10"/>
  <c r="BR8" i="10"/>
  <c r="AZ8" i="10"/>
  <c r="BD8" i="10"/>
  <c r="BK8" i="10"/>
  <c r="BO8" i="10"/>
  <c r="BS8" i="10"/>
  <c r="BT8" i="10"/>
  <c r="BU8" i="10"/>
  <c r="CR8" i="10"/>
  <c r="CO8" i="10"/>
  <c r="CN8" i="10"/>
  <c r="CM8" i="10"/>
  <c r="BZ8" i="10"/>
  <c r="BY8" i="10"/>
  <c r="BX8" i="10"/>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W6" i="16"/>
  <c r="AQ6" i="16"/>
  <c r="AP6" i="16"/>
  <c r="BU6" i="16"/>
  <c r="BV6" i="16"/>
  <c r="BZ6" i="16"/>
  <c r="CC6" i="16"/>
  <c r="CF6" i="16"/>
  <c r="AR6" i="16"/>
  <c r="AS6" i="16"/>
  <c r="AT6" i="16"/>
  <c r="CI6" i="16"/>
  <c r="AX6" i="16"/>
  <c r="CA6" i="16"/>
  <c r="CD6" i="16"/>
  <c r="CG6" i="16"/>
  <c r="CJ6" i="16"/>
  <c r="AY6" i="16"/>
  <c r="CB6" i="16"/>
  <c r="CE6" i="16"/>
  <c r="CH6" i="16"/>
  <c r="CK6" i="16"/>
  <c r="CO6" i="16"/>
  <c r="AU6" i="16"/>
  <c r="AV6" i="16"/>
  <c r="AZ6" i="16"/>
  <c r="BC6" i="16"/>
  <c r="BF6" i="16"/>
  <c r="BI6" i="16"/>
  <c r="BL6" i="16"/>
  <c r="BA6" i="16"/>
  <c r="BD6" i="16"/>
  <c r="BG6" i="16"/>
  <c r="BJ6" i="16"/>
  <c r="BM6" i="16"/>
  <c r="BB6" i="16"/>
  <c r="BE6" i="16"/>
  <c r="BH6" i="16"/>
  <c r="BK6" i="16"/>
  <c r="BN6" i="16"/>
  <c r="BO6" i="16"/>
  <c r="CP6" i="16"/>
  <c r="AG6" i="16"/>
  <c r="AH6" i="16"/>
  <c r="AJ6" i="16"/>
  <c r="AK6" i="16"/>
  <c r="BR6" i="16"/>
  <c r="Z6" i="16"/>
  <c r="AA6" i="16"/>
  <c r="AC6" i="16"/>
  <c r="AD6" i="16"/>
  <c r="BQ6" i="16"/>
  <c r="V6" i="16"/>
  <c r="W6" i="16"/>
  <c r="BP6" i="16"/>
  <c r="BS6" i="16"/>
  <c r="BT6" i="16"/>
  <c r="CQ6" i="16"/>
  <c r="CN6" i="16"/>
  <c r="CM6" i="16"/>
  <c r="CL6" i="16"/>
  <c r="BY6" i="16"/>
  <c r="BX6" i="16"/>
  <c r="BW6" i="16"/>
  <c r="AO6" i="16"/>
  <c r="AN6" i="16"/>
  <c r="AM6" i="16"/>
  <c r="AP7" i="9"/>
  <c r="AQ7" i="9"/>
  <c r="AR7" i="9"/>
  <c r="AS7" i="9"/>
  <c r="AT7" i="9"/>
  <c r="AU7" i="9"/>
  <c r="AV7" i="9"/>
  <c r="AW7" i="9"/>
  <c r="AX7" i="9"/>
  <c r="AY7" i="9"/>
  <c r="AZ7" i="9"/>
  <c r="BA7" i="9"/>
  <c r="BB7" i="9"/>
  <c r="BC7" i="9"/>
  <c r="BD7" i="9"/>
  <c r="BE7" i="9"/>
  <c r="BF7" i="9"/>
  <c r="BG7" i="9"/>
  <c r="BH7" i="9"/>
  <c r="BI7" i="9"/>
  <c r="BJ7" i="9"/>
  <c r="BK7" i="9"/>
  <c r="BL7" i="9"/>
  <c r="BM7" i="9"/>
  <c r="BN7" i="9"/>
  <c r="BO7" i="9"/>
  <c r="S7" i="9"/>
  <c r="T7" i="9"/>
  <c r="V7" i="9"/>
  <c r="W7" i="9"/>
  <c r="Z7" i="9"/>
  <c r="AA7" i="9"/>
  <c r="AC7" i="9"/>
  <c r="AD7" i="9"/>
  <c r="AG7" i="9"/>
  <c r="AH7" i="9"/>
  <c r="AJ7" i="9"/>
  <c r="AK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S8" i="9"/>
  <c r="T8" i="9"/>
  <c r="V8" i="9"/>
  <c r="W8" i="9"/>
  <c r="Z8" i="9"/>
  <c r="AA8" i="9"/>
  <c r="AC8" i="9"/>
  <c r="AD8" i="9"/>
  <c r="AG8" i="9"/>
  <c r="AH8" i="9"/>
  <c r="AJ8" i="9"/>
  <c r="AK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S9" i="9"/>
  <c r="T9" i="9"/>
  <c r="V9" i="9"/>
  <c r="W9" i="9"/>
  <c r="Z9" i="9"/>
  <c r="AA9" i="9"/>
  <c r="AC9" i="9"/>
  <c r="AD9" i="9"/>
  <c r="AG9" i="9"/>
  <c r="AH9" i="9"/>
  <c r="AJ9" i="9"/>
  <c r="AK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S10" i="9"/>
  <c r="T10" i="9"/>
  <c r="V10" i="9"/>
  <c r="W10" i="9"/>
  <c r="Z10" i="9"/>
  <c r="AA10" i="9"/>
  <c r="AC10" i="9"/>
  <c r="AD10" i="9"/>
  <c r="AG10" i="9"/>
  <c r="AH10" i="9"/>
  <c r="AJ10" i="9"/>
  <c r="AK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S11" i="9"/>
  <c r="T11" i="9"/>
  <c r="V11" i="9"/>
  <c r="W11" i="9"/>
  <c r="Z11" i="9"/>
  <c r="AA11" i="9"/>
  <c r="AC11" i="9"/>
  <c r="AD11" i="9"/>
  <c r="AG11" i="9"/>
  <c r="AH11" i="9"/>
  <c r="AJ11" i="9"/>
  <c r="AK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S12" i="9"/>
  <c r="T12" i="9"/>
  <c r="V12" i="9"/>
  <c r="W12" i="9"/>
  <c r="Z12" i="9"/>
  <c r="AA12" i="9"/>
  <c r="AC12" i="9"/>
  <c r="AD12" i="9"/>
  <c r="AG12" i="9"/>
  <c r="AH12" i="9"/>
  <c r="AJ12" i="9"/>
  <c r="AK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S13" i="9"/>
  <c r="T13" i="9"/>
  <c r="V13" i="9"/>
  <c r="W13" i="9"/>
  <c r="Z13" i="9"/>
  <c r="AA13" i="9"/>
  <c r="AC13" i="9"/>
  <c r="AD13" i="9"/>
  <c r="AG13" i="9"/>
  <c r="AH13" i="9"/>
  <c r="AJ13" i="9"/>
  <c r="AK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S14" i="9"/>
  <c r="T14" i="9"/>
  <c r="V14" i="9"/>
  <c r="W14" i="9"/>
  <c r="Z14" i="9"/>
  <c r="AA14" i="9"/>
  <c r="AC14" i="9"/>
  <c r="AD14" i="9"/>
  <c r="AG14" i="9"/>
  <c r="AH14" i="9"/>
  <c r="AJ14" i="9"/>
  <c r="AK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S15" i="9"/>
  <c r="T15" i="9"/>
  <c r="V15" i="9"/>
  <c r="W15" i="9"/>
  <c r="Z15" i="9"/>
  <c r="AA15" i="9"/>
  <c r="AC15" i="9"/>
  <c r="AD15" i="9"/>
  <c r="AG15" i="9"/>
  <c r="AH15" i="9"/>
  <c r="AJ15" i="9"/>
  <c r="AK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S16" i="9"/>
  <c r="T16" i="9"/>
  <c r="V16" i="9"/>
  <c r="W16" i="9"/>
  <c r="Z16" i="9"/>
  <c r="AA16" i="9"/>
  <c r="AC16" i="9"/>
  <c r="AD16" i="9"/>
  <c r="AG16" i="9"/>
  <c r="AH16" i="9"/>
  <c r="AJ16" i="9"/>
  <c r="AK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S17" i="9"/>
  <c r="T17" i="9"/>
  <c r="V17" i="9"/>
  <c r="W17" i="9"/>
  <c r="Z17" i="9"/>
  <c r="AA17" i="9"/>
  <c r="AC17" i="9"/>
  <c r="AD17" i="9"/>
  <c r="AG17" i="9"/>
  <c r="AH17" i="9"/>
  <c r="AJ17" i="9"/>
  <c r="AK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5" i="6"/>
  <c r="V14" i="6"/>
  <c r="V13" i="6"/>
  <c r="V12" i="6"/>
  <c r="V11" i="6"/>
  <c r="V10" i="6"/>
  <c r="X15" i="6"/>
  <c r="X14" i="6"/>
  <c r="X13" i="6"/>
  <c r="X12" i="6"/>
  <c r="X11" i="6"/>
  <c r="X10" i="6"/>
  <c r="V9" i="6"/>
  <c r="X9" i="6"/>
  <c r="V8" i="6"/>
  <c r="X8" i="6"/>
  <c r="V7" i="6"/>
  <c r="X7" i="6"/>
  <c r="V6" i="6"/>
  <c r="X6" i="6"/>
  <c r="AD15" i="6"/>
  <c r="W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C15" i="6"/>
  <c r="B15" i="6"/>
  <c r="A15" i="6"/>
  <c r="AD14" i="6"/>
  <c r="W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C14" i="6"/>
  <c r="B14" i="6"/>
  <c r="A14" i="6"/>
  <c r="AD13" i="6"/>
  <c r="W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C13" i="6"/>
  <c r="B13" i="6"/>
  <c r="A13" i="6"/>
  <c r="AD12" i="6"/>
  <c r="W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C12" i="6"/>
  <c r="B12" i="6"/>
  <c r="A12" i="6"/>
  <c r="AD11" i="6"/>
  <c r="W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C11" i="6"/>
  <c r="B11" i="6"/>
  <c r="A11" i="6"/>
  <c r="AD10" i="6"/>
  <c r="W10" i="6"/>
  <c r="U10" i="6"/>
  <c r="BK10" i="6"/>
  <c r="BL10" i="6"/>
  <c r="BP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C10" i="6"/>
  <c r="B10" i="6"/>
  <c r="A10" i="6"/>
  <c r="AD9" i="6"/>
  <c r="W9" i="6"/>
  <c r="U9" i="6"/>
  <c r="BK9" i="6"/>
  <c r="BL9" i="6"/>
  <c r="BP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CD9" i="6"/>
  <c r="CC9" i="6"/>
  <c r="CB9" i="6"/>
  <c r="BO9" i="6"/>
  <c r="BN9" i="6"/>
  <c r="BM9" i="6"/>
  <c r="I9" i="6"/>
  <c r="H9" i="6"/>
  <c r="G9" i="6"/>
  <c r="C9" i="6"/>
  <c r="B9" i="6"/>
  <c r="A9" i="6"/>
  <c r="W8" i="6"/>
  <c r="U8" i="6"/>
  <c r="BK8" i="6"/>
  <c r="BL8" i="6"/>
  <c r="AD8" i="6"/>
  <c r="BP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AD7" i="6"/>
  <c r="W7" i="6"/>
  <c r="U7" i="6"/>
  <c r="BK7" i="6"/>
  <c r="BL7" i="6"/>
  <c r="BP7" i="6"/>
  <c r="BS7" i="6"/>
  <c r="BV7" i="6"/>
  <c r="Y7" i="6"/>
  <c r="Z7" i="6"/>
  <c r="AA7" i="6"/>
  <c r="BY7" i="6"/>
  <c r="AE7" i="6"/>
  <c r="BQ7" i="6"/>
  <c r="BT7" i="6"/>
  <c r="BW7" i="6"/>
  <c r="BZ7" i="6"/>
  <c r="AF7" i="6"/>
  <c r="BR7" i="6"/>
  <c r="BU7" i="6"/>
  <c r="BX7" i="6"/>
  <c r="CA7" i="6"/>
  <c r="CE7" i="6"/>
  <c r="AB7" i="6"/>
  <c r="AC7" i="6"/>
  <c r="AG7" i="6"/>
  <c r="AJ7" i="6"/>
  <c r="AM7" i="6"/>
  <c r="AP7" i="6"/>
  <c r="AS7" i="6"/>
  <c r="AH7" i="6"/>
  <c r="AK7" i="6"/>
  <c r="AN7" i="6"/>
  <c r="AQ7" i="6"/>
  <c r="AT7" i="6"/>
  <c r="AI7" i="6"/>
  <c r="AL7" i="6"/>
  <c r="AO7" i="6"/>
  <c r="AR7" i="6"/>
  <c r="AU7" i="6"/>
  <c r="AV7" i="6"/>
  <c r="CF7" i="6"/>
  <c r="AW7" i="6"/>
  <c r="AZ7" i="6"/>
  <c r="BC7" i="6"/>
  <c r="BF7" i="6"/>
  <c r="AX7" i="6"/>
  <c r="BA7" i="6"/>
  <c r="BD7" i="6"/>
  <c r="BG7" i="6"/>
  <c r="AY7" i="6"/>
  <c r="BB7" i="6"/>
  <c r="BE7" i="6"/>
  <c r="BH7" i="6"/>
  <c r="BI7" i="6"/>
  <c r="BJ7" i="6"/>
  <c r="CG7" i="6"/>
  <c r="CD7" i="6"/>
  <c r="CC7" i="6"/>
  <c r="CB7" i="6"/>
  <c r="BO7" i="6"/>
  <c r="BN7" i="6"/>
  <c r="BM7" i="6"/>
  <c r="I7" i="6"/>
  <c r="H7" i="6"/>
  <c r="G7" i="6"/>
  <c r="C7" i="6"/>
  <c r="B7" i="6"/>
  <c r="A7" i="6"/>
  <c r="AB6" i="10"/>
  <c r="BE6" i="10"/>
  <c r="BA6" i="10"/>
  <c r="BF6" i="10"/>
  <c r="BG6" i="10"/>
  <c r="BH6" i="10"/>
  <c r="Y6" i="10"/>
  <c r="Z6" i="10"/>
  <c r="AA6" i="10"/>
  <c r="BL6" i="10"/>
  <c r="AC6" i="8"/>
  <c r="AY6" i="8"/>
  <c r="BB6" i="8"/>
  <c r="BE6" i="8"/>
  <c r="Z6" i="7"/>
  <c r="BB6" i="7"/>
  <c r="AA6" i="7"/>
  <c r="BC6" i="7"/>
  <c r="AH6" i="7"/>
  <c r="BH6" i="7"/>
  <c r="BK6" i="7"/>
  <c r="AI6" i="7"/>
  <c r="BI6" i="7"/>
  <c r="BL6" i="7"/>
  <c r="C6" i="6"/>
  <c r="AW6" i="6"/>
  <c r="AZ6" i="6"/>
  <c r="Y6" i="6"/>
  <c r="Z6" i="6"/>
  <c r="AA6" i="6"/>
  <c r="BC6" i="6"/>
  <c r="BF6" i="6"/>
  <c r="AX6" i="6"/>
  <c r="BA6" i="6"/>
  <c r="BD6" i="6"/>
  <c r="BG6" i="6"/>
  <c r="AY6" i="6"/>
  <c r="BB6" i="6"/>
  <c r="BE6" i="6"/>
  <c r="BH6" i="6"/>
  <c r="BI6" i="6"/>
  <c r="U6" i="6"/>
  <c r="AB6" i="6"/>
  <c r="W6" i="6"/>
  <c r="AC6" i="6"/>
  <c r="AD6" i="6"/>
  <c r="AG6" i="6"/>
  <c r="AJ6" i="6"/>
  <c r="AM6" i="6"/>
  <c r="AP6" i="6"/>
  <c r="AS6" i="6"/>
  <c r="AE6" i="6"/>
  <c r="AH6" i="6"/>
  <c r="AK6" i="6"/>
  <c r="AN6" i="6"/>
  <c r="AQ6" i="6"/>
  <c r="AT6" i="6"/>
  <c r="AF6" i="6"/>
  <c r="AI6" i="6"/>
  <c r="AL6" i="6"/>
  <c r="AO6" i="6"/>
  <c r="AR6" i="6"/>
  <c r="AU6" i="6"/>
  <c r="AV6" i="6"/>
  <c r="BJ6" i="6"/>
  <c r="BK6" i="6"/>
  <c r="BL6" i="6"/>
  <c r="BP6" i="6"/>
  <c r="BS6" i="6"/>
  <c r="BV6" i="6"/>
  <c r="BY6" i="6"/>
  <c r="BQ6" i="6"/>
  <c r="BT6" i="6"/>
  <c r="BW6" i="6"/>
  <c r="BZ6" i="6"/>
  <c r="BR6" i="6"/>
  <c r="BU6" i="6"/>
  <c r="BX6" i="6"/>
  <c r="CA6" i="6"/>
  <c r="CE6" i="6"/>
  <c r="CF6" i="6"/>
  <c r="CG6" i="6"/>
  <c r="CD6" i="6"/>
  <c r="CC6" i="6"/>
  <c r="CB6" i="6"/>
  <c r="BO6" i="6"/>
  <c r="BN6" i="6"/>
  <c r="BM6" i="6"/>
  <c r="I6" i="6"/>
  <c r="H6" i="6"/>
  <c r="G6" i="6"/>
  <c r="B6" i="6"/>
  <c r="A6" i="6"/>
  <c r="AZ6" i="8"/>
  <c r="BC6" i="8"/>
  <c r="BF6" i="8"/>
  <c r="AB7" i="10"/>
  <c r="Y7" i="10"/>
  <c r="Z7" i="10"/>
  <c r="AA7" i="10"/>
  <c r="BE7" i="10"/>
  <c r="BA7" i="10"/>
  <c r="BF7" i="10"/>
  <c r="BG7" i="10"/>
  <c r="BH7" i="10"/>
  <c r="BL7" i="10"/>
  <c r="AX7" i="10"/>
  <c r="BB7" i="10"/>
  <c r="BI7" i="10"/>
  <c r="BM7" i="10"/>
  <c r="AY7" i="10"/>
  <c r="BC7" i="10"/>
  <c r="BJ7" i="10"/>
  <c r="BN7" i="10"/>
  <c r="AZ7" i="10"/>
  <c r="BD7" i="10"/>
  <c r="BK7" i="10"/>
  <c r="BO7" i="10"/>
  <c r="AZ6" i="10"/>
  <c r="BD6" i="10"/>
  <c r="BK6" i="10"/>
  <c r="BO6" i="10"/>
  <c r="AY6" i="10"/>
  <c r="BC6" i="10"/>
  <c r="BJ6" i="10"/>
  <c r="BN6" i="10"/>
  <c r="AX6" i="10"/>
  <c r="BB6" i="10"/>
  <c r="BI6" i="10"/>
  <c r="BM6" i="10"/>
  <c r="AE6" i="10"/>
  <c r="X6" i="10"/>
  <c r="W6" i="10"/>
  <c r="AC6" i="10"/>
  <c r="AD6" i="10"/>
  <c r="AH6" i="10"/>
  <c r="AK6" i="10"/>
  <c r="AN6" i="10"/>
  <c r="AQ6" i="10"/>
  <c r="BV6" i="10"/>
  <c r="BW6" i="10"/>
  <c r="CA6" i="10"/>
  <c r="CD6" i="10"/>
  <c r="CG6" i="10"/>
  <c r="CJ6" i="10"/>
  <c r="AF6" i="10"/>
  <c r="CB6" i="10"/>
  <c r="CE6" i="10"/>
  <c r="CH6" i="10"/>
  <c r="CK6" i="10"/>
  <c r="AG6" i="10"/>
  <c r="CC6" i="10"/>
  <c r="CF6" i="10"/>
  <c r="CI6" i="10"/>
  <c r="CL6" i="10"/>
  <c r="CP6" i="10"/>
  <c r="AT6" i="10"/>
  <c r="AI6" i="10"/>
  <c r="AL6" i="10"/>
  <c r="AO6" i="10"/>
  <c r="AR6" i="10"/>
  <c r="AU6" i="10"/>
  <c r="AJ6" i="10"/>
  <c r="AM6" i="10"/>
  <c r="AP6" i="10"/>
  <c r="AS6" i="10"/>
  <c r="AV6" i="10"/>
  <c r="AW6" i="10"/>
  <c r="CQ6" i="10"/>
  <c r="A7" i="10"/>
  <c r="B6" i="10"/>
  <c r="C6" i="10"/>
  <c r="A6" i="10"/>
  <c r="BA6" i="8"/>
  <c r="BD6" i="8"/>
  <c r="BG6" i="8"/>
  <c r="BY5" i="16"/>
  <c r="BX5" i="16"/>
  <c r="BW5" i="16"/>
  <c r="B6" i="8"/>
  <c r="C6" i="8"/>
  <c r="A6" i="8"/>
  <c r="BO5" i="8"/>
  <c r="BP5" i="8"/>
  <c r="BQ5" i="8"/>
  <c r="X6" i="8"/>
  <c r="AD6" i="8"/>
  <c r="Y6" i="8"/>
  <c r="Z6" i="8"/>
  <c r="AA6" i="8"/>
  <c r="AB6" i="8"/>
  <c r="AF6" i="8"/>
  <c r="AG6" i="8"/>
  <c r="AH6" i="8"/>
  <c r="BO6" i="8"/>
  <c r="C6" i="7"/>
  <c r="B6" i="7"/>
  <c r="A6" i="7"/>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5" i="9"/>
  <c r="BX5" i="9"/>
  <c r="BW5" i="9"/>
  <c r="AZ6" i="7"/>
  <c r="BF6" i="7"/>
  <c r="BE6" i="7"/>
  <c r="AG6" i="7"/>
  <c r="BD6" i="7"/>
  <c r="AE6" i="7"/>
  <c r="BF5" i="7"/>
  <c r="BE5" i="7"/>
  <c r="BD5" i="7"/>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BN5" i="6"/>
  <c r="BO5" i="6"/>
  <c r="BM5" i="6"/>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AS6" i="7"/>
  <c r="AV6" i="7"/>
  <c r="BG6" i="7"/>
  <c r="BJ6" i="7"/>
  <c r="BM6" i="7"/>
  <c r="BP6" i="7"/>
  <c r="BS6" i="7"/>
  <c r="BN6" i="7"/>
  <c r="BQ6" i="7"/>
  <c r="BT6" i="7"/>
  <c r="BO6" i="7"/>
  <c r="BR6" i="7"/>
  <c r="BU6" i="7"/>
  <c r="CD7" i="10"/>
  <c r="CG7" i="10"/>
  <c r="CJ7" i="10"/>
  <c r="CM7" i="10"/>
  <c r="BU6" i="10"/>
  <c r="AW7" i="10"/>
  <c r="BU7" i="10"/>
  <c r="AY6" i="7"/>
  <c r="BA6" i="7"/>
  <c r="CP7" i="10"/>
  <c r="CQ7" i="10"/>
  <c r="CR7" i="10"/>
  <c r="CR6" i="10"/>
  <c r="BV6" i="7"/>
  <c r="BW6" i="7"/>
  <c r="BX6" i="7"/>
  <c r="A33" i="1"/>
  <c r="D33" i="1"/>
  <c r="E33" i="1"/>
  <c r="F33" i="1"/>
  <c r="H7" i="1"/>
  <c r="C33" i="1"/>
  <c r="B33" i="1"/>
  <c r="J7" i="1"/>
  <c r="K33" i="1"/>
  <c r="J33" i="1"/>
  <c r="I33" i="1"/>
  <c r="G33" i="1"/>
  <c r="L33" i="1"/>
  <c r="H33" i="1"/>
  <c r="R33" i="1"/>
  <c r="X33" i="1"/>
  <c r="AD33" i="1"/>
  <c r="AJ33" i="1"/>
  <c r="P33" i="1"/>
  <c r="V33" i="1"/>
  <c r="AB33" i="1"/>
  <c r="AH33" i="1"/>
  <c r="AN33" i="1"/>
  <c r="O33" i="1"/>
  <c r="Q33" i="1"/>
  <c r="W33" i="1"/>
  <c r="AC33" i="1"/>
  <c r="AI33" i="1"/>
  <c r="AO33" i="1"/>
  <c r="M33" i="1"/>
  <c r="N33" i="1"/>
  <c r="T33" i="1"/>
  <c r="Z33" i="1"/>
  <c r="AF33" i="1"/>
  <c r="AL33" i="1"/>
  <c r="U33" i="1"/>
  <c r="AA33" i="1"/>
  <c r="AG33" i="1"/>
  <c r="AM33" i="1"/>
  <c r="S33" i="1"/>
  <c r="AQ33" i="1"/>
  <c r="Y33" i="1"/>
  <c r="AE33" i="1"/>
  <c r="AP33" i="1"/>
  <c r="AR33" i="1"/>
  <c r="AS33" i="1"/>
  <c r="AK33" i="1"/>
</calcChain>
</file>

<file path=xl/sharedStrings.xml><?xml version="1.0" encoding="utf-8"?>
<sst xmlns="http://schemas.openxmlformats.org/spreadsheetml/2006/main" count="2011" uniqueCount="588">
  <si>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</si>
  <si>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</si>
  <si>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</si>
  <si>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</si>
  <si>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</si>
  <si>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</si>
  <si>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</si>
  <si>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</si>
  <si>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</si>
  <si>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</si>
  <si>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</si>
  <si>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</si>
  <si>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</si>
  <si>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</si>
  <si>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</si>
  <si>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</si>
  <si>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</si>
  <si>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</si>
  <si>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</si>
  <si>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</si>
  <si>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</si>
  <si>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</si>
  <si>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</si>
  <si>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</si>
  <si>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</si>
  <si>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</si>
  <si>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</si>
  <si>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</si>
  <si>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</si>
  <si>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</si>
  <si>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</si>
  <si>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</si>
  <si>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</si>
  <si>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</si>
  <si>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</si>
  <si>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</si>
  <si>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</si>
  <si>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</si>
  <si>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</si>
  <si>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</si>
  <si>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</si>
  <si>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</si>
  <si>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</si>
  <si>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</si>
  <si>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</si>
  <si>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</si>
  <si>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</si>
  <si>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</si>
  <si>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</si>
  <si>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</si>
  <si>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</si>
  <si>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</si>
  <si>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</si>
  <si>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</si>
  <si>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</si>
  <si>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</si>
  <si>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</si>
  <si>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</si>
  <si>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</si>
  <si>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</si>
  <si>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</si>
  <si>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</si>
  <si>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</si>
  <si>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</si>
  <si>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</si>
  <si>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</si>
  <si>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</si>
  <si>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</si>
  <si>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</si>
  <si>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</si>
  <si>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</si>
  <si>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</si>
  <si>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</si>
  <si>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</si>
  <si>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</si>
  <si>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</si>
  <si>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</si>
  <si>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</si>
  <si>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</si>
  <si>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</si>
  <si>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</si>
  <si>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</si>
  <si>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</si>
  <si>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</si>
  <si>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</si>
  <si>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</si>
  <si>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</si>
  <si>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</si>
  <si>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</si>
  <si>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</si>
  <si>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</si>
  <si>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</si>
  <si>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</si>
  <si>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</si>
  <si>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</si>
  <si>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</si>
  <si>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</si>
  <si>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</si>
  <si>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</si>
  <si>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</si>
  <si>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</si>
  <si>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</si>
  <si>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</si>
  <si>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</si>
  <si>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</si>
  <si>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</si>
  <si>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</si>
  <si>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</si>
  <si>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</si>
  <si>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</si>
  <si>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</si>
  <si>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</si>
  <si>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</si>
  <si>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</si>
  <si>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</si>
  <si>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</si>
  <si>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</si>
  <si>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</si>
  <si>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</si>
  <si>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</si>
  <si>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</si>
  <si>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</si>
  <si>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</si>
  <si>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</si>
  <si>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</si>
  <si>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</si>
  <si>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</si>
  <si>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</si>
  <si>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</si>
  <si>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</si>
  <si>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</si>
  <si>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</si>
  <si>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</si>
  <si>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</si>
  <si>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</si>
  <si>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</si>
  <si>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</si>
  <si>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</si>
  <si>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</si>
  <si>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</si>
  <si>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</si>
  <si>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</si>
  <si>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</si>
  <si>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</si>
  <si>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</si>
  <si>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</si>
  <si>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</si>
  <si>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</si>
  <si>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</si>
  <si>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</si>
  <si>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</si>
  <si>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</si>
  <si>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</si>
  <si>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</si>
  <si>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</si>
  <si>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</si>
  <si>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</si>
  <si>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</si>
  <si>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</si>
  <si>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</si>
  <si>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</si>
  <si>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</si>
  <si>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</si>
  <si>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</si>
  <si>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</si>
  <si>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</si>
  <si>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</si>
  <si>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</si>
  <si>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</si>
  <si>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</si>
  <si>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</si>
  <si>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</si>
  <si>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</si>
  <si>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</si>
  <si>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</si>
  <si>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</si>
  <si>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</si>
  <si>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</si>
  <si>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</si>
  <si>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</si>
  <si>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</si>
  <si>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</si>
  <si>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</si>
  <si>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</si>
  <si>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</si>
  <si>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</si>
  <si>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</si>
  <si>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</si>
  <si>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</si>
  <si>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</si>
  <si>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</si>
  <si>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</si>
  <si>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</si>
  <si>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</si>
  <si>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</si>
  <si>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</si>
  <si>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</si>
  <si>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</si>
  <si>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</si>
  <si>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</si>
  <si>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</si>
  <si>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</si>
  <si>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</si>
  <si>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</si>
  <si>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</si>
  <si>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</si>
  <si>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</si>
  <si>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</si>
  <si>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</si>
  <si>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</si>
  <si>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</si>
  <si>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</si>
  <si>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</si>
  <si>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</si>
  <si>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</si>
  <si>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</si>
  <si>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</si>
  <si>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</si>
  <si>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</si>
  <si>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</si>
  <si>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</si>
  <si>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</si>
  <si>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</si>
  <si>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</si>
  <si>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</si>
  <si>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</si>
  <si>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</si>
  <si>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</si>
  <si>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</si>
  <si>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</si>
  <si>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</si>
  <si>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</si>
  <si>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</si>
  <si>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</si>
  <si>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</si>
  <si>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</si>
  <si>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</si>
  <si>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</si>
  <si>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</si>
  <si>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</si>
  <si>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</si>
  <si>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</si>
  <si>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</si>
  <si>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</si>
  <si>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</si>
  <si>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</si>
  <si>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</si>
  <si>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</si>
  <si>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</si>
  <si>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</si>
  <si>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</si>
  <si>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</si>
  <si>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</si>
  <si>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</si>
  <si>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</si>
  <si>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</si>
  <si>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</si>
  <si>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</si>
  <si>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</si>
  <si>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</si>
  <si>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</si>
  <si>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</si>
  <si>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</si>
  <si>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</si>
  <si>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</si>
  <si>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</si>
  <si>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</si>
  <si>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</si>
  <si>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</si>
  <si>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</si>
  <si>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</si>
  <si>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</si>
  <si>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</si>
  <si>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</si>
  <si>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</si>
  <si>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</si>
  <si>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</si>
  <si>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</si>
  <si>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</si>
  <si>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</si>
  <si>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</si>
  <si>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</si>
  <si>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</si>
  <si>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</si>
  <si>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</si>
  <si>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</si>
  <si>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</si>
  <si>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</si>
  <si>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</si>
  <si>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</si>
  <si>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</si>
  <si>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</si>
  <si>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</si>
  <si>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</si>
  <si>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</si>
  <si>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</si>
  <si>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</si>
  <si>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</si>
  <si>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</si>
  <si>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</si>
  <si>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</si>
  <si>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</si>
  <si>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</si>
  <si>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</si>
  <si>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</si>
  <si>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</si>
  <si>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</si>
  <si>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</si>
  <si>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</si>
  <si>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</si>
  <si>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</si>
  <si>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</si>
  <si>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</si>
  <si>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</si>
  <si>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</si>
  <si>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</si>
  <si>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</si>
  <si>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</si>
  <si>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</si>
  <si>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</si>
  <si>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</si>
  <si>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</si>
  <si>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</si>
  <si>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</si>
  <si>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</si>
  <si>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</si>
  <si>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</si>
  <si>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</si>
  <si>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</si>
  <si>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</si>
  <si>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</si>
  <si>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</si>
  <si>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</si>
  <si>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</si>
  <si>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</si>
  <si>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</si>
  <si>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</si>
  <si>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</si>
  <si>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</si>
  <si>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</si>
  <si>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</si>
  <si>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</si>
  <si>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</si>
  <si>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</si>
  <si>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</si>
  <si>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</si>
  <si>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</si>
  <si>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</si>
  <si>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</si>
  <si>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</si>
  <si>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</si>
  <si>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</si>
  <si>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</si>
  <si>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</si>
  <si>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</si>
  <si>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</si>
  <si>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</si>
  <si>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</si>
  <si>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</si>
  <si>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</si>
  <si>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</si>
  <si>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</si>
  <si>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</si>
  <si>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</si>
  <si>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</si>
  <si>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</si>
  <si>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</si>
  <si>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</si>
  <si>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</si>
  <si>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</si>
  <si>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</si>
  <si>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</si>
  <si>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</si>
  <si>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</si>
  <si>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</si>
  <si>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</si>
  <si>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</si>
  <si>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</si>
  <si>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</si>
  <si>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</si>
  <si>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</si>
  <si>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</si>
  <si>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</si>
  <si>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</si>
  <si>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</si>
  <si>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</si>
  <si>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</si>
  <si>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</si>
  <si>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</si>
  <si>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</si>
  <si>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</si>
  <si>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</si>
  <si>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</si>
  <si>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</si>
  <si>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</si>
  <si>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</si>
  <si>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</si>
  <si>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</si>
  <si>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</si>
  <si>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</si>
  <si>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</si>
  <si>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</si>
  <si>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</si>
  <si>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</si>
  <si>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</si>
  <si>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</si>
  <si>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</si>
  <si>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</si>
  <si>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</si>
  <si>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</si>
  <si>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</si>
  <si>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</si>
  <si>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</si>
  <si>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</si>
  <si>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</si>
  <si>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</si>
  <si>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</si>
  <si>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</si>
  <si>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</si>
  <si>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</si>
  <si>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</si>
  <si>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</si>
  <si>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</si>
  <si>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</si>
  <si>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</si>
  <si>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</si>
  <si>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</si>
  <si>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</si>
  <si>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</si>
  <si>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</si>
  <si>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</si>
  <si>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</si>
  <si>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</si>
  <si>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</si>
  <si>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</si>
  <si>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</si>
  <si>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</si>
  <si>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</si>
  <si>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</si>
  <si>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</si>
  <si>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</si>
  <si>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</si>
  <si>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</si>
  <si>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</si>
  <si>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</si>
  <si>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</si>
  <si>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</si>
  <si>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</si>
  <si>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</si>
  <si>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</si>
  <si>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</si>
  <si>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</si>
  <si>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</si>
  <si>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</si>
  <si>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</si>
  <si>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</si>
  <si>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</si>
  <si>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</si>
  <si>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</si>
  <si>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</si>
  <si>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</si>
  <si>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</si>
  <si>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</si>
  <si>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</si>
  <si>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</si>
  <si>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</si>
  <si>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</si>
  <si>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</si>
  <si>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</si>
  <si>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</si>
  <si>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</si>
  <si>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</si>
  <si>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</si>
  <si>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</si>
  <si>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</si>
  <si>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</si>
  <si>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</si>
  <si>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</si>
  <si>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</si>
  <si>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</si>
  <si>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</si>
  <si>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</si>
  <si>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</si>
  <si>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</si>
  <si>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</si>
  <si>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</si>
  <si>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</si>
  <si>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</si>
  <si>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</si>
  <si>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</si>
  <si>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</si>
  <si>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</si>
  <si>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</si>
  <si>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</si>
  <si>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</si>
  <si>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</si>
  <si>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</si>
  <si>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</si>
  <si>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</si>
  <si>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</si>
  <si>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</si>
  <si>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</si>
  <si>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</si>
  <si>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</si>
  <si>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</si>
  <si>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</si>
  <si>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</si>
  <si>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</si>
  <si>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</si>
  <si>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</si>
  <si>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</si>
  <si>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</si>
  <si>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</si>
  <si>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</si>
  <si>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</si>
  <si>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</si>
  <si>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</si>
  <si>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</si>
  <si>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</si>
  <si>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</si>
  <si>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</si>
  <si>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</si>
  <si>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</si>
  <si>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</si>
  <si>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</si>
  <si>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</si>
  <si>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</si>
  <si>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</si>
  <si>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</si>
  <si>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</si>
  <si>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</si>
  <si>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</si>
  <si>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</si>
  <si>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</si>
  <si>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</si>
  <si>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</si>
  <si>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</si>
  <si>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</si>
  <si>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</si>
  <si>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</si>
  <si>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</si>
  <si>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</si>
  <si>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</si>
  <si>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</si>
  <si>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</si>
  <si>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</si>
  <si>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</si>
  <si>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</si>
  <si>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</si>
  <si>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</si>
  <si>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</si>
  <si>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</si>
  <si>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</si>
  <si>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</si>
  <si>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</si>
  <si>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</si>
  <si>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</si>
  <si>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</si>
  <si>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</si>
  <si>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</si>
  <si>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</si>
  <si>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</si>
  <si>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</si>
  <si>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</si>
  <si>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</si>
  <si>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</si>
  <si>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</si>
  <si>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</si>
  <si>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</si>
  <si>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</si>
  <si>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</si>
  <si>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</si>
  <si>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</si>
  <si>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</si>
  <si>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</si>
  <si>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</si>
  <si>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</si>
  <si>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</si>
  <si>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</si>
  <si>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</si>
  <si>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</si>
  <si>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</si>
  <si>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</si>
  <si>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H25 % Difference must be less than 10% below target</t>
  </si>
  <si>
    <t>H50 % Difference must be less than 10% below target</t>
  </si>
  <si>
    <t>H75 % Difference must be less than 10% below target</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</si>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</sst>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3"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medium">
        <color auto="1"/>
      </left>
      <right/>
      <top/>
      <bottom/>
      <diagonal/>
    </border>
    <border>
      <left style="thin">
        <color auto="1"/>
      </left>
      <right/>
      <top style="medium">
        <color auto="1"/>
      </top>
      <bottom style="medium">
        <color auto="1"/>
      </bottom>
      <diagonal/>
    </border>
  </borders>
  <cellStyleXfs count="1387">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6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7"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27" fillId="0" borderId="1" xfId="0" applyFont="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13" fillId="0" borderId="0" xfId="0" applyFont="1" applyBorder="1" applyAlignment="1"/>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8" borderId="55"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6"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6"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0"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29" fillId="0" borderId="37"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9" fillId="0" borderId="3" xfId="0" applyFont="1" applyBorder="1" applyAlignment="1">
      <alignment horizontal="center" vertical="center"/>
    </xf>
    <xf numFmtId="0" fontId="29"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29" fillId="0" borderId="4" xfId="0" applyFont="1" applyBorder="1" applyAlignment="1">
      <alignment horizontal="center" vertical="center"/>
    </xf>
    <xf numFmtId="0" fontId="29" fillId="0" borderId="34" xfId="0" applyFont="1" applyBorder="1" applyAlignment="1">
      <alignment horizontal="center" vertical="center"/>
    </xf>
    <xf numFmtId="0" fontId="29" fillId="0" borderId="38" xfId="0" applyFont="1" applyBorder="1" applyAlignment="1">
      <alignment horizontal="center" vertical="center"/>
    </xf>
    <xf numFmtId="0" fontId="29" fillId="0" borderId="4" xfId="0" applyFont="1" applyBorder="1" applyAlignment="1">
      <alignment horizontal="center" vertical="center" wrapText="1"/>
    </xf>
  </cellXfs>
  <cellStyles count="138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5"/>
  <sheetViews>
    <sheetView topLeftCell="BF7" zoomScale="125" zoomScaleNormal="125" zoomScalePageLayoutView="125" workbookViewId="0">
      <selection activeCell="D12" sqref="A12:XFD12"/>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157" t="s">
        <v>430</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75"/>
      <c r="BK2" s="157" t="s">
        <v>350</v>
      </c>
      <c r="BL2" s="158"/>
      <c r="BM2" s="158"/>
      <c r="BN2" s="158"/>
      <c r="BO2" s="158"/>
      <c r="BP2" s="158"/>
      <c r="BQ2" s="158"/>
      <c r="BR2" s="158"/>
      <c r="BS2" s="158"/>
      <c r="BT2" s="158"/>
      <c r="BU2" s="158"/>
      <c r="BV2" s="158"/>
      <c r="BW2" s="158"/>
      <c r="BX2" s="158"/>
      <c r="BY2" s="158"/>
      <c r="BZ2" s="158"/>
      <c r="CA2" s="158"/>
      <c r="CB2" s="158"/>
      <c r="CC2" s="158"/>
      <c r="CD2" s="158"/>
      <c r="CE2" s="158"/>
      <c r="CF2" s="158"/>
      <c r="CG2" s="159"/>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5"/>
      <c r="U3" s="166" t="s">
        <v>347</v>
      </c>
      <c r="V3" s="167"/>
      <c r="W3" s="167"/>
      <c r="X3" s="167"/>
      <c r="Y3" s="167"/>
      <c r="Z3" s="167"/>
      <c r="AA3" s="167"/>
      <c r="AB3" s="168"/>
      <c r="AC3" s="169" t="s">
        <v>431</v>
      </c>
      <c r="AD3" s="170"/>
      <c r="AE3" s="170"/>
      <c r="AF3" s="170"/>
      <c r="AG3" s="170"/>
      <c r="AH3" s="170"/>
      <c r="AI3" s="170"/>
      <c r="AJ3" s="170"/>
      <c r="AK3" s="170"/>
      <c r="AL3" s="170"/>
      <c r="AM3" s="170"/>
      <c r="AN3" s="170"/>
      <c r="AO3" s="170"/>
      <c r="AP3" s="170"/>
      <c r="AQ3" s="170"/>
      <c r="AR3" s="170"/>
      <c r="AS3" s="170"/>
      <c r="AT3" s="170"/>
      <c r="AU3" s="170"/>
      <c r="AV3" s="171"/>
      <c r="AW3" s="172" t="s">
        <v>432</v>
      </c>
      <c r="AX3" s="173"/>
      <c r="AY3" s="173"/>
      <c r="AZ3" s="173"/>
      <c r="BA3" s="173"/>
      <c r="BB3" s="173"/>
      <c r="BC3" s="173"/>
      <c r="BD3" s="173"/>
      <c r="BE3" s="173"/>
      <c r="BF3" s="173"/>
      <c r="BG3" s="173"/>
      <c r="BH3" s="173"/>
      <c r="BI3" s="173"/>
      <c r="BJ3" s="174"/>
      <c r="BK3" s="160" t="s">
        <v>433</v>
      </c>
      <c r="BL3" s="161"/>
      <c r="BM3" s="161"/>
      <c r="BN3" s="161"/>
      <c r="BO3" s="161"/>
      <c r="BP3" s="161"/>
      <c r="BQ3" s="161"/>
      <c r="BR3" s="161"/>
      <c r="BS3" s="161"/>
      <c r="BT3" s="161"/>
      <c r="BU3" s="161"/>
      <c r="BV3" s="161"/>
      <c r="BW3" s="161"/>
      <c r="BX3" s="161"/>
      <c r="BY3" s="161"/>
      <c r="BZ3" s="161"/>
      <c r="CA3" s="161"/>
      <c r="CB3" s="161"/>
      <c r="CC3" s="161"/>
      <c r="CD3" s="161"/>
      <c r="CE3" s="161"/>
      <c r="CF3" s="161"/>
      <c r="CG3" s="162"/>
      <c r="CH3" s="99"/>
    </row>
    <row r="4" spans="1:86" s="16" customFormat="1" ht="52.5" customHeight="1">
      <c r="A4" s="56"/>
      <c r="B4" s="56"/>
      <c r="C4" s="56"/>
      <c r="D4" s="56"/>
      <c r="E4" s="56"/>
      <c r="F4" s="66" t="s">
        <v>367</v>
      </c>
      <c r="G4" s="56"/>
      <c r="H4" s="66"/>
      <c r="I4" s="56"/>
      <c r="J4" s="66" t="s">
        <v>351</v>
      </c>
      <c r="K4" s="66" t="s">
        <v>352</v>
      </c>
      <c r="L4" s="66" t="s">
        <v>353</v>
      </c>
      <c r="M4" s="66" t="s">
        <v>354</v>
      </c>
      <c r="N4" s="66" t="s">
        <v>355</v>
      </c>
      <c r="O4" s="66" t="s">
        <v>356</v>
      </c>
      <c r="P4" s="66" t="s">
        <v>357</v>
      </c>
      <c r="Q4" s="66" t="s">
        <v>358</v>
      </c>
      <c r="R4" s="66" t="s">
        <v>359</v>
      </c>
      <c r="S4" s="66" t="s">
        <v>360</v>
      </c>
      <c r="T4" s="67" t="s">
        <v>361</v>
      </c>
      <c r="U4" s="70"/>
      <c r="V4" s="60" t="s">
        <v>368</v>
      </c>
      <c r="W4" s="60" t="s">
        <v>370</v>
      </c>
      <c r="X4" s="60" t="s">
        <v>371</v>
      </c>
      <c r="Y4" s="68"/>
      <c r="Z4" s="69" t="s">
        <v>373</v>
      </c>
      <c r="AA4" s="60" t="s">
        <v>374</v>
      </c>
      <c r="AB4" s="71" t="s">
        <v>375</v>
      </c>
      <c r="AC4" s="75" t="s">
        <v>376</v>
      </c>
      <c r="AD4" s="60" t="s">
        <v>377</v>
      </c>
      <c r="AE4" s="60" t="s">
        <v>378</v>
      </c>
      <c r="AF4" s="60" t="s">
        <v>379</v>
      </c>
      <c r="AG4" s="74" t="s">
        <v>380</v>
      </c>
      <c r="AH4" s="74" t="s">
        <v>411</v>
      </c>
      <c r="AI4" s="74" t="s">
        <v>381</v>
      </c>
      <c r="AJ4" s="60" t="s">
        <v>405</v>
      </c>
      <c r="AK4" s="60" t="s">
        <v>406</v>
      </c>
      <c r="AL4" s="60" t="s">
        <v>407</v>
      </c>
      <c r="AM4" s="60" t="s">
        <v>408</v>
      </c>
      <c r="AN4" s="60" t="s">
        <v>409</v>
      </c>
      <c r="AO4" s="60" t="s">
        <v>410</v>
      </c>
      <c r="AP4" s="60" t="s">
        <v>412</v>
      </c>
      <c r="AQ4" s="60" t="s">
        <v>413</v>
      </c>
      <c r="AR4" s="60" t="s">
        <v>414</v>
      </c>
      <c r="AS4" s="74" t="s">
        <v>391</v>
      </c>
      <c r="AT4" s="74" t="s">
        <v>392</v>
      </c>
      <c r="AU4" s="74" t="s">
        <v>393</v>
      </c>
      <c r="AV4" s="71" t="s">
        <v>394</v>
      </c>
      <c r="AW4" s="78" t="s">
        <v>382</v>
      </c>
      <c r="AX4" s="66" t="s">
        <v>383</v>
      </c>
      <c r="AY4" s="66" t="s">
        <v>384</v>
      </c>
      <c r="AZ4" s="66" t="s">
        <v>385</v>
      </c>
      <c r="BA4" s="66" t="s">
        <v>386</v>
      </c>
      <c r="BB4" s="66" t="s">
        <v>387</v>
      </c>
      <c r="BC4" s="66" t="s">
        <v>388</v>
      </c>
      <c r="BD4" s="66" t="s">
        <v>389</v>
      </c>
      <c r="BE4" s="66" t="s">
        <v>390</v>
      </c>
      <c r="BF4" s="79" t="s">
        <v>395</v>
      </c>
      <c r="BG4" s="79" t="s">
        <v>396</v>
      </c>
      <c r="BH4" s="79" t="s">
        <v>397</v>
      </c>
      <c r="BI4" s="66" t="s">
        <v>398</v>
      </c>
      <c r="BJ4" s="67" t="s">
        <v>399</v>
      </c>
      <c r="BK4" s="83" t="s">
        <v>400</v>
      </c>
      <c r="BL4" s="80" t="s">
        <v>401</v>
      </c>
      <c r="BM4" s="60" t="s">
        <v>377</v>
      </c>
      <c r="BN4" s="60" t="s">
        <v>378</v>
      </c>
      <c r="BO4" s="60" t="s">
        <v>379</v>
      </c>
      <c r="BP4" s="74" t="s">
        <v>402</v>
      </c>
      <c r="BQ4" s="74" t="s">
        <v>403</v>
      </c>
      <c r="BR4" s="74" t="s">
        <v>404</v>
      </c>
      <c r="BS4" s="60" t="s">
        <v>415</v>
      </c>
      <c r="BT4" s="60" t="s">
        <v>416</v>
      </c>
      <c r="BU4" s="60" t="s">
        <v>417</v>
      </c>
      <c r="BV4" s="60" t="s">
        <v>418</v>
      </c>
      <c r="BW4" s="60" t="s">
        <v>419</v>
      </c>
      <c r="BX4" s="60" t="s">
        <v>420</v>
      </c>
      <c r="BY4" s="60" t="s">
        <v>421</v>
      </c>
      <c r="BZ4" s="60" t="s">
        <v>422</v>
      </c>
      <c r="CA4" s="60" t="s">
        <v>423</v>
      </c>
      <c r="CB4" s="74" t="s">
        <v>424</v>
      </c>
      <c r="CC4" s="74" t="s">
        <v>425</v>
      </c>
      <c r="CD4" s="74" t="s">
        <v>426</v>
      </c>
      <c r="CE4" s="81" t="s">
        <v>427</v>
      </c>
      <c r="CF4" s="81" t="s">
        <v>428</v>
      </c>
      <c r="CG4" s="82"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7"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88" t="s">
        <v>59</v>
      </c>
      <c r="BM5" s="88" t="str">
        <f t="shared" ref="BM5:BO5" si="0">AD5</f>
        <v>Calculate hydraulic power at 100% BEP</v>
      </c>
      <c r="BN5" s="88" t="str">
        <f t="shared" si="0"/>
        <v>Calculate hydraulic power at 75% BEP</v>
      </c>
      <c r="BO5" s="88" t="str">
        <f t="shared" si="0"/>
        <v>Calculate hydraulic power at 110% BEP</v>
      </c>
      <c r="BP5" s="88" t="s">
        <v>67</v>
      </c>
      <c r="BQ5" s="88" t="s">
        <v>66</v>
      </c>
      <c r="BR5" s="88" t="s">
        <v>65</v>
      </c>
      <c r="BS5" s="88" t="s">
        <v>303</v>
      </c>
      <c r="BT5" s="88" t="s">
        <v>304</v>
      </c>
      <c r="BU5" s="88" t="s">
        <v>305</v>
      </c>
      <c r="BV5" s="88" t="s">
        <v>309</v>
      </c>
      <c r="BW5" s="88" t="s">
        <v>310</v>
      </c>
      <c r="BX5" s="88" t="s">
        <v>311</v>
      </c>
      <c r="BY5" s="88" t="s">
        <v>319</v>
      </c>
      <c r="BZ5" s="88" t="s">
        <v>320</v>
      </c>
      <c r="CA5" s="88" t="s">
        <v>321</v>
      </c>
      <c r="CB5" s="88" t="s">
        <v>364</v>
      </c>
      <c r="CC5" s="88" t="s">
        <v>365</v>
      </c>
      <c r="CD5" s="88" t="s">
        <v>366</v>
      </c>
      <c r="CE5" s="88" t="s">
        <v>445</v>
      </c>
      <c r="CF5" s="88" t="s">
        <v>314</v>
      </c>
      <c r="CG5" s="47" t="s">
        <v>315</v>
      </c>
    </row>
    <row r="6" spans="1:86" s="18" customFormat="1" ht="65.25" customHeight="1">
      <c r="A6" s="38" t="e">
        <f>#REF!</f>
        <v>#REF!</v>
      </c>
      <c r="B6" s="38" t="e">
        <f>#REF!</f>
        <v>#REF!</v>
      </c>
      <c r="C6" s="38" t="e">
        <f>#REF!</f>
        <v>#REF!</v>
      </c>
      <c r="D6" s="38" t="s">
        <v>76</v>
      </c>
      <c r="E6" s="38">
        <v>4</v>
      </c>
      <c r="F6" s="38">
        <v>3600</v>
      </c>
      <c r="G6" s="61" t="e">
        <f>#REF!</f>
        <v>#REF!</v>
      </c>
      <c r="H6" s="61" t="e">
        <f>#REF!</f>
        <v>#REF!</v>
      </c>
      <c r="I6" s="61" t="e">
        <f>#REF!</f>
        <v>#REF!</v>
      </c>
      <c r="J6" s="61">
        <v>8</v>
      </c>
      <c r="K6" s="61">
        <v>349.83050847457599</v>
      </c>
      <c r="L6" s="61">
        <v>424.42976156276899</v>
      </c>
      <c r="M6" s="61">
        <v>51.414352154260818</v>
      </c>
      <c r="N6" s="62">
        <v>262.37288135593218</v>
      </c>
      <c r="O6" s="62">
        <v>498.89112324044811</v>
      </c>
      <c r="P6" s="62">
        <v>49.201251494128293</v>
      </c>
      <c r="Q6" s="62">
        <v>384.81355932203388</v>
      </c>
      <c r="R6" s="62">
        <v>383.47601264004595</v>
      </c>
      <c r="S6" s="62">
        <v>51.808353464019966</v>
      </c>
      <c r="T6" s="62">
        <v>53</v>
      </c>
      <c r="U6" s="72" t="str">
        <f t="shared" ref="U6:U10" si="1">D6&amp;-F6</f>
        <v>ST-3600</v>
      </c>
      <c r="V6" s="59">
        <f>T6/(IF(D6=Lookup!$A$56,1.15,1))</f>
        <v>46.086956521739133</v>
      </c>
      <c r="W6" s="59">
        <f t="shared" ref="W6:W10" si="2">((F6*SQRT(K6)/(L6/J6)^0.75))</f>
        <v>3425.2672288753165</v>
      </c>
      <c r="X6" s="39">
        <f>INDEX(Lookup!$E$27:$E$46,(MATCH(V6,Lookup!$E$27:$E$46,-1)))</f>
        <v>50</v>
      </c>
      <c r="Y6" s="63" t="str">
        <f t="shared" ref="Y6:Y10" si="3">D6&amp;-X6&amp;-F6</f>
        <v>ST-50-3600</v>
      </c>
      <c r="Z6" s="39">
        <f>VLOOKUP(Y6,Lookup!$U$28:$V$227,2,FALSE)</f>
        <v>80</v>
      </c>
      <c r="AA6" s="63">
        <f t="shared" ref="AA6:AA10" si="4">X6/(Z6/100)-X6</f>
        <v>12.5</v>
      </c>
      <c r="AB6" s="73">
        <f>VLOOKUP(U6,Lookup!$N$27:$P$36,3,FALSE)</f>
        <v>134.85</v>
      </c>
      <c r="AC6" s="76">
        <f t="shared" ref="AC6:AC10" si="5">-0.85*(LN(K6))^2-0.38*LN(W6)*LN(K6)-11.48*(LN(W6))^2+17.8*LN(K6)+179.8*LN(W6)-(AB6+555.6)</f>
        <v>69.452784574764678</v>
      </c>
      <c r="AD6" s="59">
        <f t="shared" ref="AD6:AD10" si="6">K6*L6/3956</f>
        <v>37.532477072610348</v>
      </c>
      <c r="AE6" s="59">
        <f t="shared" ref="AE6:AE10" si="7">N6*O6/3956</f>
        <v>33.087841629801275</v>
      </c>
      <c r="AF6" s="59">
        <f t="shared" ref="AF6:AF10" si="8">Q6*R6/3956</f>
        <v>37.302014494094372</v>
      </c>
      <c r="AG6" s="59">
        <f t="shared" ref="AG6:AG10" si="9">AD6/(AC6/100)</f>
        <v>54.040276862056274</v>
      </c>
      <c r="AH6" s="59">
        <f t="shared" ref="AH6:AH10" si="10">AE6/(AC6/100*0.947)</f>
        <v>50.307043708077806</v>
      </c>
      <c r="AI6" s="59">
        <f t="shared" ref="AI6:AI10" si="11">AF6/(AC6/100*0.985)</f>
        <v>54.526345787434188</v>
      </c>
      <c r="AJ6" s="59">
        <f t="shared" ref="AJ6:AJ10" si="12">IF((AG6/X6)&gt;=1,1,(AG6/X6))</f>
        <v>1</v>
      </c>
      <c r="AK6" s="59">
        <f t="shared" ref="AK6:AK10" si="13">IF((AH6/X6)&gt;=1,1,(AH6/X6))</f>
        <v>1</v>
      </c>
      <c r="AL6" s="59">
        <f t="shared" ref="AL6:AL10" si="14">IF((AI6/X6)&gt;=1,1,(AI6/X6))</f>
        <v>1</v>
      </c>
      <c r="AM6" s="59">
        <f t="shared" ref="AM6" si="15">-0.4508*AJ6^3+1.2399*AJ6^2+-0.4301*AJ6+0.641</f>
        <v>1</v>
      </c>
      <c r="AN6" s="59">
        <f t="shared" ref="AN6" si="16">-0.4508*AK6^3+1.2399*AK6^2+-0.4301*AK6+0.641</f>
        <v>1</v>
      </c>
      <c r="AO6" s="59">
        <f t="shared" ref="AO6" si="17">-0.4508*AL6^3+1.2399*AL6^2+-0.4301*AL6+0.641</f>
        <v>1</v>
      </c>
      <c r="AP6" s="59">
        <f t="shared" ref="AP6:AP10" si="18">AM6*AA6</f>
        <v>12.5</v>
      </c>
      <c r="AQ6" s="59">
        <f t="shared" ref="AQ6:AQ10" si="19">AN6*AA6</f>
        <v>12.5</v>
      </c>
      <c r="AR6" s="59">
        <f t="shared" ref="AR6:AR10" si="20">AO6*AA6</f>
        <v>12.5</v>
      </c>
      <c r="AS6" s="59">
        <f t="shared" ref="AS6:AS10" si="21">AP6+AG6</f>
        <v>66.540276862056274</v>
      </c>
      <c r="AT6" s="59">
        <f t="shared" ref="AT6" si="22">AQ6+AH6</f>
        <v>62.807043708077806</v>
      </c>
      <c r="AU6" s="59">
        <f t="shared" ref="AU6" si="23">AR6+AI6</f>
        <v>67.026345787434195</v>
      </c>
      <c r="AV6" s="77">
        <f t="shared" ref="AV6:AV10" si="24">0.3333*(AS6)+0.3333*(AT6)+0.3333*(AU6)</f>
        <v>65.451342996977502</v>
      </c>
      <c r="AW6" s="76">
        <f t="shared" ref="AW6:AW10" si="25">IF((M6/X6)&gt;=1,1,(M6/X6))</f>
        <v>1</v>
      </c>
      <c r="AX6" s="59">
        <f t="shared" ref="AX6:AX10" si="26">IF((P6/X6)&gt;=1,1,(P6/X6))</f>
        <v>0.9840250298825659</v>
      </c>
      <c r="AY6" s="59">
        <f t="shared" ref="AY6:AY10" si="27">IF((S6/X6)&gt;=1,1,(S6/X6))</f>
        <v>1</v>
      </c>
      <c r="AZ6" s="59">
        <f t="shared" ref="AZ6:AZ10" si="28">-0.4508*(AW6)^3+1.2399*(AW6)^2+-0.4301*(AW6)+0.641</f>
        <v>1</v>
      </c>
      <c r="BA6" s="59">
        <f t="shared" ref="BA6" si="29">-0.4508*(AX6)^3+1.2399*(AX6)^2+-0.4301*(AX6)+0.641</f>
        <v>0.98883378119885323</v>
      </c>
      <c r="BB6" s="59">
        <f t="shared" ref="BB6" si="30">-0.4508*(AY6)^3+1.2399*(AY6)^2+-0.4301*(AY6)+0.641</f>
        <v>1</v>
      </c>
      <c r="BC6" s="59">
        <f t="shared" ref="BC6:BC10" si="31">AZ6*AA6</f>
        <v>12.5</v>
      </c>
      <c r="BD6" s="59">
        <f t="shared" ref="BD6:BD10" si="32">BA6*AA6</f>
        <v>12.360422264985665</v>
      </c>
      <c r="BE6" s="59">
        <f t="shared" ref="BE6:BE10" si="33">BB6*AA6</f>
        <v>12.5</v>
      </c>
      <c r="BF6" s="59">
        <f t="shared" ref="BF6:BF10" si="34">M6+BC6</f>
        <v>63.914352154260818</v>
      </c>
      <c r="BG6" s="59">
        <f t="shared" ref="BG6:BG10" si="35">P6+BD6</f>
        <v>61.561673759113958</v>
      </c>
      <c r="BH6" s="59">
        <f t="shared" ref="BH6:BH10" si="36">S6+BE6</f>
        <v>64.308353464019973</v>
      </c>
      <c r="BI6" s="59">
        <f t="shared" ref="BI6:BI10" si="37">0.3333*(BF6)+0.3333*(BG6)+0.3333*(BH6)</f>
        <v>63.255133646485675</v>
      </c>
      <c r="BJ6" s="77">
        <f t="shared" ref="BJ6:BJ10" si="38">BI6/AV6</f>
        <v>0.96644515987100144</v>
      </c>
      <c r="BK6" s="58">
        <f>VLOOKUP(U6,Lookup!$N$27:$P$36,2,FALSE)</f>
        <v>138.78</v>
      </c>
      <c r="BL6" s="59">
        <f t="shared" ref="BL6:BL10" si="39">-0.85*(LN(K6))^2-0.38*LN(W6)*LN(K6)-11.48*(LN(W6))^2+17.8*LN(K6)+179.8*LN(W6)-(BK6+555.6)</f>
        <v>65.522784574764728</v>
      </c>
      <c r="BM6" s="59">
        <f t="shared" ref="BM6" si="40">AD6</f>
        <v>37.532477072610348</v>
      </c>
      <c r="BN6" s="59">
        <f t="shared" ref="BN6" si="41">AE6</f>
        <v>33.087841629801275</v>
      </c>
      <c r="BO6" s="59">
        <f t="shared" ref="BO6" si="42">AF6</f>
        <v>37.302014494094372</v>
      </c>
      <c r="BP6" s="59">
        <f t="shared" ref="BP6:BP10" si="43">AD6/(BL6/100)</f>
        <v>57.281565971580378</v>
      </c>
      <c r="BQ6" s="59">
        <f t="shared" ref="BQ6:BQ10" si="44">AE6/(BL6/100*0.947)</f>
        <v>53.32441671894474</v>
      </c>
      <c r="BR6" s="59">
        <f t="shared" ref="BR6:BR10" si="45">AF6/(BL6/100*0.985)</f>
        <v>57.796788891086166</v>
      </c>
      <c r="BS6" s="59">
        <f t="shared" ref="BS6:BS15" si="46">IF(($BP6/$X6)&gt;=1,1,($BP6/$X6))</f>
        <v>1</v>
      </c>
      <c r="BT6" s="59">
        <f t="shared" ref="BT6:BU15" si="47">IF(($BQ6/$X6)&gt;=1,1,($BQ6/$X6))</f>
        <v>1</v>
      </c>
      <c r="BU6" s="59">
        <f t="shared" si="47"/>
        <v>1</v>
      </c>
      <c r="BV6" s="59">
        <f t="shared" ref="BV6" si="48">-0.4508*BS6^3+1.2399*BS6^2+-0.4301*BS6+0.641</f>
        <v>1</v>
      </c>
      <c r="BW6" s="59">
        <f t="shared" ref="BW6" si="49">-0.4508*BT6^3+1.2399*BT6^2+-0.4301*BT6+0.641</f>
        <v>1</v>
      </c>
      <c r="BX6" s="59">
        <f t="shared" ref="BX6" si="50">-0.4508*BU6^3+1.2399*BU6^2+-0.4301*BU6+0.641</f>
        <v>1</v>
      </c>
      <c r="BY6" s="59">
        <f t="shared" ref="BY6:BY10" si="51">BV6*AA6</f>
        <v>12.5</v>
      </c>
      <c r="BZ6" s="59">
        <f t="shared" ref="BZ6:BZ10" si="52">BW6*AA6</f>
        <v>12.5</v>
      </c>
      <c r="CA6" s="59">
        <f t="shared" ref="CA6:CA10" si="53">BX6*AA6</f>
        <v>12.5</v>
      </c>
      <c r="CB6" s="59">
        <f t="shared" ref="CB6:CB10" si="54">BY6+BP6</f>
        <v>69.781565971580378</v>
      </c>
      <c r="CC6" s="59">
        <f t="shared" ref="CC6" si="55">BZ6+BQ6</f>
        <v>65.824416718944747</v>
      </c>
      <c r="CD6" s="59">
        <f t="shared" ref="CD6" si="56">CA6+BR6</f>
        <v>70.296788891086166</v>
      </c>
      <c r="CE6" s="59">
        <f t="shared" ref="CE6:CE10" si="57">0.3333*(BP6+BY6)+0.3333*(BQ6+BZ6)+0.3333*(BR6+CA6)</f>
        <v>68.627393768151038</v>
      </c>
      <c r="CF6" s="59">
        <f t="shared" ref="CF6:CF10" si="58">CE6/AV6</f>
        <v>1.0485253720663945</v>
      </c>
      <c r="CG6" s="64">
        <f t="shared" ref="CG6:CG10" si="59">(CF6-BJ6)*100</f>
        <v>8.2080212195393081</v>
      </c>
    </row>
    <row r="7" spans="1:86" s="18" customFormat="1" ht="65.25" customHeight="1">
      <c r="A7" s="38" t="e">
        <f>#REF!</f>
        <v>#REF!</v>
      </c>
      <c r="B7" s="38" t="e">
        <f>#REF!</f>
        <v>#REF!</v>
      </c>
      <c r="C7" s="38" t="e">
        <f>#REF!</f>
        <v>#REF!</v>
      </c>
      <c r="D7" s="38" t="s">
        <v>75</v>
      </c>
      <c r="E7" s="38">
        <v>4</v>
      </c>
      <c r="F7" s="38">
        <v>3600</v>
      </c>
      <c r="G7" s="61" t="e">
        <f>#REF!</f>
        <v>#REF!</v>
      </c>
      <c r="H7" s="61" t="e">
        <f>#REF!</f>
        <v>#REF!</v>
      </c>
      <c r="I7" s="61" t="e">
        <f>#REF!</f>
        <v>#REF!</v>
      </c>
      <c r="J7" s="61">
        <v>2</v>
      </c>
      <c r="K7" s="61">
        <v>349.83050847457599</v>
      </c>
      <c r="L7" s="61">
        <v>424.42976156276899</v>
      </c>
      <c r="M7" s="61">
        <v>51.414352154260818</v>
      </c>
      <c r="N7" s="62">
        <v>262.37288135593218</v>
      </c>
      <c r="O7" s="62">
        <v>498.89112324044811</v>
      </c>
      <c r="P7" s="62">
        <v>49.201251494128293</v>
      </c>
      <c r="Q7" s="62">
        <v>384.81355932203388</v>
      </c>
      <c r="R7" s="62">
        <v>383.47601264004595</v>
      </c>
      <c r="S7" s="62">
        <v>51.808353464019966</v>
      </c>
      <c r="T7" s="62">
        <v>53</v>
      </c>
      <c r="U7" s="72" t="str">
        <f t="shared" si="1"/>
        <v>RSV-3600</v>
      </c>
      <c r="V7" s="59">
        <f>T7/(IF(D7=Lookup!$A$56,1.15,1))</f>
        <v>53</v>
      </c>
      <c r="W7" s="59">
        <f t="shared" si="2"/>
        <v>1211.0148424568945</v>
      </c>
      <c r="X7" s="39">
        <f>INDEX(Lookup!$E$27:$E$46,(MATCH(V7,Lookup!$E$27:$E$46,-1)))</f>
        <v>60</v>
      </c>
      <c r="Y7" s="63" t="str">
        <f t="shared" si="3"/>
        <v>RSV-60-3600</v>
      </c>
      <c r="Z7" s="39">
        <f>VLOOKUP(Y7,Lookup!$U$28:$V$227,2,FALSE)</f>
        <v>93.6</v>
      </c>
      <c r="AA7" s="63">
        <f t="shared" si="4"/>
        <v>4.1025641025641022</v>
      </c>
      <c r="AB7" s="73">
        <f>VLOOKUP(U7,Lookup!$N$27:$P$36,3,FALSE)</f>
        <v>133.19999999999999</v>
      </c>
      <c r="AC7" s="76">
        <f t="shared" si="5"/>
        <v>68.357691358811962</v>
      </c>
      <c r="AD7" s="59">
        <f t="shared" si="6"/>
        <v>37.532477072610348</v>
      </c>
      <c r="AE7" s="59">
        <f t="shared" si="7"/>
        <v>33.087841629801275</v>
      </c>
      <c r="AF7" s="59">
        <f t="shared" si="8"/>
        <v>37.302014494094372</v>
      </c>
      <c r="AG7" s="59">
        <f t="shared" si="9"/>
        <v>54.906004469344985</v>
      </c>
      <c r="AH7" s="59">
        <f t="shared" si="10"/>
        <v>51.112964756379135</v>
      </c>
      <c r="AI7" s="59">
        <f t="shared" si="11"/>
        <v>55.399860240242191</v>
      </c>
      <c r="AJ7" s="59">
        <f t="shared" si="12"/>
        <v>0.91510007448908304</v>
      </c>
      <c r="AK7" s="59">
        <f t="shared" si="13"/>
        <v>0.8518827459396523</v>
      </c>
      <c r="AL7" s="59">
        <f t="shared" si="14"/>
        <v>0.92333100400403656</v>
      </c>
      <c r="AM7" s="59">
        <f t="shared" ref="AM7" si="60">-0.4508*AJ7^3+1.2399*AJ7^2+-0.4301*AJ7+0.641</f>
        <v>0.94026425310312645</v>
      </c>
      <c r="AN7" s="59">
        <f t="shared" ref="AN7" si="61">-0.4508*AK7^3+1.2399*AK7^2+-0.4301*AK7+0.641</f>
        <v>0.89571460863643071</v>
      </c>
      <c r="AO7" s="59">
        <f t="shared" ref="AO7" si="62">-0.4508*AL7^3+1.2399*AL7^2+-0.4301*AL7+0.641</f>
        <v>0.94608058126416061</v>
      </c>
      <c r="AP7" s="59">
        <f t="shared" si="18"/>
        <v>3.8574943717051338</v>
      </c>
      <c r="AQ7" s="59">
        <f t="shared" si="19"/>
        <v>3.6747265995340745</v>
      </c>
      <c r="AR7" s="59">
        <f t="shared" si="20"/>
        <v>3.8813562308273251</v>
      </c>
      <c r="AS7" s="59">
        <f t="shared" si="21"/>
        <v>58.763498841050122</v>
      </c>
      <c r="AT7" s="59">
        <f t="shared" ref="AT7" si="63">AQ7+AH7</f>
        <v>54.787691355913211</v>
      </c>
      <c r="AU7" s="59">
        <f t="shared" ref="AU7" si="64">AR7+AI7</f>
        <v>59.281216471069513</v>
      </c>
      <c r="AV7" s="77">
        <f t="shared" si="24"/>
        <v>57.605041142455349</v>
      </c>
      <c r="AW7" s="76">
        <f t="shared" si="25"/>
        <v>0.85690586923768031</v>
      </c>
      <c r="AX7" s="59">
        <f t="shared" si="26"/>
        <v>0.82002085823547155</v>
      </c>
      <c r="AY7" s="59">
        <f t="shared" si="27"/>
        <v>0.86347255773366605</v>
      </c>
      <c r="AZ7" s="59">
        <f t="shared" si="28"/>
        <v>0.89923775790255123</v>
      </c>
      <c r="BA7" s="59">
        <f t="shared" ref="BA7" si="65">-0.4508*(AX7)^3+1.2399*(AX7)^2+-0.4301*(AX7)+0.641</f>
        <v>0.87348454090193495</v>
      </c>
      <c r="BB7" s="59">
        <f t="shared" ref="BB7" si="66">-0.4508*(AY7)^3+1.2399*(AY7)^2+-0.4301*(AY7)+0.641</f>
        <v>0.90384965571156095</v>
      </c>
      <c r="BC7" s="59">
        <f t="shared" si="31"/>
        <v>3.6891805452412356</v>
      </c>
      <c r="BD7" s="59">
        <f t="shared" si="32"/>
        <v>3.5835263216489635</v>
      </c>
      <c r="BE7" s="59">
        <f t="shared" si="33"/>
        <v>3.7081011516371727</v>
      </c>
      <c r="BF7" s="59">
        <f t="shared" si="34"/>
        <v>55.103532699502054</v>
      </c>
      <c r="BG7" s="59">
        <f t="shared" si="35"/>
        <v>52.784777815777254</v>
      </c>
      <c r="BH7" s="59">
        <f t="shared" si="36"/>
        <v>55.516454615657139</v>
      </c>
      <c r="BI7" s="59">
        <f t="shared" si="37"/>
        <v>54.462808218141113</v>
      </c>
      <c r="BJ7" s="77">
        <f t="shared" si="38"/>
        <v>0.94545211908548765</v>
      </c>
      <c r="BK7" s="58">
        <f>VLOOKUP(U7,Lookup!$N$27:$P$36,2,FALSE)</f>
        <v>133.19999999999999</v>
      </c>
      <c r="BL7" s="59">
        <f t="shared" si="39"/>
        <v>68.357691358811962</v>
      </c>
      <c r="BM7" s="59">
        <f t="shared" ref="BM7" si="67">AD7</f>
        <v>37.532477072610348</v>
      </c>
      <c r="BN7" s="59">
        <f t="shared" ref="BN7" si="68">AE7</f>
        <v>33.087841629801275</v>
      </c>
      <c r="BO7" s="59">
        <f t="shared" ref="BO7" si="69">AF7</f>
        <v>37.302014494094372</v>
      </c>
      <c r="BP7" s="59">
        <f t="shared" si="43"/>
        <v>54.906004469344985</v>
      </c>
      <c r="BQ7" s="59">
        <f t="shared" si="44"/>
        <v>51.112964756379135</v>
      </c>
      <c r="BR7" s="59">
        <f t="shared" si="45"/>
        <v>55.399860240242191</v>
      </c>
      <c r="BS7" s="59">
        <f t="shared" si="46"/>
        <v>0.91510007448908304</v>
      </c>
      <c r="BT7" s="59">
        <f t="shared" si="47"/>
        <v>0.8518827459396523</v>
      </c>
      <c r="BU7" s="59">
        <f t="shared" si="47"/>
        <v>0.8518827459396523</v>
      </c>
      <c r="BV7" s="59">
        <f t="shared" ref="BV7" si="70">-0.4508*BS7^3+1.2399*BS7^2+-0.4301*BS7+0.641</f>
        <v>0.94026425310312645</v>
      </c>
      <c r="BW7" s="59">
        <f t="shared" ref="BW7" si="71">-0.4508*BT7^3+1.2399*BT7^2+-0.4301*BT7+0.641</f>
        <v>0.89571460863643071</v>
      </c>
      <c r="BX7" s="59">
        <f t="shared" ref="BX7" si="72">-0.4508*BU7^3+1.2399*BU7^2+-0.4301*BU7+0.641</f>
        <v>0.89571460863643071</v>
      </c>
      <c r="BY7" s="59">
        <f t="shared" si="51"/>
        <v>3.8574943717051338</v>
      </c>
      <c r="BZ7" s="59">
        <f t="shared" si="52"/>
        <v>3.6747265995340745</v>
      </c>
      <c r="CA7" s="59">
        <f t="shared" si="53"/>
        <v>3.6747265995340745</v>
      </c>
      <c r="CB7" s="59">
        <f t="shared" si="54"/>
        <v>58.763498841050122</v>
      </c>
      <c r="CC7" s="59">
        <f t="shared" ref="CC7" si="73">BZ7+BQ7</f>
        <v>54.787691355913211</v>
      </c>
      <c r="CD7" s="59">
        <f t="shared" ref="CD7" si="74">CA7+BR7</f>
        <v>59.074586839776266</v>
      </c>
      <c r="CE7" s="59">
        <f t="shared" si="57"/>
        <v>57.536171486345303</v>
      </c>
      <c r="CF7" s="59">
        <f t="shared" si="58"/>
        <v>0.99880445088235015</v>
      </c>
      <c r="CG7" s="64">
        <f t="shared" si="59"/>
        <v>5.3352331796862495</v>
      </c>
    </row>
    <row r="8" spans="1:86" s="18" customFormat="1" ht="65.25" customHeight="1">
      <c r="A8" s="38" t="e">
        <f>#REF!</f>
        <v>#REF!</v>
      </c>
      <c r="B8" s="38" t="e">
        <f>#REF!</f>
        <v>#REF!</v>
      </c>
      <c r="C8" s="38" t="e">
        <f>#REF!</f>
        <v>#REF!</v>
      </c>
      <c r="D8" s="38" t="s">
        <v>77</v>
      </c>
      <c r="E8" s="38">
        <v>4</v>
      </c>
      <c r="F8" s="38">
        <v>3600</v>
      </c>
      <c r="G8" s="61" t="e">
        <f>#REF!</f>
        <v>#REF!</v>
      </c>
      <c r="H8" s="61" t="e">
        <f>#REF!</f>
        <v>#REF!</v>
      </c>
      <c r="I8" s="61" t="e">
        <f>#REF!</f>
        <v>#REF!</v>
      </c>
      <c r="J8" s="61">
        <v>1</v>
      </c>
      <c r="K8" s="61">
        <v>349.83050847457599</v>
      </c>
      <c r="L8" s="61">
        <v>424.42976156276899</v>
      </c>
      <c r="M8" s="61">
        <v>51.414352154260818</v>
      </c>
      <c r="N8" s="62">
        <v>262.37288135593218</v>
      </c>
      <c r="O8" s="62">
        <v>498.89112324044811</v>
      </c>
      <c r="P8" s="62">
        <v>49.201251494128293</v>
      </c>
      <c r="Q8" s="62">
        <v>384.81355932203388</v>
      </c>
      <c r="R8" s="62">
        <v>383.47601264004595</v>
      </c>
      <c r="S8" s="62">
        <v>51.808353464019966</v>
      </c>
      <c r="T8" s="62">
        <v>53</v>
      </c>
      <c r="U8" s="72" t="str">
        <f t="shared" si="1"/>
        <v>ESCC-3600</v>
      </c>
      <c r="V8" s="59">
        <f>T8/(IF(D8=Lookup!$A$56,1.15,1))</f>
        <v>53</v>
      </c>
      <c r="W8" s="59">
        <f t="shared" si="2"/>
        <v>720.07373351181946</v>
      </c>
      <c r="X8" s="39">
        <f>INDEX(Lookup!$E$27:$E$46,(MATCH(V8,Lookup!$E$27:$E$46,-1)))</f>
        <v>60</v>
      </c>
      <c r="Y8" s="63" t="str">
        <f t="shared" si="3"/>
        <v>ESCC-60-3600</v>
      </c>
      <c r="Z8" s="39">
        <f>VLOOKUP(Y8,Lookup!$U$28:$V$227,2,FALSE)</f>
        <v>93.6</v>
      </c>
      <c r="AA8" s="63">
        <f t="shared" si="4"/>
        <v>4.1025641025641022</v>
      </c>
      <c r="AB8" s="73">
        <f>VLOOKUP(U8,Lookup!$N$27:$P$36,3,FALSE)</f>
        <v>130.41999999999999</v>
      </c>
      <c r="AC8" s="76">
        <f t="shared" si="5"/>
        <v>60.457568738705163</v>
      </c>
      <c r="AD8" s="59">
        <f t="shared" si="6"/>
        <v>37.532477072610348</v>
      </c>
      <c r="AE8" s="59">
        <f t="shared" si="7"/>
        <v>33.087841629801275</v>
      </c>
      <c r="AF8" s="59">
        <f t="shared" si="8"/>
        <v>37.302014494094372</v>
      </c>
      <c r="AG8" s="59">
        <f t="shared" si="9"/>
        <v>62.080692054991481</v>
      </c>
      <c r="AH8" s="59">
        <f t="shared" si="10"/>
        <v>57.79200755411042</v>
      </c>
      <c r="AI8" s="59">
        <f t="shared" si="11"/>
        <v>62.63908103865478</v>
      </c>
      <c r="AJ8" s="59">
        <f t="shared" si="12"/>
        <v>1</v>
      </c>
      <c r="AK8" s="59">
        <f t="shared" si="13"/>
        <v>0.96320012590184034</v>
      </c>
      <c r="AL8" s="59">
        <f t="shared" si="14"/>
        <v>1</v>
      </c>
      <c r="AM8" s="59">
        <f t="shared" ref="AM8" si="75">-0.4508*AJ8^3+1.2399*AJ8^2+-0.4301*AJ8+0.641</f>
        <v>1</v>
      </c>
      <c r="AN8" s="59">
        <f t="shared" ref="AN8" si="76">-0.4508*AK8^3+1.2399*AK8^2+-0.4301*AK8+0.641</f>
        <v>0.97420956268645931</v>
      </c>
      <c r="AO8" s="59">
        <f t="shared" ref="AO8" si="77">-0.4508*AL8^3+1.2399*AL8^2+-0.4301*AL8+0.641</f>
        <v>1</v>
      </c>
      <c r="AP8" s="59">
        <f t="shared" si="18"/>
        <v>4.1025641025641022</v>
      </c>
      <c r="AQ8" s="59">
        <f t="shared" si="19"/>
        <v>3.9967571802521404</v>
      </c>
      <c r="AR8" s="59">
        <f t="shared" si="20"/>
        <v>4.1025641025641022</v>
      </c>
      <c r="AS8" s="59">
        <f t="shared" si="21"/>
        <v>66.183256157555576</v>
      </c>
      <c r="AT8" s="59">
        <f t="shared" ref="AT8" si="78">AQ8+AH8</f>
        <v>61.788764734362559</v>
      </c>
      <c r="AU8" s="59">
        <f t="shared" ref="AU8" si="79">AR8+AI8</f>
        <v>66.741645141218882</v>
      </c>
      <c r="AV8" s="77">
        <f t="shared" si="24"/>
        <v>64.898064888844573</v>
      </c>
      <c r="AW8" s="76">
        <f t="shared" si="25"/>
        <v>0.85690586923768031</v>
      </c>
      <c r="AX8" s="59">
        <f t="shared" si="26"/>
        <v>0.82002085823547155</v>
      </c>
      <c r="AY8" s="59">
        <f t="shared" si="27"/>
        <v>0.86347255773366605</v>
      </c>
      <c r="AZ8" s="59">
        <f t="shared" si="28"/>
        <v>0.89923775790255123</v>
      </c>
      <c r="BA8" s="59">
        <f t="shared" ref="BA8" si="80">-0.4508*(AX8)^3+1.2399*(AX8)^2+-0.4301*(AX8)+0.641</f>
        <v>0.87348454090193495</v>
      </c>
      <c r="BB8" s="59">
        <f t="shared" ref="BB8" si="81">-0.4508*(AY8)^3+1.2399*(AY8)^2+-0.4301*(AY8)+0.641</f>
        <v>0.90384965571156095</v>
      </c>
      <c r="BC8" s="59">
        <f t="shared" si="31"/>
        <v>3.6891805452412356</v>
      </c>
      <c r="BD8" s="59">
        <f t="shared" si="32"/>
        <v>3.5835263216489635</v>
      </c>
      <c r="BE8" s="59">
        <f t="shared" si="33"/>
        <v>3.7081011516371727</v>
      </c>
      <c r="BF8" s="59">
        <f t="shared" si="34"/>
        <v>55.103532699502054</v>
      </c>
      <c r="BG8" s="59">
        <f t="shared" si="35"/>
        <v>52.784777815777254</v>
      </c>
      <c r="BH8" s="59">
        <f t="shared" si="36"/>
        <v>55.516454615657139</v>
      </c>
      <c r="BI8" s="59">
        <f t="shared" si="37"/>
        <v>54.462808218141113</v>
      </c>
      <c r="BJ8" s="77">
        <f t="shared" si="38"/>
        <v>0.83920542640868179</v>
      </c>
      <c r="BK8" s="58">
        <f>VLOOKUP(U8,Lookup!$N$27:$P$36,2,FALSE)</f>
        <v>135.94</v>
      </c>
      <c r="BL8" s="59">
        <f t="shared" si="39"/>
        <v>54.937568738705181</v>
      </c>
      <c r="BM8" s="59">
        <f t="shared" ref="BM8" si="82">AD8</f>
        <v>37.532477072610348</v>
      </c>
      <c r="BN8" s="59">
        <f t="shared" ref="BN8" si="83">AE8</f>
        <v>33.087841629801275</v>
      </c>
      <c r="BO8" s="59">
        <f t="shared" ref="BO8" si="84">AF8</f>
        <v>37.302014494094372</v>
      </c>
      <c r="BP8" s="59">
        <f t="shared" si="43"/>
        <v>68.318416585056454</v>
      </c>
      <c r="BQ8" s="59">
        <f t="shared" si="44"/>
        <v>63.598814972472475</v>
      </c>
      <c r="BR8" s="59">
        <f t="shared" si="45"/>
        <v>68.932911203908688</v>
      </c>
      <c r="BS8" s="59">
        <f t="shared" si="46"/>
        <v>1</v>
      </c>
      <c r="BT8" s="59">
        <f t="shared" si="47"/>
        <v>1</v>
      </c>
      <c r="BU8" s="59">
        <f t="shared" si="47"/>
        <v>1</v>
      </c>
      <c r="BV8" s="59">
        <f t="shared" ref="BV8" si="85">-0.4508*BS8^3+1.2399*BS8^2+-0.4301*BS8+0.641</f>
        <v>1</v>
      </c>
      <c r="BW8" s="59">
        <f t="shared" ref="BW8" si="86">-0.4508*BT8^3+1.2399*BT8^2+-0.4301*BT8+0.641</f>
        <v>1</v>
      </c>
      <c r="BX8" s="59">
        <f t="shared" ref="BX8" si="87">-0.4508*BU8^3+1.2399*BU8^2+-0.4301*BU8+0.641</f>
        <v>1</v>
      </c>
      <c r="BY8" s="59">
        <f t="shared" si="51"/>
        <v>4.1025641025641022</v>
      </c>
      <c r="BZ8" s="59">
        <f t="shared" si="52"/>
        <v>4.1025641025641022</v>
      </c>
      <c r="CA8" s="59">
        <f t="shared" si="53"/>
        <v>4.1025641025641022</v>
      </c>
      <c r="CB8" s="59">
        <f t="shared" si="54"/>
        <v>72.420980687620556</v>
      </c>
      <c r="CC8" s="59">
        <f t="shared" ref="CC8" si="88">BZ8+BQ8</f>
        <v>67.701379075036584</v>
      </c>
      <c r="CD8" s="59">
        <f t="shared" ref="CD8" si="89">CA8+BR8</f>
        <v>73.03547530647279</v>
      </c>
      <c r="CE8" s="59">
        <f t="shared" si="57"/>
        <v>71.045506428541003</v>
      </c>
      <c r="CF8" s="59">
        <f t="shared" si="58"/>
        <v>1.0947245738409239</v>
      </c>
      <c r="CG8" s="64">
        <f t="shared" si="59"/>
        <v>25.551914743224213</v>
      </c>
    </row>
    <row r="9" spans="1:86" s="18" customFormat="1" ht="65.25" customHeight="1">
      <c r="A9" s="38" t="e">
        <f>#REF!</f>
        <v>#REF!</v>
      </c>
      <c r="B9" s="38" t="e">
        <f>#REF!</f>
        <v>#REF!</v>
      </c>
      <c r="C9" s="38" t="e">
        <f>#REF!</f>
        <v>#REF!</v>
      </c>
      <c r="D9" s="38" t="s">
        <v>74</v>
      </c>
      <c r="E9" s="38">
        <v>4</v>
      </c>
      <c r="F9" s="38">
        <v>3600</v>
      </c>
      <c r="G9" s="61" t="e">
        <f>#REF!</f>
        <v>#REF!</v>
      </c>
      <c r="H9" s="61" t="e">
        <f>#REF!</f>
        <v>#REF!</v>
      </c>
      <c r="I9" s="61" t="e">
        <f>#REF!</f>
        <v>#REF!</v>
      </c>
      <c r="J9" s="61">
        <v>3</v>
      </c>
      <c r="K9" s="61">
        <v>349.83050847457599</v>
      </c>
      <c r="L9" s="61">
        <v>424.42976156276899</v>
      </c>
      <c r="M9" s="61">
        <v>51.414352154260818</v>
      </c>
      <c r="N9" s="62">
        <v>262.37288135593218</v>
      </c>
      <c r="O9" s="62">
        <v>498.89112324044811</v>
      </c>
      <c r="P9" s="62">
        <v>49.201251494128293</v>
      </c>
      <c r="Q9" s="62">
        <v>384.81355932203388</v>
      </c>
      <c r="R9" s="62">
        <v>383.47601264004595</v>
      </c>
      <c r="S9" s="62">
        <v>51.808353464019966</v>
      </c>
      <c r="T9" s="62">
        <v>53</v>
      </c>
      <c r="U9" s="72" t="str">
        <f t="shared" si="1"/>
        <v>IL-3600</v>
      </c>
      <c r="V9" s="59">
        <f>T9/(IF(D9=Lookup!$A$56,1.15,1))</f>
        <v>53</v>
      </c>
      <c r="W9" s="59">
        <f t="shared" si="2"/>
        <v>1641.4131570679663</v>
      </c>
      <c r="X9" s="39">
        <f>INDEX(Lookup!$E$27:$E$46,(MATCH(V9,Lookup!$E$27:$E$46,-1)))</f>
        <v>60</v>
      </c>
      <c r="Y9" s="63" t="str">
        <f t="shared" si="3"/>
        <v>IL-60-3600</v>
      </c>
      <c r="Z9" s="39">
        <f>VLOOKUP(Y9,Lookup!$U$28:$V$227,2,FALSE)</f>
        <v>93.6</v>
      </c>
      <c r="AA9" s="63">
        <f t="shared" si="4"/>
        <v>4.1025641025641022</v>
      </c>
      <c r="AB9" s="73">
        <f>VLOOKUP(U9,Lookup!$N$27:$P$36,3,FALSE)</f>
        <v>133.84</v>
      </c>
      <c r="AC9" s="76">
        <f t="shared" si="5"/>
        <v>71.088675997510336</v>
      </c>
      <c r="AD9" s="59">
        <f t="shared" si="6"/>
        <v>37.532477072610348</v>
      </c>
      <c r="AE9" s="59">
        <f t="shared" si="7"/>
        <v>33.087841629801275</v>
      </c>
      <c r="AF9" s="59">
        <f t="shared" si="8"/>
        <v>37.302014494094372</v>
      </c>
      <c r="AG9" s="59">
        <f t="shared" si="9"/>
        <v>52.796702914997056</v>
      </c>
      <c r="AH9" s="59">
        <f t="shared" si="10"/>
        <v>49.149378859901184</v>
      </c>
      <c r="AI9" s="59">
        <f t="shared" si="11"/>
        <v>53.27158643039607</v>
      </c>
      <c r="AJ9" s="59">
        <f t="shared" si="12"/>
        <v>0.87994504858328426</v>
      </c>
      <c r="AK9" s="59">
        <f t="shared" si="13"/>
        <v>0.81915631433168634</v>
      </c>
      <c r="AL9" s="59">
        <f t="shared" si="14"/>
        <v>0.88785977383993453</v>
      </c>
      <c r="AM9" s="59">
        <f t="shared" ref="AM9:AM10" si="90">-0.4508*AJ9^3+1.2399*AJ9^2+-0.4301*AJ9+0.641</f>
        <v>0.91544425139395247</v>
      </c>
      <c r="AN9" s="59">
        <f t="shared" ref="AN9:AN10" si="91">-0.4508*AK9^3+1.2399*AK9^2+-0.4301*AK9+0.641</f>
        <v>0.87288465619888989</v>
      </c>
      <c r="AO9" s="59">
        <f t="shared" ref="AO9:AO10" si="92">-0.4508*AL9^3+1.2399*AL9^2+-0.4301*AL9+0.641</f>
        <v>0.92102560777673148</v>
      </c>
      <c r="AP9" s="59">
        <f t="shared" si="18"/>
        <v>3.755668723667497</v>
      </c>
      <c r="AQ9" s="59">
        <f t="shared" si="19"/>
        <v>3.5810652562005734</v>
      </c>
      <c r="AR9" s="59">
        <f t="shared" si="20"/>
        <v>3.7785665960071033</v>
      </c>
      <c r="AS9" s="59">
        <f t="shared" si="21"/>
        <v>56.552371638664553</v>
      </c>
      <c r="AT9" s="59">
        <f t="shared" ref="AT9:AT10" si="93">AQ9+AH9</f>
        <v>52.730444116101758</v>
      </c>
      <c r="AU9" s="59">
        <f t="shared" ref="AU9:AU10" si="94">AR9+AI9</f>
        <v>57.050153026403173</v>
      </c>
      <c r="AV9" s="77">
        <f t="shared" si="24"/>
        <v>55.438778494763781</v>
      </c>
      <c r="AW9" s="76">
        <f t="shared" si="25"/>
        <v>0.85690586923768031</v>
      </c>
      <c r="AX9" s="59">
        <f t="shared" si="26"/>
        <v>0.82002085823547155</v>
      </c>
      <c r="AY9" s="59">
        <f t="shared" si="27"/>
        <v>0.86347255773366605</v>
      </c>
      <c r="AZ9" s="59">
        <f t="shared" si="28"/>
        <v>0.89923775790255123</v>
      </c>
      <c r="BA9" s="59">
        <f t="shared" ref="BA9:BA10" si="95">-0.4508*(AX9)^3+1.2399*(AX9)^2+-0.4301*(AX9)+0.641</f>
        <v>0.87348454090193495</v>
      </c>
      <c r="BB9" s="59">
        <f t="shared" ref="BB9:BB10" si="96">-0.4508*(AY9)^3+1.2399*(AY9)^2+-0.4301*(AY9)+0.641</f>
        <v>0.90384965571156095</v>
      </c>
      <c r="BC9" s="59">
        <f t="shared" si="31"/>
        <v>3.6891805452412356</v>
      </c>
      <c r="BD9" s="59">
        <f t="shared" si="32"/>
        <v>3.5835263216489635</v>
      </c>
      <c r="BE9" s="59">
        <f t="shared" si="33"/>
        <v>3.7081011516371727</v>
      </c>
      <c r="BF9" s="59">
        <f t="shared" si="34"/>
        <v>55.103532699502054</v>
      </c>
      <c r="BG9" s="59">
        <f t="shared" si="35"/>
        <v>52.784777815777254</v>
      </c>
      <c r="BH9" s="59">
        <f t="shared" si="36"/>
        <v>55.516454615657139</v>
      </c>
      <c r="BI9" s="59">
        <f t="shared" si="37"/>
        <v>54.462808218141113</v>
      </c>
      <c r="BJ9" s="77">
        <f t="shared" si="38"/>
        <v>0.98239553065342433</v>
      </c>
      <c r="BK9" s="58">
        <f>VLOOKUP(U9,Lookup!$N$27:$P$36,2,FALSE)</f>
        <v>141.01</v>
      </c>
      <c r="BL9" s="59">
        <f t="shared" si="39"/>
        <v>63.918675997510377</v>
      </c>
      <c r="BM9" s="59">
        <f t="shared" ref="BM9:BM10" si="97">AD9</f>
        <v>37.532477072610348</v>
      </c>
      <c r="BN9" s="59">
        <f t="shared" ref="BN9:BN10" si="98">AE9</f>
        <v>33.087841629801275</v>
      </c>
      <c r="BO9" s="59">
        <f t="shared" ref="BO9:BO10" si="99">AF9</f>
        <v>37.302014494094372</v>
      </c>
      <c r="BP9" s="59">
        <f t="shared" si="43"/>
        <v>58.719109066139346</v>
      </c>
      <c r="BQ9" s="59">
        <f t="shared" si="44"/>
        <v>54.662650856323879</v>
      </c>
      <c r="BR9" s="59">
        <f t="shared" si="45"/>
        <v>59.247262064240779</v>
      </c>
      <c r="BS9" s="59">
        <f t="shared" si="46"/>
        <v>0.97865181776898913</v>
      </c>
      <c r="BT9" s="59">
        <f t="shared" si="47"/>
        <v>0.9110441809387313</v>
      </c>
      <c r="BU9" s="59">
        <f t="shared" si="47"/>
        <v>0.9110441809387313</v>
      </c>
      <c r="BV9" s="59">
        <f t="shared" ref="BV9:BV10" si="100">-0.4508*BS9^3+1.2399*BS9^2+-0.4301*BS9+0.641</f>
        <v>0.98506702721044304</v>
      </c>
      <c r="BW9" s="59">
        <f t="shared" ref="BW9:BW10" si="101">-0.4508*BT9^3+1.2399*BT9^2+-0.4301*BT9+0.641</f>
        <v>0.93739820635024729</v>
      </c>
      <c r="BX9" s="59">
        <f t="shared" ref="BX9:BX10" si="102">-0.4508*BU9^3+1.2399*BU9^2+-0.4301*BU9+0.641</f>
        <v>0.93739820635024729</v>
      </c>
      <c r="BY9" s="59">
        <f t="shared" si="51"/>
        <v>4.0413006244530996</v>
      </c>
      <c r="BZ9" s="59">
        <f t="shared" si="52"/>
        <v>3.8457362311805015</v>
      </c>
      <c r="CA9" s="59">
        <f t="shared" si="53"/>
        <v>3.8457362311805015</v>
      </c>
      <c r="CB9" s="59">
        <f t="shared" si="54"/>
        <v>62.760409690592446</v>
      </c>
      <c r="CC9" s="59">
        <f t="shared" ref="CC9:CC10" si="103">BZ9+BQ9</f>
        <v>58.508387087504381</v>
      </c>
      <c r="CD9" s="59">
        <f t="shared" ref="CD9:CD10" si="104">CA9+BR9</f>
        <v>63.092998295421282</v>
      </c>
      <c r="CE9" s="59">
        <f t="shared" si="57"/>
        <v>61.447786298003585</v>
      </c>
      <c r="CF9" s="59">
        <f t="shared" si="58"/>
        <v>1.1083899747864638</v>
      </c>
      <c r="CG9" s="64">
        <f t="shared" si="59"/>
        <v>12.599444413303951</v>
      </c>
    </row>
    <row r="10" spans="1:86" s="18" customFormat="1" ht="65.25" customHeight="1">
      <c r="A10" s="38" t="e">
        <f>#REF!</f>
        <v>#REF!</v>
      </c>
      <c r="B10" s="38" t="e">
        <f>#REF!</f>
        <v>#REF!</v>
      </c>
      <c r="C10" s="38" t="e">
        <f>#REF!</f>
        <v>#REF!</v>
      </c>
      <c r="D10" s="38" t="s">
        <v>78</v>
      </c>
      <c r="E10" s="38">
        <v>1</v>
      </c>
      <c r="F10" s="38">
        <v>3600</v>
      </c>
      <c r="G10" s="61" t="e">
        <f>#REF!</f>
        <v>#REF!</v>
      </c>
      <c r="H10" s="61" t="e">
        <f>#REF!</f>
        <v>#REF!</v>
      </c>
      <c r="I10" s="61" t="e">
        <f>#REF!</f>
        <v>#REF!</v>
      </c>
      <c r="J10" s="61">
        <v>4</v>
      </c>
      <c r="K10" s="61">
        <v>349.83050847457599</v>
      </c>
      <c r="L10" s="61">
        <v>424.42976156276899</v>
      </c>
      <c r="M10" s="61">
        <v>51.414352154260818</v>
      </c>
      <c r="N10" s="62">
        <v>262.37288135593218</v>
      </c>
      <c r="O10" s="62">
        <v>498.89112324044811</v>
      </c>
      <c r="P10" s="62">
        <v>49.201251494128293</v>
      </c>
      <c r="Q10" s="62">
        <v>384.81355932203388</v>
      </c>
      <c r="R10" s="62">
        <v>383.47601264004595</v>
      </c>
      <c r="S10" s="62">
        <v>51.808353464019966</v>
      </c>
      <c r="T10" s="62">
        <v>53</v>
      </c>
      <c r="U10" s="72" t="str">
        <f t="shared" si="1"/>
        <v>ESFM-3600</v>
      </c>
      <c r="V10" s="59">
        <f>T10/(IF(D10=Lookup!$A$56,1.15,1))</f>
        <v>53</v>
      </c>
      <c r="W10" s="59">
        <f t="shared" si="2"/>
        <v>2036.676079682089</v>
      </c>
      <c r="X10" s="39">
        <f>INDEX(Lookup!$E$27:$E$46,(MATCH(V10,Lookup!$E$27:$E$46,-1)))</f>
        <v>60</v>
      </c>
      <c r="Y10" s="63" t="str">
        <f t="shared" si="3"/>
        <v>ESFM-60-3600</v>
      </c>
      <c r="Z10" s="39">
        <f>VLOOKUP(Y10,Lookup!$U$28:$V$227,2,FALSE)</f>
        <v>93.6</v>
      </c>
      <c r="AA10" s="63">
        <f t="shared" si="4"/>
        <v>4.1025641025641022</v>
      </c>
      <c r="AB10" s="73">
        <f>VLOOKUP(U10,Lookup!$N$27:$P$36,3,FALSE)</f>
        <v>130.99</v>
      </c>
      <c r="AC10" s="76">
        <f t="shared" si="5"/>
        <v>75.042763304165078</v>
      </c>
      <c r="AD10" s="59">
        <f t="shared" si="6"/>
        <v>37.532477072610348</v>
      </c>
      <c r="AE10" s="59">
        <f t="shared" si="7"/>
        <v>33.087841629801275</v>
      </c>
      <c r="AF10" s="59">
        <f t="shared" si="8"/>
        <v>37.302014494094372</v>
      </c>
      <c r="AG10" s="59">
        <f t="shared" si="9"/>
        <v>50.014785463699987</v>
      </c>
      <c r="AH10" s="59">
        <f t="shared" si="10"/>
        <v>46.55964300099906</v>
      </c>
      <c r="AI10" s="59">
        <f t="shared" si="11"/>
        <v>50.464646834421735</v>
      </c>
      <c r="AJ10" s="59">
        <f t="shared" si="12"/>
        <v>0.83357975772833315</v>
      </c>
      <c r="AK10" s="59">
        <f t="shared" si="13"/>
        <v>0.775994050016651</v>
      </c>
      <c r="AL10" s="59">
        <f t="shared" si="14"/>
        <v>0.84107744724036226</v>
      </c>
      <c r="AM10" s="59">
        <f t="shared" si="90"/>
        <v>0.88291719252181544</v>
      </c>
      <c r="AN10" s="59">
        <f t="shared" si="91"/>
        <v>0.84322268729749539</v>
      </c>
      <c r="AO10" s="59">
        <f t="shared" si="92"/>
        <v>0.88815138612067379</v>
      </c>
      <c r="AP10" s="59">
        <f t="shared" si="18"/>
        <v>3.6222243795766782</v>
      </c>
      <c r="AQ10" s="59">
        <f t="shared" si="19"/>
        <v>3.4593751273743396</v>
      </c>
      <c r="AR10" s="59">
        <f t="shared" si="20"/>
        <v>3.6436979943412253</v>
      </c>
      <c r="AS10" s="59">
        <f t="shared" si="21"/>
        <v>53.637009843276665</v>
      </c>
      <c r="AT10" s="59">
        <f t="shared" si="93"/>
        <v>50.019018128373396</v>
      </c>
      <c r="AU10" s="59">
        <f t="shared" si="94"/>
        <v>54.108344828762959</v>
      </c>
      <c r="AV10" s="77">
        <f t="shared" si="24"/>
        <v>52.582865454377654</v>
      </c>
      <c r="AW10" s="76">
        <f t="shared" si="25"/>
        <v>0.85690586923768031</v>
      </c>
      <c r="AX10" s="59">
        <f t="shared" si="26"/>
        <v>0.82002085823547155</v>
      </c>
      <c r="AY10" s="59">
        <f t="shared" si="27"/>
        <v>0.86347255773366605</v>
      </c>
      <c r="AZ10" s="59">
        <f t="shared" si="28"/>
        <v>0.89923775790255123</v>
      </c>
      <c r="BA10" s="59">
        <f t="shared" si="95"/>
        <v>0.87348454090193495</v>
      </c>
      <c r="BB10" s="59">
        <f t="shared" si="96"/>
        <v>0.90384965571156095</v>
      </c>
      <c r="BC10" s="59">
        <f t="shared" si="31"/>
        <v>3.6891805452412356</v>
      </c>
      <c r="BD10" s="59">
        <f t="shared" si="32"/>
        <v>3.5835263216489635</v>
      </c>
      <c r="BE10" s="59">
        <f t="shared" si="33"/>
        <v>3.7081011516371727</v>
      </c>
      <c r="BF10" s="59">
        <f t="shared" si="34"/>
        <v>55.103532699502054</v>
      </c>
      <c r="BG10" s="59">
        <f t="shared" si="35"/>
        <v>52.784777815777254</v>
      </c>
      <c r="BH10" s="59">
        <f t="shared" si="36"/>
        <v>55.516454615657139</v>
      </c>
      <c r="BI10" s="59">
        <f t="shared" si="37"/>
        <v>54.462808218141113</v>
      </c>
      <c r="BJ10" s="77">
        <f t="shared" si="38"/>
        <v>1.0357520030055143</v>
      </c>
      <c r="BK10" s="58">
        <f>VLOOKUP(U10,Lookup!$N$27:$P$36,2,FALSE)</f>
        <v>136.59</v>
      </c>
      <c r="BL10" s="59">
        <f t="shared" si="39"/>
        <v>69.442763304165055</v>
      </c>
      <c r="BM10" s="59">
        <f t="shared" si="97"/>
        <v>37.532477072610348</v>
      </c>
      <c r="BN10" s="59">
        <f t="shared" si="98"/>
        <v>33.087841629801275</v>
      </c>
      <c r="BO10" s="59">
        <f t="shared" si="99"/>
        <v>37.302014494094372</v>
      </c>
      <c r="BP10" s="59">
        <f t="shared" si="43"/>
        <v>54.048075403069703</v>
      </c>
      <c r="BQ10" s="59">
        <f t="shared" si="44"/>
        <v>50.314303506998222</v>
      </c>
      <c r="BR10" s="59">
        <f t="shared" si="45"/>
        <v>54.534214472952236</v>
      </c>
      <c r="BS10" s="59">
        <f t="shared" si="46"/>
        <v>0.9008012567178284</v>
      </c>
      <c r="BT10" s="59">
        <f t="shared" si="47"/>
        <v>0.83857172511663702</v>
      </c>
      <c r="BU10" s="59">
        <f t="shared" si="47"/>
        <v>0.83857172511663702</v>
      </c>
      <c r="BV10" s="59">
        <f t="shared" si="100"/>
        <v>0.93016172275710218</v>
      </c>
      <c r="BW10" s="59">
        <f t="shared" si="101"/>
        <v>0.88640078499482966</v>
      </c>
      <c r="BX10" s="59">
        <f t="shared" si="102"/>
        <v>0.88640078499482966</v>
      </c>
      <c r="BY10" s="59">
        <f t="shared" si="51"/>
        <v>3.8160480933624701</v>
      </c>
      <c r="BZ10" s="59">
        <f t="shared" si="52"/>
        <v>3.636516041004429</v>
      </c>
      <c r="CA10" s="59">
        <f t="shared" si="53"/>
        <v>3.636516041004429</v>
      </c>
      <c r="CB10" s="59">
        <f t="shared" si="54"/>
        <v>57.864123496432171</v>
      </c>
      <c r="CC10" s="59">
        <f t="shared" si="103"/>
        <v>53.950819548002649</v>
      </c>
      <c r="CD10" s="59">
        <f t="shared" si="104"/>
        <v>58.170730513956663</v>
      </c>
      <c r="CE10" s="59">
        <f t="shared" si="57"/>
        <v>56.656224997011876</v>
      </c>
      <c r="CF10" s="59">
        <f t="shared" si="58"/>
        <v>1.0774655300245739</v>
      </c>
      <c r="CG10" s="64">
        <f t="shared" si="59"/>
        <v>4.1713527019059615</v>
      </c>
    </row>
    <row r="11" spans="1:86" s="18" customFormat="1" ht="65.25" customHeight="1">
      <c r="A11" s="38" t="e">
        <f>#REF!</f>
        <v>#REF!</v>
      </c>
      <c r="B11" s="38" t="e">
        <f>#REF!</f>
        <v>#REF!</v>
      </c>
      <c r="C11" s="38" t="e">
        <f>#REF!</f>
        <v>#REF!</v>
      </c>
      <c r="D11" s="38" t="s">
        <v>76</v>
      </c>
      <c r="E11" s="38">
        <v>4</v>
      </c>
      <c r="F11" s="38">
        <v>1800</v>
      </c>
      <c r="G11" s="61" t="e">
        <f>#REF!</f>
        <v>#REF!</v>
      </c>
      <c r="H11" s="61" t="e">
        <f>#REF!</f>
        <v>#REF!</v>
      </c>
      <c r="I11" s="61" t="e">
        <f>#REF!</f>
        <v>#REF!</v>
      </c>
      <c r="J11" s="61">
        <v>8</v>
      </c>
      <c r="K11" s="61">
        <v>349.83050847457599</v>
      </c>
      <c r="L11" s="61">
        <v>424.42976156276899</v>
      </c>
      <c r="M11" s="61">
        <v>27</v>
      </c>
      <c r="N11" s="62">
        <v>262.37288135593218</v>
      </c>
      <c r="O11" s="62">
        <v>498.89112324044811</v>
      </c>
      <c r="P11" s="62">
        <v>29</v>
      </c>
      <c r="Q11" s="62">
        <v>384.81355932203388</v>
      </c>
      <c r="R11" s="62">
        <v>383.47601264004595</v>
      </c>
      <c r="S11" s="62">
        <v>29.5</v>
      </c>
      <c r="T11" s="62">
        <v>29.9</v>
      </c>
      <c r="U11" s="72" t="str">
        <f t="shared" ref="U11:U15" si="105">D11&amp;-F11</f>
        <v>ST-1800</v>
      </c>
      <c r="V11" s="59">
        <f>T11/(IF(D11=Lookup!$A$56,1.15,1))</f>
        <v>26</v>
      </c>
      <c r="W11" s="59">
        <f t="shared" ref="W11:W15" si="106">((F11*SQRT(K11)/(L11/J11)^0.75))</f>
        <v>1712.6336144376583</v>
      </c>
      <c r="X11" s="39">
        <f>INDEX(Lookup!$E$27:$E$46,(MATCH(V11,Lookup!$E$27:$E$46,-1)))</f>
        <v>30</v>
      </c>
      <c r="Y11" s="63" t="str">
        <f t="shared" ref="Y11:Y15" si="107">D11&amp;-X11&amp;-F11</f>
        <v>ST-30-1800</v>
      </c>
      <c r="Z11" s="39">
        <f>VLOOKUP(Y11,Lookup!$U$28:$V$227,2,FALSE)</f>
        <v>80</v>
      </c>
      <c r="AA11" s="63">
        <f t="shared" ref="AA11:AA15" si="108">X11/(Z11/100)-X11</f>
        <v>7.5</v>
      </c>
      <c r="AB11" s="73">
        <f>VLOOKUP(U11,Lookup!$N$27:$P$36,3,FALSE)</f>
        <v>138.78</v>
      </c>
      <c r="AC11" s="76">
        <f t="shared" ref="AC11:AC15" si="109">-0.85*(LN(K11))^2-0.38*LN(W11)*LN(K11)-11.48*(LN(W11))^2+17.8*LN(K11)+179.8*LN(W11)-(AB11+555.6)</f>
        <v>66.450522730686771</v>
      </c>
      <c r="AD11" s="59">
        <f t="shared" ref="AD11:AD15" si="110">K11*L11/3956</f>
        <v>37.532477072610348</v>
      </c>
      <c r="AE11" s="59">
        <f t="shared" ref="AE11:AE15" si="111">N11*O11/3956</f>
        <v>33.087841629801275</v>
      </c>
      <c r="AF11" s="59">
        <f t="shared" ref="AF11:AF15" si="112">Q11*R11/3956</f>
        <v>37.302014494094372</v>
      </c>
      <c r="AG11" s="59">
        <f t="shared" ref="AG11:AG15" si="113">AD11/(AC11/100)</f>
        <v>56.48183871287727</v>
      </c>
      <c r="AH11" s="59">
        <f t="shared" ref="AH11:AH15" si="114">AE11/(AC11/100*0.947)</f>
        <v>52.579936555365741</v>
      </c>
      <c r="AI11" s="59">
        <f t="shared" ref="AI11:AI15" si="115">AF11/(AC11/100*0.985)</f>
        <v>56.989868431463208</v>
      </c>
      <c r="AJ11" s="59">
        <f t="shared" ref="AJ11:AJ15" si="116">IF((AG11/X11)&gt;=1,1,(AG11/X11))</f>
        <v>1</v>
      </c>
      <c r="AK11" s="59">
        <f t="shared" ref="AK11:AK15" si="117">IF((AH11/X11)&gt;=1,1,(AH11/X11))</f>
        <v>1</v>
      </c>
      <c r="AL11" s="59">
        <f t="shared" ref="AL11:AL15" si="118">IF((AI11/X11)&gt;=1,1,(AI11/X11))</f>
        <v>1</v>
      </c>
      <c r="AM11" s="59">
        <f t="shared" ref="AM11:AM15" si="119">-0.4508*AJ11^3+1.2399*AJ11^2+-0.4301*AJ11+0.641</f>
        <v>1</v>
      </c>
      <c r="AN11" s="59">
        <f t="shared" ref="AN11:AN15" si="120">-0.4508*AK11^3+1.2399*AK11^2+-0.4301*AK11+0.641</f>
        <v>1</v>
      </c>
      <c r="AO11" s="59">
        <f t="shared" ref="AO11:AO15" si="121">-0.4508*AL11^3+1.2399*AL11^2+-0.4301*AL11+0.641</f>
        <v>1</v>
      </c>
      <c r="AP11" s="59">
        <f t="shared" ref="AP11:AP15" si="122">AM11*AA11</f>
        <v>7.5</v>
      </c>
      <c r="AQ11" s="59">
        <f t="shared" ref="AQ11:AQ15" si="123">AN11*AA11</f>
        <v>7.5</v>
      </c>
      <c r="AR11" s="59">
        <f t="shared" ref="AR11:AR15" si="124">AO11*AA11</f>
        <v>7.5</v>
      </c>
      <c r="AS11" s="59">
        <f t="shared" ref="AS11:AS15" si="125">AP11+AG11</f>
        <v>63.98183871287727</v>
      </c>
      <c r="AT11" s="59">
        <f t="shared" ref="AT11:AT15" si="126">AQ11+AH11</f>
        <v>60.079936555365741</v>
      </c>
      <c r="AU11" s="59">
        <f t="shared" ref="AU11:AU15" si="127">AR11+AI11</f>
        <v>64.489868431463208</v>
      </c>
      <c r="AV11" s="77">
        <f t="shared" ref="AV11:AV15" si="128">0.3333*(AS11)+0.3333*(AT11)+0.3333*(AU11)</f>
        <v>62.844262845112077</v>
      </c>
      <c r="AW11" s="76">
        <f t="shared" ref="AW11:AW15" si="129">IF((M11/X11)&gt;=1,1,(M11/X11))</f>
        <v>0.9</v>
      </c>
      <c r="AX11" s="59">
        <f t="shared" ref="AX11:AX15" si="130">IF((P11/X11)&gt;=1,1,(P11/X11))</f>
        <v>0.96666666666666667</v>
      </c>
      <c r="AY11" s="59">
        <f t="shared" ref="AY11:AY15" si="131">IF((S11/X11)&gt;=1,1,(S11/X11))</f>
        <v>0.98333333333333328</v>
      </c>
      <c r="AZ11" s="59">
        <f t="shared" ref="AZ11:AZ15" si="132">-0.4508*(AW11)^3+1.2399*(AW11)^2+-0.4301*(AW11)+0.641</f>
        <v>0.92959579999999997</v>
      </c>
      <c r="BA11" s="59">
        <f t="shared" ref="BA11:BA15" si="133">-0.4508*(AX11)^3+1.2399*(AX11)^2+-0.4301*(AX11)+0.641</f>
        <v>0.97664836296296298</v>
      </c>
      <c r="BB11" s="59">
        <f t="shared" ref="BB11:BB15" si="134">-0.4508*(AY11)^3+1.2399*(AY11)^2+-0.4301*(AY11)+0.641</f>
        <v>0.9883491703703704</v>
      </c>
      <c r="BC11" s="59">
        <f t="shared" ref="BC11:BC15" si="135">AZ11*AA11</f>
        <v>6.9719685</v>
      </c>
      <c r="BD11" s="59">
        <f t="shared" ref="BD11:BD15" si="136">BA11*AA11</f>
        <v>7.324862722222222</v>
      </c>
      <c r="BE11" s="59">
        <f t="shared" ref="BE11:BE15" si="137">BB11*AA11</f>
        <v>7.4126187777777783</v>
      </c>
      <c r="BF11" s="59">
        <f t="shared" ref="BF11:BF15" si="138">M11+BC11</f>
        <v>33.971968500000003</v>
      </c>
      <c r="BG11" s="59">
        <f t="shared" ref="BG11:BG15" si="139">P11+BD11</f>
        <v>36.324862722222221</v>
      </c>
      <c r="BH11" s="59">
        <f t="shared" ref="BH11:BH15" si="140">S11+BE11</f>
        <v>36.91261877777778</v>
      </c>
      <c r="BI11" s="59">
        <f t="shared" ref="BI11:BI15" si="141">0.3333*(BF11)+0.3333*(BG11)+0.3333*(BH11)</f>
        <v>35.732909684999996</v>
      </c>
      <c r="BJ11" s="77">
        <f t="shared" ref="BJ11:BJ15" si="142">BI11/AV11</f>
        <v>0.56859461894029106</v>
      </c>
      <c r="BK11" s="58">
        <f>VLOOKUP(U11,Lookup!$N$27:$P$36,2,FALSE)</f>
        <v>138.78</v>
      </c>
      <c r="BL11" s="59">
        <f t="shared" ref="BL11:BL15" si="143">-0.85*(LN(K11))^2-0.38*LN(W11)*LN(K11)-11.48*(LN(W11))^2+17.8*LN(K11)+179.8*LN(W11)-(BK11+555.6)</f>
        <v>66.450522730686771</v>
      </c>
      <c r="BM11" s="59">
        <f t="shared" ref="BM11:BM15" si="144">AD11</f>
        <v>37.532477072610348</v>
      </c>
      <c r="BN11" s="59">
        <f t="shared" ref="BN11:BN15" si="145">AE11</f>
        <v>33.087841629801275</v>
      </c>
      <c r="BO11" s="59">
        <f t="shared" ref="BO11:BO15" si="146">AF11</f>
        <v>37.302014494094372</v>
      </c>
      <c r="BP11" s="59">
        <f t="shared" ref="BP11:BP15" si="147">AD11/(BL11/100)</f>
        <v>56.48183871287727</v>
      </c>
      <c r="BQ11" s="59">
        <f t="shared" ref="BQ11:BQ15" si="148">AE11/(BL11/100*0.947)</f>
        <v>52.579936555365741</v>
      </c>
      <c r="BR11" s="59">
        <f t="shared" ref="BR11:BR15" si="149">AF11/(BL11/100*0.985)</f>
        <v>56.989868431463208</v>
      </c>
      <c r="BS11" s="59">
        <f t="shared" si="46"/>
        <v>1</v>
      </c>
      <c r="BT11" s="59">
        <f t="shared" si="47"/>
        <v>1</v>
      </c>
      <c r="BU11" s="59">
        <f t="shared" si="47"/>
        <v>1</v>
      </c>
      <c r="BV11" s="59">
        <f t="shared" ref="BV11:BV15" si="150">-0.4508*BS11^3+1.2399*BS11^2+-0.4301*BS11+0.641</f>
        <v>1</v>
      </c>
      <c r="BW11" s="59">
        <f t="shared" ref="BW11:BW15" si="151">-0.4508*BT11^3+1.2399*BT11^2+-0.4301*BT11+0.641</f>
        <v>1</v>
      </c>
      <c r="BX11" s="59">
        <f t="shared" ref="BX11:BX15" si="152">-0.4508*BU11^3+1.2399*BU11^2+-0.4301*BU11+0.641</f>
        <v>1</v>
      </c>
      <c r="BY11" s="59">
        <f t="shared" ref="BY11:BY15" si="153">BV11*AA11</f>
        <v>7.5</v>
      </c>
      <c r="BZ11" s="59">
        <f t="shared" ref="BZ11:BZ15" si="154">BW11*AA11</f>
        <v>7.5</v>
      </c>
      <c r="CA11" s="59">
        <f t="shared" ref="CA11:CA15" si="155">BX11*AA11</f>
        <v>7.5</v>
      </c>
      <c r="CB11" s="59">
        <f t="shared" ref="CB11:CB15" si="156">BY11+BP11</f>
        <v>63.98183871287727</v>
      </c>
      <c r="CC11" s="59">
        <f t="shared" ref="CC11:CC15" si="157">BZ11+BQ11</f>
        <v>60.079936555365741</v>
      </c>
      <c r="CD11" s="59">
        <f t="shared" ref="CD11:CD15" si="158">CA11+BR11</f>
        <v>64.489868431463208</v>
      </c>
      <c r="CE11" s="59">
        <f t="shared" ref="CE11:CE15" si="159">0.3333*(BP11+BY11)+0.3333*(BQ11+BZ11)+0.3333*(BR11+CA11)</f>
        <v>62.844262845112077</v>
      </c>
      <c r="CF11" s="59">
        <f t="shared" ref="CF11:CF15" si="160">CE11/AV11</f>
        <v>1</v>
      </c>
      <c r="CG11" s="64">
        <f t="shared" ref="CG11:CG15" si="161">(CF11-BJ11)*100</f>
        <v>43.14053810597089</v>
      </c>
    </row>
    <row r="12" spans="1:86" s="18" customFormat="1" ht="65.25" customHeight="1">
      <c r="A12" s="38" t="e">
        <f>#REF!</f>
        <v>#REF!</v>
      </c>
      <c r="B12" s="38" t="e">
        <f>#REF!</f>
        <v>#REF!</v>
      </c>
      <c r="C12" s="38" t="e">
        <f>#REF!</f>
        <v>#REF!</v>
      </c>
      <c r="D12" s="38" t="s">
        <v>75</v>
      </c>
      <c r="E12" s="38">
        <v>4</v>
      </c>
      <c r="F12" s="38">
        <v>1800</v>
      </c>
      <c r="G12" s="61" t="e">
        <f>#REF!</f>
        <v>#REF!</v>
      </c>
      <c r="H12" s="61" t="e">
        <f>#REF!</f>
        <v>#REF!</v>
      </c>
      <c r="I12" s="61" t="e">
        <f>#REF!</f>
        <v>#REF!</v>
      </c>
      <c r="J12" s="61">
        <v>5</v>
      </c>
      <c r="K12" s="61">
        <v>349.83050847457599</v>
      </c>
      <c r="L12" s="61">
        <v>424.42976156276899</v>
      </c>
      <c r="M12" s="61">
        <v>125</v>
      </c>
      <c r="N12" s="62">
        <v>262.37288135593218</v>
      </c>
      <c r="O12" s="62">
        <v>498.89112324044811</v>
      </c>
      <c r="P12" s="62">
        <v>126.8</v>
      </c>
      <c r="Q12" s="62">
        <v>384.81355932203388</v>
      </c>
      <c r="R12" s="62">
        <v>383.47601264004595</v>
      </c>
      <c r="S12" s="62">
        <v>130</v>
      </c>
      <c r="T12" s="62">
        <v>131</v>
      </c>
      <c r="U12" s="72" t="str">
        <f t="shared" si="105"/>
        <v>RSV-1800</v>
      </c>
      <c r="V12" s="59">
        <f>T12/(IF(D12=Lookup!$A$56,1.15,1))</f>
        <v>131</v>
      </c>
      <c r="W12" s="59">
        <f t="shared" si="106"/>
        <v>1203.8558203855118</v>
      </c>
      <c r="X12" s="39">
        <f>INDEX(Lookup!$E$27:$E$46,(MATCH(V12,Lookup!$E$27:$E$46,-1)))</f>
        <v>150</v>
      </c>
      <c r="Y12" s="63" t="str">
        <f t="shared" si="107"/>
        <v>RSV-150-1800</v>
      </c>
      <c r="Z12" s="39">
        <f>VLOOKUP(Y12,Lookup!$U$28:$V$227,2,FALSE)</f>
        <v>95.8</v>
      </c>
      <c r="AA12" s="63">
        <f t="shared" si="108"/>
        <v>6.5762004175365405</v>
      </c>
      <c r="AB12" s="73">
        <f>VLOOKUP(U12,Lookup!$N$27:$P$36,3,FALSE)</f>
        <v>129.63</v>
      </c>
      <c r="AC12" s="76">
        <f t="shared" si="109"/>
        <v>71.840863480122039</v>
      </c>
      <c r="AD12" s="59">
        <f t="shared" si="110"/>
        <v>37.532477072610348</v>
      </c>
      <c r="AE12" s="59">
        <f t="shared" si="111"/>
        <v>33.087841629801275</v>
      </c>
      <c r="AF12" s="59">
        <f t="shared" si="112"/>
        <v>37.302014494094372</v>
      </c>
      <c r="AG12" s="59">
        <f t="shared" si="113"/>
        <v>52.243911409827881</v>
      </c>
      <c r="AH12" s="59">
        <f t="shared" si="114"/>
        <v>48.634775530184974</v>
      </c>
      <c r="AI12" s="59">
        <f t="shared" si="115"/>
        <v>52.713822804644288</v>
      </c>
      <c r="AJ12" s="59">
        <f t="shared" si="116"/>
        <v>0.34829274273218586</v>
      </c>
      <c r="AK12" s="59">
        <f t="shared" si="117"/>
        <v>0.3242318368678998</v>
      </c>
      <c r="AL12" s="59">
        <f t="shared" si="118"/>
        <v>0.35142548536429524</v>
      </c>
      <c r="AM12" s="59">
        <f t="shared" si="119"/>
        <v>0.62256228771141997</v>
      </c>
      <c r="AN12" s="59">
        <f t="shared" si="120"/>
        <v>0.61652831863256041</v>
      </c>
      <c r="AO12" s="59">
        <f t="shared" si="121"/>
        <v>0.62341421787289941</v>
      </c>
      <c r="AP12" s="59">
        <f t="shared" si="122"/>
        <v>4.0940943763903439</v>
      </c>
      <c r="AQ12" s="59">
        <f t="shared" si="123"/>
        <v>4.0544137864145453</v>
      </c>
      <c r="AR12" s="59">
        <f t="shared" si="124"/>
        <v>4.0996968398739773</v>
      </c>
      <c r="AS12" s="59">
        <f t="shared" si="125"/>
        <v>56.338005786218226</v>
      </c>
      <c r="AT12" s="59">
        <f t="shared" si="126"/>
        <v>52.689189316599517</v>
      </c>
      <c r="AU12" s="59">
        <f t="shared" si="127"/>
        <v>56.813519644518266</v>
      </c>
      <c r="AV12" s="77">
        <f t="shared" si="128"/>
        <v>55.274710225287095</v>
      </c>
      <c r="AW12" s="76">
        <f t="shared" si="129"/>
        <v>0.83333333333333337</v>
      </c>
      <c r="AX12" s="59">
        <f t="shared" si="130"/>
        <v>0.84533333333333327</v>
      </c>
      <c r="AY12" s="59">
        <f t="shared" si="131"/>
        <v>0.8666666666666667</v>
      </c>
      <c r="AZ12" s="59">
        <f t="shared" si="132"/>
        <v>0.88274537037037049</v>
      </c>
      <c r="BA12" s="59">
        <f t="shared" si="133"/>
        <v>0.89112764898797026</v>
      </c>
      <c r="BB12" s="59">
        <f t="shared" si="134"/>
        <v>0.90609522962962963</v>
      </c>
      <c r="BC12" s="59">
        <f t="shared" si="135"/>
        <v>5.805110473208078</v>
      </c>
      <c r="BD12" s="59">
        <f t="shared" si="136"/>
        <v>5.8602340173530454</v>
      </c>
      <c r="BE12" s="59">
        <f t="shared" si="137"/>
        <v>5.9586638274182375</v>
      </c>
      <c r="BF12" s="59">
        <f t="shared" si="138"/>
        <v>130.80511047320809</v>
      </c>
      <c r="BG12" s="59">
        <f t="shared" si="139"/>
        <v>132.66023401735305</v>
      </c>
      <c r="BH12" s="59">
        <f t="shared" si="140"/>
        <v>135.95866382741823</v>
      </c>
      <c r="BI12" s="59">
        <f t="shared" si="141"/>
        <v>133.1280219723825</v>
      </c>
      <c r="BJ12" s="77">
        <f t="shared" si="142"/>
        <v>2.408479780894067</v>
      </c>
      <c r="BK12" s="58">
        <f>VLOOKUP(U12,Lookup!$N$27:$P$36,2,FALSE)</f>
        <v>129.63</v>
      </c>
      <c r="BL12" s="59">
        <f t="shared" si="143"/>
        <v>71.840863480122039</v>
      </c>
      <c r="BM12" s="59">
        <f t="shared" si="144"/>
        <v>37.532477072610348</v>
      </c>
      <c r="BN12" s="59">
        <f t="shared" si="145"/>
        <v>33.087841629801275</v>
      </c>
      <c r="BO12" s="59">
        <f t="shared" si="146"/>
        <v>37.302014494094372</v>
      </c>
      <c r="BP12" s="59">
        <f t="shared" si="147"/>
        <v>52.243911409827881</v>
      </c>
      <c r="BQ12" s="59">
        <f t="shared" si="148"/>
        <v>48.634775530184974</v>
      </c>
      <c r="BR12" s="59">
        <f t="shared" si="149"/>
        <v>52.713822804644288</v>
      </c>
      <c r="BS12" s="59">
        <f t="shared" si="46"/>
        <v>0.34829274273218586</v>
      </c>
      <c r="BT12" s="59">
        <f t="shared" si="47"/>
        <v>0.3242318368678998</v>
      </c>
      <c r="BU12" s="59">
        <f t="shared" si="47"/>
        <v>0.3242318368678998</v>
      </c>
      <c r="BV12" s="59">
        <f t="shared" si="150"/>
        <v>0.62256228771141997</v>
      </c>
      <c r="BW12" s="59">
        <f t="shared" si="151"/>
        <v>0.61652831863256041</v>
      </c>
      <c r="BX12" s="59">
        <f t="shared" si="152"/>
        <v>0.61652831863256041</v>
      </c>
      <c r="BY12" s="59">
        <f t="shared" si="153"/>
        <v>4.0940943763903439</v>
      </c>
      <c r="BZ12" s="59">
        <f t="shared" si="154"/>
        <v>4.0544137864145453</v>
      </c>
      <c r="CA12" s="59">
        <f t="shared" si="155"/>
        <v>4.0544137864145453</v>
      </c>
      <c r="CB12" s="59">
        <f t="shared" si="156"/>
        <v>56.338005786218226</v>
      </c>
      <c r="CC12" s="59">
        <f t="shared" si="157"/>
        <v>52.689189316599517</v>
      </c>
      <c r="CD12" s="59">
        <f t="shared" si="158"/>
        <v>56.76823659105883</v>
      </c>
      <c r="CE12" s="59">
        <f t="shared" si="159"/>
        <v>55.259617383569065</v>
      </c>
      <c r="CF12" s="59">
        <f t="shared" si="160"/>
        <v>0.999726948514854</v>
      </c>
      <c r="CG12" s="64">
        <f t="shared" si="161"/>
        <v>-140.87528323792128</v>
      </c>
    </row>
    <row r="13" spans="1:86" s="18" customFormat="1" ht="65.25" customHeight="1">
      <c r="A13" s="38" t="e">
        <f>#REF!</f>
        <v>#REF!</v>
      </c>
      <c r="B13" s="38" t="e">
        <f>#REF!</f>
        <v>#REF!</v>
      </c>
      <c r="C13" s="38" t="e">
        <f>#REF!</f>
        <v>#REF!</v>
      </c>
      <c r="D13" s="38" t="s">
        <v>77</v>
      </c>
      <c r="E13" s="38">
        <v>4</v>
      </c>
      <c r="F13" s="38">
        <v>1800</v>
      </c>
      <c r="G13" s="61" t="e">
        <f>#REF!</f>
        <v>#REF!</v>
      </c>
      <c r="H13" s="61" t="e">
        <f>#REF!</f>
        <v>#REF!</v>
      </c>
      <c r="I13" s="61" t="e">
        <f>#REF!</f>
        <v>#REF!</v>
      </c>
      <c r="J13" s="61">
        <v>3</v>
      </c>
      <c r="K13" s="61">
        <v>349.83050847457599</v>
      </c>
      <c r="L13" s="61">
        <v>424.42976156276899</v>
      </c>
      <c r="M13" s="61">
        <v>5.7</v>
      </c>
      <c r="N13" s="62">
        <v>262.37288135593218</v>
      </c>
      <c r="O13" s="62">
        <v>498.89112324044811</v>
      </c>
      <c r="P13" s="62">
        <v>6.2</v>
      </c>
      <c r="Q13" s="62">
        <v>384.81355932203388</v>
      </c>
      <c r="R13" s="62">
        <v>383.47601264004595</v>
      </c>
      <c r="S13" s="62">
        <v>6.7</v>
      </c>
      <c r="T13" s="62">
        <v>6.8</v>
      </c>
      <c r="U13" s="72" t="str">
        <f t="shared" si="105"/>
        <v>ESCC-1800</v>
      </c>
      <c r="V13" s="59">
        <f>T13/(IF(D13=Lookup!$A$56,1.15,1))</f>
        <v>6.8</v>
      </c>
      <c r="W13" s="59">
        <f t="shared" si="106"/>
        <v>820.70657853398313</v>
      </c>
      <c r="X13" s="39">
        <f>INDEX(Lookup!$E$27:$E$46,(MATCH(V13,Lookup!$E$27:$E$46,-1)))</f>
        <v>7.5</v>
      </c>
      <c r="Y13" s="63" t="str">
        <f t="shared" si="107"/>
        <v>ESCC-7.5-1800</v>
      </c>
      <c r="Z13" s="39">
        <f>VLOOKUP(Y13,Lookup!$U$28:$V$227,2,FALSE)</f>
        <v>91</v>
      </c>
      <c r="AA13" s="63">
        <f t="shared" si="108"/>
        <v>0.7417582417582409</v>
      </c>
      <c r="AB13" s="73">
        <f>VLOOKUP(U13,Lookup!$N$27:$P$36,3,FALSE)</f>
        <v>128.47</v>
      </c>
      <c r="AC13" s="76">
        <f t="shared" si="109"/>
        <v>65.679241633829974</v>
      </c>
      <c r="AD13" s="59">
        <f t="shared" si="110"/>
        <v>37.532477072610348</v>
      </c>
      <c r="AE13" s="59">
        <f t="shared" si="111"/>
        <v>33.087841629801275</v>
      </c>
      <c r="AF13" s="59">
        <f t="shared" si="112"/>
        <v>37.302014494094372</v>
      </c>
      <c r="AG13" s="59">
        <f t="shared" si="113"/>
        <v>57.145113340160997</v>
      </c>
      <c r="AH13" s="59">
        <f t="shared" si="114"/>
        <v>53.197390565647645</v>
      </c>
      <c r="AI13" s="59">
        <f t="shared" si="115"/>
        <v>57.659108927244191</v>
      </c>
      <c r="AJ13" s="59">
        <f t="shared" si="116"/>
        <v>1</v>
      </c>
      <c r="AK13" s="59">
        <f t="shared" si="117"/>
        <v>1</v>
      </c>
      <c r="AL13" s="59">
        <f t="shared" si="118"/>
        <v>1</v>
      </c>
      <c r="AM13" s="59">
        <f t="shared" si="119"/>
        <v>1</v>
      </c>
      <c r="AN13" s="59">
        <f t="shared" si="120"/>
        <v>1</v>
      </c>
      <c r="AO13" s="59">
        <f t="shared" si="121"/>
        <v>1</v>
      </c>
      <c r="AP13" s="59">
        <f t="shared" si="122"/>
        <v>0.7417582417582409</v>
      </c>
      <c r="AQ13" s="59">
        <f t="shared" si="123"/>
        <v>0.7417582417582409</v>
      </c>
      <c r="AR13" s="59">
        <f t="shared" si="124"/>
        <v>0.7417582417582409</v>
      </c>
      <c r="AS13" s="59">
        <f t="shared" si="125"/>
        <v>57.886871581919237</v>
      </c>
      <c r="AT13" s="59">
        <f t="shared" si="126"/>
        <v>53.939148807405886</v>
      </c>
      <c r="AU13" s="59">
        <f t="shared" si="127"/>
        <v>58.400867169002431</v>
      </c>
      <c r="AV13" s="77">
        <f t="shared" si="128"/>
        <v>56.736621623190572</v>
      </c>
      <c r="AW13" s="76">
        <f t="shared" si="129"/>
        <v>0.76</v>
      </c>
      <c r="AX13" s="59">
        <f t="shared" si="130"/>
        <v>0.82666666666666666</v>
      </c>
      <c r="AY13" s="59">
        <f t="shared" si="131"/>
        <v>0.89333333333333331</v>
      </c>
      <c r="AZ13" s="59">
        <f t="shared" si="132"/>
        <v>0.83239985919999993</v>
      </c>
      <c r="BA13" s="59">
        <f t="shared" si="133"/>
        <v>0.87810229949629637</v>
      </c>
      <c r="BB13" s="59">
        <f t="shared" si="134"/>
        <v>0.92488843757037031</v>
      </c>
      <c r="BC13" s="59">
        <f t="shared" si="135"/>
        <v>0.61743945599999928</v>
      </c>
      <c r="BD13" s="59">
        <f t="shared" si="136"/>
        <v>0.65133961775824101</v>
      </c>
      <c r="BE13" s="59">
        <f t="shared" si="137"/>
        <v>0.6860436212747244</v>
      </c>
      <c r="BF13" s="59">
        <f t="shared" si="138"/>
        <v>6.3174394559999998</v>
      </c>
      <c r="BG13" s="59">
        <f t="shared" si="139"/>
        <v>6.8513396177582413</v>
      </c>
      <c r="BH13" s="59">
        <f t="shared" si="140"/>
        <v>7.3860436212747249</v>
      </c>
      <c r="BI13" s="59">
        <f t="shared" si="141"/>
        <v>6.8509224042544874</v>
      </c>
      <c r="BJ13" s="77">
        <f t="shared" si="142"/>
        <v>0.12074956541744875</v>
      </c>
      <c r="BK13" s="58">
        <f>VLOOKUP(U13,Lookup!$N$27:$P$36,2,FALSE)</f>
        <v>134.43</v>
      </c>
      <c r="BL13" s="59">
        <f t="shared" si="143"/>
        <v>59.719241633830052</v>
      </c>
      <c r="BM13" s="59">
        <f t="shared" si="144"/>
        <v>37.532477072610348</v>
      </c>
      <c r="BN13" s="59">
        <f t="shared" si="145"/>
        <v>33.087841629801275</v>
      </c>
      <c r="BO13" s="59">
        <f t="shared" si="146"/>
        <v>37.302014494094372</v>
      </c>
      <c r="BP13" s="59">
        <f t="shared" si="147"/>
        <v>62.848214487956191</v>
      </c>
      <c r="BQ13" s="59">
        <f t="shared" si="148"/>
        <v>58.506507679279046</v>
      </c>
      <c r="BR13" s="59">
        <f t="shared" si="149"/>
        <v>63.413507004055994</v>
      </c>
      <c r="BS13" s="59">
        <f t="shared" si="46"/>
        <v>1</v>
      </c>
      <c r="BT13" s="59">
        <f t="shared" si="47"/>
        <v>1</v>
      </c>
      <c r="BU13" s="59">
        <f t="shared" si="47"/>
        <v>1</v>
      </c>
      <c r="BV13" s="59">
        <f t="shared" si="150"/>
        <v>1</v>
      </c>
      <c r="BW13" s="59">
        <f t="shared" si="151"/>
        <v>1</v>
      </c>
      <c r="BX13" s="59">
        <f t="shared" si="152"/>
        <v>1</v>
      </c>
      <c r="BY13" s="59">
        <f t="shared" si="153"/>
        <v>0.7417582417582409</v>
      </c>
      <c r="BZ13" s="59">
        <f t="shared" si="154"/>
        <v>0.7417582417582409</v>
      </c>
      <c r="CA13" s="59">
        <f t="shared" si="155"/>
        <v>0.7417582417582409</v>
      </c>
      <c r="CB13" s="59">
        <f t="shared" si="156"/>
        <v>63.589972729714432</v>
      </c>
      <c r="CC13" s="59">
        <f t="shared" si="157"/>
        <v>59.248265921037287</v>
      </c>
      <c r="CD13" s="59">
        <f t="shared" si="158"/>
        <v>64.155265245814235</v>
      </c>
      <c r="CE13" s="59">
        <f t="shared" si="159"/>
        <v>62.324934848725434</v>
      </c>
      <c r="CF13" s="59">
        <f t="shared" si="160"/>
        <v>1.0984956993500419</v>
      </c>
      <c r="CG13" s="64">
        <f t="shared" si="161"/>
        <v>97.774613393259315</v>
      </c>
    </row>
    <row r="14" spans="1:86" s="18" customFormat="1" ht="65.25" customHeight="1">
      <c r="A14" s="38" t="e">
        <f>#REF!</f>
        <v>#REF!</v>
      </c>
      <c r="B14" s="38" t="e">
        <f>#REF!</f>
        <v>#REF!</v>
      </c>
      <c r="C14" s="38" t="e">
        <f>#REF!</f>
        <v>#REF!</v>
      </c>
      <c r="D14" s="38" t="s">
        <v>74</v>
      </c>
      <c r="E14" s="38">
        <v>1</v>
      </c>
      <c r="F14" s="38">
        <v>1800</v>
      </c>
      <c r="G14" s="61" t="e">
        <f>#REF!</f>
        <v>#REF!</v>
      </c>
      <c r="H14" s="61" t="e">
        <f>#REF!</f>
        <v>#REF!</v>
      </c>
      <c r="I14" s="61" t="e">
        <f>#REF!</f>
        <v>#REF!</v>
      </c>
      <c r="J14" s="61">
        <v>4</v>
      </c>
      <c r="K14" s="61">
        <v>349.83050847457599</v>
      </c>
      <c r="L14" s="61">
        <v>424.42976156276899</v>
      </c>
      <c r="M14" s="61">
        <v>76</v>
      </c>
      <c r="N14" s="62">
        <v>262.37288135593218</v>
      </c>
      <c r="O14" s="62">
        <v>498.89112324044811</v>
      </c>
      <c r="P14" s="62">
        <v>75</v>
      </c>
      <c r="Q14" s="62">
        <v>384.81355932203388</v>
      </c>
      <c r="R14" s="62">
        <v>383.47601264004595</v>
      </c>
      <c r="S14" s="62">
        <v>78</v>
      </c>
      <c r="T14" s="62">
        <v>80</v>
      </c>
      <c r="U14" s="72" t="str">
        <f t="shared" si="105"/>
        <v>IL-1800</v>
      </c>
      <c r="V14" s="59">
        <f>T14/(IF(D14=Lookup!$A$56,1.15,1))</f>
        <v>80</v>
      </c>
      <c r="W14" s="59">
        <f t="shared" si="106"/>
        <v>1018.3380398410445</v>
      </c>
      <c r="X14" s="39">
        <f>INDEX(Lookup!$E$27:$E$46,(MATCH(V14,Lookup!$E$27:$E$46,-1)))</f>
        <v>100</v>
      </c>
      <c r="Y14" s="63" t="str">
        <f t="shared" si="107"/>
        <v>IL-100-1800</v>
      </c>
      <c r="Z14" s="39">
        <f>VLOOKUP(Y14,Lookup!$U$28:$V$227,2,FALSE)</f>
        <v>95.4</v>
      </c>
      <c r="AA14" s="63">
        <f t="shared" si="108"/>
        <v>4.8218029350104814</v>
      </c>
      <c r="AB14" s="73">
        <f>VLOOKUP(U14,Lookup!$N$27:$P$36,3,FALSE)</f>
        <v>129.30000000000001</v>
      </c>
      <c r="AC14" s="76">
        <f t="shared" si="109"/>
        <v>69.387100560415661</v>
      </c>
      <c r="AD14" s="59">
        <f t="shared" si="110"/>
        <v>37.532477072610348</v>
      </c>
      <c r="AE14" s="59">
        <f t="shared" si="111"/>
        <v>33.087841629801275</v>
      </c>
      <c r="AF14" s="59">
        <f t="shared" si="112"/>
        <v>37.302014494094372</v>
      </c>
      <c r="AG14" s="59">
        <f t="shared" si="113"/>
        <v>54.091433089830076</v>
      </c>
      <c r="AH14" s="59">
        <f t="shared" si="114"/>
        <v>50.354665939790763</v>
      </c>
      <c r="AI14" s="59">
        <f t="shared" si="115"/>
        <v>54.577962143358768</v>
      </c>
      <c r="AJ14" s="59">
        <f t="shared" si="116"/>
        <v>0.54091433089830077</v>
      </c>
      <c r="AK14" s="59">
        <f t="shared" si="117"/>
        <v>0.50354665939790766</v>
      </c>
      <c r="AL14" s="59">
        <f t="shared" si="118"/>
        <v>0.54577962143358771</v>
      </c>
      <c r="AM14" s="59">
        <f t="shared" si="119"/>
        <v>0.69978703857001345</v>
      </c>
      <c r="AN14" s="59">
        <f t="shared" si="120"/>
        <v>0.68125502979213981</v>
      </c>
      <c r="AO14" s="59">
        <f t="shared" si="121"/>
        <v>0.70230738365392731</v>
      </c>
      <c r="AP14" s="59">
        <f t="shared" si="122"/>
        <v>3.3742351964591837</v>
      </c>
      <c r="AQ14" s="59">
        <f t="shared" si="123"/>
        <v>3.2848775021423928</v>
      </c>
      <c r="AR14" s="59">
        <f t="shared" si="124"/>
        <v>3.3863878037820387</v>
      </c>
      <c r="AS14" s="59">
        <f t="shared" si="125"/>
        <v>57.465668286289258</v>
      </c>
      <c r="AT14" s="59">
        <f t="shared" si="126"/>
        <v>53.639543441933156</v>
      </c>
      <c r="AU14" s="59">
        <f t="shared" si="127"/>
        <v>57.964349947140803</v>
      </c>
      <c r="AV14" s="77">
        <f t="shared" si="128"/>
        <v>56.350884906398555</v>
      </c>
      <c r="AW14" s="76">
        <f t="shared" si="129"/>
        <v>0.76</v>
      </c>
      <c r="AX14" s="59">
        <f t="shared" si="130"/>
        <v>0.75</v>
      </c>
      <c r="AY14" s="59">
        <f t="shared" si="131"/>
        <v>0.78</v>
      </c>
      <c r="AZ14" s="59">
        <f t="shared" si="132"/>
        <v>0.83239985919999993</v>
      </c>
      <c r="BA14" s="59">
        <f t="shared" si="133"/>
        <v>0.82568750000000013</v>
      </c>
      <c r="BB14" s="59">
        <f t="shared" si="134"/>
        <v>0.84594911840000009</v>
      </c>
      <c r="BC14" s="59">
        <f t="shared" si="135"/>
        <v>4.0136680841928714</v>
      </c>
      <c r="BD14" s="59">
        <f t="shared" si="136"/>
        <v>3.9813024109014674</v>
      </c>
      <c r="BE14" s="59">
        <f t="shared" si="137"/>
        <v>4.0789999419706495</v>
      </c>
      <c r="BF14" s="59">
        <f t="shared" si="138"/>
        <v>80.013668084192872</v>
      </c>
      <c r="BG14" s="59">
        <f t="shared" si="139"/>
        <v>78.981302410901463</v>
      </c>
      <c r="BH14" s="59">
        <f t="shared" si="140"/>
        <v>82.07899994197065</v>
      </c>
      <c r="BI14" s="59">
        <f t="shared" si="141"/>
        <v>80.349954346673755</v>
      </c>
      <c r="BJ14" s="77">
        <f t="shared" si="142"/>
        <v>1.4258862922940567</v>
      </c>
      <c r="BK14" s="58">
        <f>VLOOKUP(U14,Lookup!$N$27:$P$36,2,FALSE)</f>
        <v>135.91999999999999</v>
      </c>
      <c r="BL14" s="59">
        <f t="shared" si="143"/>
        <v>62.76710056041577</v>
      </c>
      <c r="BM14" s="59">
        <f t="shared" si="144"/>
        <v>37.532477072610348</v>
      </c>
      <c r="BN14" s="59">
        <f t="shared" si="145"/>
        <v>33.087841629801275</v>
      </c>
      <c r="BO14" s="59">
        <f t="shared" si="146"/>
        <v>37.302014494094372</v>
      </c>
      <c r="BP14" s="59">
        <f t="shared" si="147"/>
        <v>59.796416813110369</v>
      </c>
      <c r="BQ14" s="59">
        <f t="shared" si="148"/>
        <v>55.665535576035133</v>
      </c>
      <c r="BR14" s="59">
        <f t="shared" si="149"/>
        <v>60.334259728608203</v>
      </c>
      <c r="BS14" s="59">
        <f t="shared" si="46"/>
        <v>0.59796416813110365</v>
      </c>
      <c r="BT14" s="59">
        <f t="shared" si="47"/>
        <v>0.5566553557603513</v>
      </c>
      <c r="BU14" s="59">
        <f t="shared" si="47"/>
        <v>0.5566553557603513</v>
      </c>
      <c r="BV14" s="59">
        <f t="shared" si="150"/>
        <v>0.73077069061666644</v>
      </c>
      <c r="BW14" s="59">
        <f t="shared" si="151"/>
        <v>0.70802673231548874</v>
      </c>
      <c r="BX14" s="59">
        <f t="shared" si="152"/>
        <v>0.70802673231548874</v>
      </c>
      <c r="BY14" s="59">
        <f t="shared" si="153"/>
        <v>3.5236322608350785</v>
      </c>
      <c r="BZ14" s="59">
        <f t="shared" si="154"/>
        <v>3.413965375944704</v>
      </c>
      <c r="CA14" s="59">
        <f t="shared" si="155"/>
        <v>3.413965375944704</v>
      </c>
      <c r="CB14" s="59">
        <f t="shared" si="156"/>
        <v>63.320049073945448</v>
      </c>
      <c r="CC14" s="59">
        <f t="shared" si="157"/>
        <v>59.079500951979838</v>
      </c>
      <c r="CD14" s="59">
        <f t="shared" si="158"/>
        <v>63.748225104552908</v>
      </c>
      <c r="CE14" s="59">
        <f t="shared" si="159"/>
        <v>62.043053450988381</v>
      </c>
      <c r="CF14" s="59">
        <f t="shared" si="160"/>
        <v>1.1010129397975699</v>
      </c>
      <c r="CG14" s="64">
        <f t="shared" si="161"/>
        <v>-32.487335249648687</v>
      </c>
    </row>
    <row r="15" spans="1:86" s="18" customFormat="1" ht="65.25" customHeight="1">
      <c r="A15" s="38" t="e">
        <f>#REF!</f>
        <v>#REF!</v>
      </c>
      <c r="B15" s="38" t="e">
        <f>#REF!</f>
        <v>#REF!</v>
      </c>
      <c r="C15" s="38" t="e">
        <f>#REF!</f>
        <v>#REF!</v>
      </c>
      <c r="D15" s="38" t="s">
        <v>78</v>
      </c>
      <c r="E15" s="38">
        <v>4</v>
      </c>
      <c r="F15" s="38">
        <v>1800</v>
      </c>
      <c r="G15" s="61" t="e">
        <f>#REF!</f>
        <v>#REF!</v>
      </c>
      <c r="H15" s="61" t="e">
        <f>#REF!</f>
        <v>#REF!</v>
      </c>
      <c r="I15" s="61" t="e">
        <f>#REF!</f>
        <v>#REF!</v>
      </c>
      <c r="J15" s="61">
        <v>8</v>
      </c>
      <c r="K15" s="61">
        <v>349.83050847457599</v>
      </c>
      <c r="L15" s="61">
        <v>424.42976156276899</v>
      </c>
      <c r="M15" s="61">
        <v>187</v>
      </c>
      <c r="N15" s="62">
        <v>262.37288135593218</v>
      </c>
      <c r="O15" s="62">
        <v>498.89112324044811</v>
      </c>
      <c r="P15" s="62">
        <v>192</v>
      </c>
      <c r="Q15" s="62">
        <v>384.81355932203388</v>
      </c>
      <c r="R15" s="62">
        <v>383.47601264004595</v>
      </c>
      <c r="S15" s="62">
        <v>193</v>
      </c>
      <c r="T15" s="62">
        <v>196</v>
      </c>
      <c r="U15" s="72" t="str">
        <f t="shared" si="105"/>
        <v>ESFM-1800</v>
      </c>
      <c r="V15" s="59">
        <f>T15/(IF(D15=Lookup!$A$56,1.15,1))</f>
        <v>196</v>
      </c>
      <c r="W15" s="59">
        <f t="shared" si="106"/>
        <v>1712.6336144376583</v>
      </c>
      <c r="X15" s="39">
        <f>INDEX(Lookup!$E$27:$E$46,(MATCH(V15,Lookup!$E$27:$E$46,-1)))</f>
        <v>200</v>
      </c>
      <c r="Y15" s="63" t="str">
        <f t="shared" si="107"/>
        <v>ESFM-200-1800</v>
      </c>
      <c r="Z15" s="39">
        <f>VLOOKUP(Y15,Lookup!$U$28:$V$227,2,FALSE)</f>
        <v>95.8</v>
      </c>
      <c r="AA15" s="63">
        <f t="shared" si="108"/>
        <v>8.768267223382054</v>
      </c>
      <c r="AB15" s="73">
        <f>VLOOKUP(U15,Lookup!$N$27:$P$36,3,FALSE)</f>
        <v>128.85</v>
      </c>
      <c r="AC15" s="76">
        <f t="shared" si="109"/>
        <v>76.380522730686721</v>
      </c>
      <c r="AD15" s="59">
        <f t="shared" si="110"/>
        <v>37.532477072610348</v>
      </c>
      <c r="AE15" s="59">
        <f t="shared" si="111"/>
        <v>33.087841629801275</v>
      </c>
      <c r="AF15" s="59">
        <f t="shared" si="112"/>
        <v>37.302014494094372</v>
      </c>
      <c r="AG15" s="59">
        <f t="shared" si="113"/>
        <v>49.138806243769345</v>
      </c>
      <c r="AH15" s="59">
        <f t="shared" si="114"/>
        <v>45.744178546275649</v>
      </c>
      <c r="AI15" s="59">
        <f t="shared" si="115"/>
        <v>49.580788560148491</v>
      </c>
      <c r="AJ15" s="59">
        <f t="shared" si="116"/>
        <v>0.24569403121884673</v>
      </c>
      <c r="AK15" s="59">
        <f t="shared" si="117"/>
        <v>0.22872089273137824</v>
      </c>
      <c r="AL15" s="59">
        <f t="shared" si="118"/>
        <v>0.24790394280074246</v>
      </c>
      <c r="AM15" s="59">
        <f t="shared" si="119"/>
        <v>0.60348823043423327</v>
      </c>
      <c r="AN15" s="59">
        <f t="shared" si="120"/>
        <v>0.60209645697613501</v>
      </c>
      <c r="AO15" s="59">
        <f t="shared" si="121"/>
        <v>0.60370819894530059</v>
      </c>
      <c r="AP15" s="59">
        <f t="shared" si="122"/>
        <v>5.2915460706133235</v>
      </c>
      <c r="AQ15" s="59">
        <f t="shared" si="123"/>
        <v>5.2793426290183074</v>
      </c>
      <c r="AR15" s="59">
        <f t="shared" si="124"/>
        <v>5.2934748132990919</v>
      </c>
      <c r="AS15" s="59">
        <f t="shared" si="125"/>
        <v>54.430352314382667</v>
      </c>
      <c r="AT15" s="59">
        <f t="shared" si="126"/>
        <v>51.023521175293958</v>
      </c>
      <c r="AU15" s="59">
        <f t="shared" si="127"/>
        <v>54.874263373447583</v>
      </c>
      <c r="AV15" s="77">
        <f t="shared" si="128"/>
        <v>53.437368016479297</v>
      </c>
      <c r="AW15" s="76">
        <f t="shared" si="129"/>
        <v>0.93500000000000005</v>
      </c>
      <c r="AX15" s="59">
        <f t="shared" si="130"/>
        <v>0.96</v>
      </c>
      <c r="AY15" s="59">
        <f t="shared" si="131"/>
        <v>0.96499999999999997</v>
      </c>
      <c r="AZ15" s="59">
        <f t="shared" si="132"/>
        <v>0.9543239884500001</v>
      </c>
      <c r="BA15" s="59">
        <f t="shared" si="133"/>
        <v>0.97195685120000008</v>
      </c>
      <c r="BB15" s="59">
        <f t="shared" si="134"/>
        <v>0.97547601555000008</v>
      </c>
      <c r="BC15" s="59">
        <f t="shared" si="135"/>
        <v>8.3677677484133692</v>
      </c>
      <c r="BD15" s="59">
        <f t="shared" si="136"/>
        <v>8.5223774009185895</v>
      </c>
      <c r="BE15" s="59">
        <f t="shared" si="137"/>
        <v>8.553234374342388</v>
      </c>
      <c r="BF15" s="59">
        <f t="shared" si="138"/>
        <v>195.36776774841337</v>
      </c>
      <c r="BG15" s="59">
        <f t="shared" si="139"/>
        <v>200.5223774009186</v>
      </c>
      <c r="BH15" s="59">
        <f t="shared" si="140"/>
        <v>201.5532343743424</v>
      </c>
      <c r="BI15" s="59">
        <f t="shared" si="141"/>
        <v>199.12787839524066</v>
      </c>
      <c r="BJ15" s="77">
        <f t="shared" si="142"/>
        <v>3.7263788578403143</v>
      </c>
      <c r="BK15" s="58">
        <f>VLOOKUP(U15,Lookup!$N$27:$P$36,2,FALSE)</f>
        <v>134.99</v>
      </c>
      <c r="BL15" s="59">
        <f t="shared" si="143"/>
        <v>70.240522730686735</v>
      </c>
      <c r="BM15" s="59">
        <f t="shared" si="144"/>
        <v>37.532477072610348</v>
      </c>
      <c r="BN15" s="59">
        <f t="shared" si="145"/>
        <v>33.087841629801275</v>
      </c>
      <c r="BO15" s="59">
        <f t="shared" si="146"/>
        <v>37.302014494094372</v>
      </c>
      <c r="BP15" s="59">
        <f t="shared" si="147"/>
        <v>53.4342223171029</v>
      </c>
      <c r="BQ15" s="59">
        <f t="shared" si="148"/>
        <v>49.742856878312395</v>
      </c>
      <c r="BR15" s="59">
        <f t="shared" si="149"/>
        <v>53.91484004388429</v>
      </c>
      <c r="BS15" s="59">
        <f t="shared" si="46"/>
        <v>0.26717111158551449</v>
      </c>
      <c r="BT15" s="59">
        <f t="shared" si="47"/>
        <v>0.24871428439156198</v>
      </c>
      <c r="BU15" s="59">
        <f t="shared" si="47"/>
        <v>0.24871428439156198</v>
      </c>
      <c r="BV15" s="59">
        <f t="shared" si="150"/>
        <v>0.60599715808457155</v>
      </c>
      <c r="BW15" s="59">
        <f t="shared" si="151"/>
        <v>0.60379107369533802</v>
      </c>
      <c r="BX15" s="59">
        <f t="shared" si="152"/>
        <v>0.60379107369533802</v>
      </c>
      <c r="BY15" s="59">
        <f t="shared" si="153"/>
        <v>5.3135450186956215</v>
      </c>
      <c r="BZ15" s="59">
        <f t="shared" si="154"/>
        <v>5.2942014812534905</v>
      </c>
      <c r="CA15" s="59">
        <f t="shared" si="155"/>
        <v>5.2942014812534905</v>
      </c>
      <c r="CB15" s="59">
        <f t="shared" si="156"/>
        <v>58.747767335798521</v>
      </c>
      <c r="CC15" s="59">
        <f t="shared" si="157"/>
        <v>55.037058359565883</v>
      </c>
      <c r="CD15" s="59">
        <f t="shared" si="158"/>
        <v>59.209041525137778</v>
      </c>
      <c r="CE15" s="59">
        <f t="shared" si="159"/>
        <v>57.65885594459337</v>
      </c>
      <c r="CF15" s="59">
        <f t="shared" si="160"/>
        <v>1.078998799619252</v>
      </c>
      <c r="CG15" s="64">
        <f t="shared" si="161"/>
        <v>-264.73800582210623</v>
      </c>
    </row>
  </sheetData>
  <mergeCells count="7">
    <mergeCell ref="BK2:CG2"/>
    <mergeCell ref="BK3:CG3"/>
    <mergeCell ref="A3:T3"/>
    <mergeCell ref="U3:AB3"/>
    <mergeCell ref="AC3:AV3"/>
    <mergeCell ref="AW3:BJ3"/>
    <mergeCell ref="A2:BJ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abSelected="1" topLeftCell="D4" zoomScale="125" zoomScaleNormal="125" zoomScalePageLayoutView="125" workbookViewId="0">
      <selection activeCell="K6" sqref="K6"/>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157" t="s">
        <v>446</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9"/>
      <c r="BB2" s="157" t="s">
        <v>350</v>
      </c>
      <c r="BC2" s="158"/>
      <c r="BD2" s="158"/>
      <c r="BE2" s="158"/>
      <c r="BF2" s="158"/>
      <c r="BG2" s="158"/>
      <c r="BH2" s="158"/>
      <c r="BI2" s="158"/>
      <c r="BJ2" s="158"/>
      <c r="BK2" s="158"/>
      <c r="BL2" s="158"/>
      <c r="BM2" s="158"/>
      <c r="BN2" s="158"/>
      <c r="BO2" s="158"/>
      <c r="BP2" s="158"/>
      <c r="BQ2" s="158"/>
      <c r="BR2" s="158"/>
      <c r="BS2" s="158"/>
      <c r="BT2" s="158"/>
      <c r="BU2" s="158"/>
      <c r="BV2" s="158"/>
      <c r="BW2" s="158"/>
      <c r="BX2" s="159"/>
      <c r="BY2" s="98"/>
      <c r="BZ2" s="98"/>
      <c r="CA2" s="98"/>
      <c r="CB2" s="98"/>
      <c r="CC2" s="98"/>
      <c r="CD2" s="98"/>
      <c r="CE2" s="98"/>
      <c r="CF2" s="98"/>
      <c r="CG2" s="98"/>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4"/>
      <c r="U3" s="164"/>
      <c r="V3" s="164"/>
      <c r="W3" s="164"/>
      <c r="X3" s="164"/>
      <c r="Y3" s="181"/>
      <c r="Z3" s="166" t="s">
        <v>347</v>
      </c>
      <c r="AA3" s="167"/>
      <c r="AB3" s="167"/>
      <c r="AC3" s="167"/>
      <c r="AD3" s="167"/>
      <c r="AE3" s="179"/>
      <c r="AF3" s="169" t="s">
        <v>431</v>
      </c>
      <c r="AG3" s="170"/>
      <c r="AH3" s="170"/>
      <c r="AI3" s="170"/>
      <c r="AJ3" s="170"/>
      <c r="AK3" s="170"/>
      <c r="AL3" s="170"/>
      <c r="AM3" s="170"/>
      <c r="AN3" s="170"/>
      <c r="AO3" s="170"/>
      <c r="AP3" s="170"/>
      <c r="AQ3" s="170"/>
      <c r="AR3" s="170"/>
      <c r="AS3" s="170"/>
      <c r="AT3" s="170"/>
      <c r="AU3" s="170"/>
      <c r="AV3" s="170"/>
      <c r="AW3" s="170"/>
      <c r="AX3" s="170"/>
      <c r="AY3" s="180"/>
      <c r="AZ3" s="172" t="s">
        <v>432</v>
      </c>
      <c r="BA3" s="178"/>
      <c r="BB3" s="176" t="s">
        <v>433</v>
      </c>
      <c r="BC3" s="177"/>
      <c r="BD3" s="177"/>
      <c r="BE3" s="177"/>
      <c r="BF3" s="177"/>
      <c r="BG3" s="177"/>
      <c r="BH3" s="177"/>
      <c r="BI3" s="177"/>
      <c r="BJ3" s="177"/>
      <c r="BK3" s="177"/>
      <c r="BL3" s="177"/>
      <c r="BM3" s="177"/>
      <c r="BN3" s="177"/>
      <c r="BO3" s="177"/>
      <c r="BP3" s="177"/>
      <c r="BQ3" s="177"/>
      <c r="BR3" s="177"/>
      <c r="BS3" s="177"/>
      <c r="BT3" s="177"/>
      <c r="BU3" s="177"/>
      <c r="BV3" s="177"/>
      <c r="BW3" s="177"/>
      <c r="BX3" s="177"/>
      <c r="BY3" s="99"/>
      <c r="BZ3" s="99"/>
      <c r="CA3" s="99"/>
      <c r="CB3" s="99"/>
      <c r="CC3" s="99"/>
      <c r="CD3" s="99"/>
      <c r="CE3" s="99"/>
      <c r="CF3" s="99"/>
      <c r="CG3" s="99"/>
      <c r="CH3" s="99"/>
    </row>
    <row r="4" spans="1:86" s="16" customFormat="1" ht="52.5" customHeight="1">
      <c r="A4" s="56"/>
      <c r="B4" s="56"/>
      <c r="C4" s="56"/>
      <c r="D4" s="56"/>
      <c r="E4" s="56"/>
      <c r="F4" s="66" t="s">
        <v>367</v>
      </c>
      <c r="G4" s="133"/>
      <c r="H4" s="66"/>
      <c r="I4" s="56"/>
      <c r="J4" s="66"/>
      <c r="K4" s="95" t="s">
        <v>450</v>
      </c>
      <c r="L4" s="69" t="s">
        <v>572</v>
      </c>
      <c r="M4" s="66" t="s">
        <v>351</v>
      </c>
      <c r="N4" s="66" t="s">
        <v>352</v>
      </c>
      <c r="O4" s="66" t="s">
        <v>353</v>
      </c>
      <c r="P4" s="79" t="s">
        <v>395</v>
      </c>
      <c r="Q4" s="66" t="s">
        <v>355</v>
      </c>
      <c r="R4" s="66" t="s">
        <v>356</v>
      </c>
      <c r="S4" s="79" t="s">
        <v>396</v>
      </c>
      <c r="T4" s="66" t="s">
        <v>358</v>
      </c>
      <c r="U4" s="66" t="s">
        <v>359</v>
      </c>
      <c r="V4" s="92" t="s">
        <v>397</v>
      </c>
      <c r="W4" s="56"/>
      <c r="X4" s="66"/>
      <c r="Y4" s="56"/>
      <c r="Z4" s="70"/>
      <c r="AA4" s="60" t="s">
        <v>370</v>
      </c>
      <c r="AB4" s="68"/>
      <c r="AC4" s="69" t="s">
        <v>373</v>
      </c>
      <c r="AD4" s="60" t="s">
        <v>374</v>
      </c>
      <c r="AE4" s="71" t="s">
        <v>375</v>
      </c>
      <c r="AF4" s="75" t="s">
        <v>376</v>
      </c>
      <c r="AG4" s="60" t="s">
        <v>377</v>
      </c>
      <c r="AH4" s="60" t="s">
        <v>378</v>
      </c>
      <c r="AI4" s="60" t="s">
        <v>379</v>
      </c>
      <c r="AJ4" s="74" t="s">
        <v>380</v>
      </c>
      <c r="AK4" s="74" t="s">
        <v>411</v>
      </c>
      <c r="AL4" s="74" t="s">
        <v>381</v>
      </c>
      <c r="AM4" s="60" t="s">
        <v>405</v>
      </c>
      <c r="AN4" s="60" t="s">
        <v>406</v>
      </c>
      <c r="AO4" s="60" t="s">
        <v>407</v>
      </c>
      <c r="AP4" s="60" t="s">
        <v>408</v>
      </c>
      <c r="AQ4" s="60" t="s">
        <v>409</v>
      </c>
      <c r="AR4" s="60" t="s">
        <v>410</v>
      </c>
      <c r="AS4" s="60" t="s">
        <v>412</v>
      </c>
      <c r="AT4" s="60" t="s">
        <v>413</v>
      </c>
      <c r="AU4" s="60" t="s">
        <v>414</v>
      </c>
      <c r="AV4" s="74" t="s">
        <v>391</v>
      </c>
      <c r="AW4" s="74" t="s">
        <v>392</v>
      </c>
      <c r="AX4" s="74" t="s">
        <v>393</v>
      </c>
      <c r="AY4" s="71" t="s">
        <v>394</v>
      </c>
      <c r="AZ4" s="66" t="s">
        <v>398</v>
      </c>
      <c r="BA4" s="67" t="s">
        <v>399</v>
      </c>
      <c r="BB4" s="83" t="s">
        <v>400</v>
      </c>
      <c r="BC4" s="80" t="s">
        <v>401</v>
      </c>
      <c r="BD4" s="60" t="s">
        <v>377</v>
      </c>
      <c r="BE4" s="60" t="s">
        <v>378</v>
      </c>
      <c r="BF4" s="60" t="s">
        <v>379</v>
      </c>
      <c r="BG4" s="74" t="s">
        <v>402</v>
      </c>
      <c r="BH4" s="74" t="s">
        <v>403</v>
      </c>
      <c r="BI4" s="74" t="s">
        <v>404</v>
      </c>
      <c r="BJ4" s="60" t="s">
        <v>415</v>
      </c>
      <c r="BK4" s="60" t="s">
        <v>416</v>
      </c>
      <c r="BL4" s="60" t="s">
        <v>417</v>
      </c>
      <c r="BM4" s="60" t="s">
        <v>418</v>
      </c>
      <c r="BN4" s="60" t="s">
        <v>419</v>
      </c>
      <c r="BO4" s="60" t="s">
        <v>420</v>
      </c>
      <c r="BP4" s="60" t="s">
        <v>421</v>
      </c>
      <c r="BQ4" s="60" t="s">
        <v>422</v>
      </c>
      <c r="BR4" s="60" t="s">
        <v>423</v>
      </c>
      <c r="BS4" s="74" t="s">
        <v>424</v>
      </c>
      <c r="BT4" s="74" t="s">
        <v>425</v>
      </c>
      <c r="BU4" s="74" t="s">
        <v>426</v>
      </c>
      <c r="BV4" s="81" t="s">
        <v>428</v>
      </c>
      <c r="BW4" s="81" t="s">
        <v>427</v>
      </c>
      <c r="BX4" s="82" t="s">
        <v>429</v>
      </c>
    </row>
    <row r="5" spans="1:86" s="18" customFormat="1" ht="78.75" customHeight="1">
      <c r="A5" s="54" t="s">
        <v>329</v>
      </c>
      <c r="B5" s="54" t="s">
        <v>12</v>
      </c>
      <c r="C5" s="54" t="s">
        <v>27</v>
      </c>
      <c r="D5" s="54" t="s">
        <v>89</v>
      </c>
      <c r="E5" s="54" t="s">
        <v>348</v>
      </c>
      <c r="F5" s="54" t="s">
        <v>4</v>
      </c>
      <c r="G5" s="103" t="s">
        <v>569</v>
      </c>
      <c r="H5" s="88" t="s">
        <v>3</v>
      </c>
      <c r="I5" s="88" t="s">
        <v>14</v>
      </c>
      <c r="J5" s="88" t="s">
        <v>349</v>
      </c>
      <c r="K5" s="96" t="s">
        <v>372</v>
      </c>
      <c r="L5" s="100" t="s">
        <v>573</v>
      </c>
      <c r="M5" s="54" t="s">
        <v>15</v>
      </c>
      <c r="N5" s="54" t="s">
        <v>13</v>
      </c>
      <c r="O5" s="54" t="s">
        <v>24</v>
      </c>
      <c r="P5" s="54" t="s">
        <v>456</v>
      </c>
      <c r="Q5" s="54" t="s">
        <v>49</v>
      </c>
      <c r="R5" s="54" t="s">
        <v>50</v>
      </c>
      <c r="S5" s="54" t="s">
        <v>455</v>
      </c>
      <c r="T5" s="54" t="s">
        <v>51</v>
      </c>
      <c r="U5" s="54" t="s">
        <v>52</v>
      </c>
      <c r="V5" s="93" t="s">
        <v>457</v>
      </c>
      <c r="W5" s="54" t="s">
        <v>3</v>
      </c>
      <c r="X5" s="54" t="s">
        <v>14</v>
      </c>
      <c r="Y5" s="54" t="s">
        <v>349</v>
      </c>
      <c r="Z5" s="41" t="s">
        <v>2</v>
      </c>
      <c r="AA5" s="54" t="s">
        <v>435</v>
      </c>
      <c r="AB5" s="54" t="s">
        <v>96</v>
      </c>
      <c r="AC5" s="54" t="s">
        <v>297</v>
      </c>
      <c r="AD5" s="57"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e">
        <f>#REF!</f>
        <v>#REF!</v>
      </c>
      <c r="B6" s="38" t="e">
        <f>#REF!</f>
        <v>#REF!</v>
      </c>
      <c r="C6" s="38" t="e">
        <f>#REF!</f>
        <v>#REF!</v>
      </c>
      <c r="D6" s="38" t="s">
        <v>75</v>
      </c>
      <c r="E6" s="38" t="s">
        <v>581</v>
      </c>
      <c r="F6" s="38">
        <v>3600</v>
      </c>
      <c r="G6" s="38" t="s">
        <v>45</v>
      </c>
      <c r="H6" s="61" t="s">
        <v>10</v>
      </c>
      <c r="I6" s="61" t="s">
        <v>11</v>
      </c>
      <c r="J6" s="61" t="s">
        <v>9</v>
      </c>
      <c r="K6" s="97">
        <v>60</v>
      </c>
      <c r="L6" s="97" t="s">
        <v>581</v>
      </c>
      <c r="M6" s="61">
        <v>9</v>
      </c>
      <c r="N6" s="61">
        <v>349.83050847457628</v>
      </c>
      <c r="O6" s="61">
        <v>424.42976156276927</v>
      </c>
      <c r="P6" s="62">
        <v>51.414352154260818</v>
      </c>
      <c r="Q6" s="62">
        <v>262.37288135593218</v>
      </c>
      <c r="R6" s="62">
        <v>498.89112324044811</v>
      </c>
      <c r="S6" s="62">
        <v>49.201251494128293</v>
      </c>
      <c r="T6" s="62">
        <v>384.81355932203388</v>
      </c>
      <c r="U6" s="62">
        <v>383.47601264004595</v>
      </c>
      <c r="V6" s="94">
        <v>51.808353464019966</v>
      </c>
      <c r="W6" s="61" t="s">
        <v>10</v>
      </c>
      <c r="X6" s="61" t="s">
        <v>11</v>
      </c>
      <c r="Y6" s="61" t="s">
        <v>9</v>
      </c>
      <c r="Z6" s="72" t="str">
        <f t="shared" ref="Z6:Z17" si="1">D6&amp;-F6</f>
        <v>RSV-3600</v>
      </c>
      <c r="AA6" s="59">
        <f t="shared" ref="AA6:AA17" si="2">((F6*SQRT(N6)/(O6/M6)^0.75))</f>
        <v>3741.6128749148484</v>
      </c>
      <c r="AB6" s="63" t="str">
        <f t="shared" ref="AB6:AB17" si="3">D6&amp;-K6&amp;-F6</f>
        <v>RSV-60-3600</v>
      </c>
      <c r="AC6" s="39">
        <f>VLOOKUP(AB6,Lookup!$U$28:$V$227,2,FALSE)</f>
        <v>93.6</v>
      </c>
      <c r="AD6" s="63">
        <f t="shared" ref="AD6:AD17" si="4">K6/(AC6/100)-K6</f>
        <v>4.1025641025641022</v>
      </c>
      <c r="AE6" s="73">
        <f>VLOOKUP(Z6,Lookup!$N$27:$P$36,3,FALSE)</f>
        <v>133.19999999999999</v>
      </c>
      <c r="AF6" s="76">
        <f t="shared" ref="AF6:AF17" si="5">-0.85*(LN(N6))^2-0.38*LN(AA6)*LN(N6)-11.48*(LN(AA6))^2+17.8*LN(N6)+179.8*LN(AA6)-(AE6+555.6)</f>
        <v>70.192037427421042</v>
      </c>
      <c r="AG6" s="59">
        <f t="shared" ref="AG6:AG17" si="6">N6*O6/3956</f>
        <v>37.532477072610398</v>
      </c>
      <c r="AH6" s="59">
        <f t="shared" ref="AH6:AH17" si="7">Q6*R6/3956</f>
        <v>33.087841629801275</v>
      </c>
      <c r="AI6" s="59">
        <f t="shared" ref="AI6:AI17" si="8">T6*U6/3956</f>
        <v>37.302014494094372</v>
      </c>
      <c r="AJ6" s="59">
        <f t="shared" ref="AJ6:AJ17" si="9">AG6/(AF6/100)</f>
        <v>53.471132122955098</v>
      </c>
      <c r="AK6" s="59">
        <f t="shared" ref="AK6:AK17" si="10">AH6/(AF6/100*0.947)</f>
        <v>49.777216865419774</v>
      </c>
      <c r="AL6" s="59">
        <f t="shared" ref="AL6:AL17" si="11">AI6/(AF6/100*0.985)</f>
        <v>53.952081837481643</v>
      </c>
      <c r="AM6" s="59">
        <f t="shared" ref="AM6:AM17" si="12">IF((AJ6/K6)&gt;=1,1,(AJ6/K6))</f>
        <v>0.89118553538258494</v>
      </c>
      <c r="AN6" s="59">
        <f t="shared" ref="AN6:AN17" si="13">IF((AK6/K6)&gt;=1,1,(AK6/K6))</f>
        <v>0.82962028109032959</v>
      </c>
      <c r="AO6" s="59">
        <f t="shared" ref="AO6:AO17" si="14">IF((AL6/K6)&gt;=1,1,(AL6/K6))</f>
        <v>0.89920136395802741</v>
      </c>
      <c r="AP6" s="59">
        <f t="shared" ref="AP6:AR6" si="15">-0.4508*AM6^3+1.2399*AM6^2+-0.4301*AM6+0.641</f>
        <v>0.92337243069226171</v>
      </c>
      <c r="AQ6" s="59">
        <f t="shared" si="15"/>
        <v>0.88015808617988056</v>
      </c>
      <c r="AR6" s="59">
        <f t="shared" si="15"/>
        <v>0.92903175726446685</v>
      </c>
      <c r="AS6" s="59">
        <f t="shared" ref="AS6:AS17" si="16">AP6*AD6</f>
        <v>3.7881945874554321</v>
      </c>
      <c r="AT6" s="59">
        <f t="shared" ref="AT6:AT17" si="17">AQ6*AD6</f>
        <v>3.6109049689430992</v>
      </c>
      <c r="AU6" s="59">
        <f t="shared" ref="AU6:AU17" si="18">AR6*AD6</f>
        <v>3.8114123374952484</v>
      </c>
      <c r="AV6" s="59">
        <f t="shared" ref="AV6:AV17" si="19">AS6+AJ6</f>
        <v>57.259326710410527</v>
      </c>
      <c r="AW6" s="59">
        <f t="shared" ref="AW6:AX6" si="20">AT6+AK6</f>
        <v>53.38812183436287</v>
      </c>
      <c r="AX6" s="59">
        <f t="shared" si="20"/>
        <v>57.763494174976891</v>
      </c>
      <c r="AY6" s="77">
        <f t="shared" ref="AY6:AY17" si="21">0.3333*(AV6)+0.3333*(AW6)+0.3333*(AX6)</f>
        <v>56.131367208492769</v>
      </c>
      <c r="AZ6" s="59">
        <f t="shared" ref="AZ6:AZ17" si="22">0.3333*(P6)+0.3333*(S6)+0.3333*(V6)</f>
        <v>50.802904905565946</v>
      </c>
      <c r="BA6" s="77">
        <f t="shared" ref="BA6:BA17" si="23">AZ6/AY6</f>
        <v>0.90507157463072418</v>
      </c>
      <c r="BB6" s="58">
        <f>VLOOKUP(Z6,Lookup!$N$27:$P$36,2,FALSE)</f>
        <v>133.19999999999999</v>
      </c>
      <c r="BC6" s="59">
        <f t="shared" ref="BC6:BC17" si="24">-0.85*(LN(N6))^2-0.38*LN(AA6)*LN(N6)-11.48*(LN(AA6))^2+17.8*LN(N6)+179.8*LN(AA6)-(BB6+555.6)</f>
        <v>70.192037427421042</v>
      </c>
      <c r="BD6" s="59">
        <f t="shared" si="0"/>
        <v>37.532477072610398</v>
      </c>
      <c r="BE6" s="59">
        <f t="shared" si="0"/>
        <v>33.087841629801275</v>
      </c>
      <c r="BF6" s="59">
        <f t="shared" si="0"/>
        <v>37.302014494094372</v>
      </c>
      <c r="BG6" s="59">
        <f t="shared" ref="BG6:BG17" si="25">AG6/(BC6/100)</f>
        <v>53.471132122955098</v>
      </c>
      <c r="BH6" s="59">
        <f t="shared" ref="BH6:BH17" si="26">AH6/(BC6/100*0.947)</f>
        <v>49.777216865419774</v>
      </c>
      <c r="BI6" s="59">
        <f t="shared" ref="BI6:BI17" si="27">AI6/(BC6/100*0.985)</f>
        <v>53.952081837481643</v>
      </c>
      <c r="BJ6" s="59">
        <f t="shared" ref="BJ6:BJ17" si="28">IF((BG6/$K6)&gt;=1,1,(BG6/$K6))</f>
        <v>0.89118553538258494</v>
      </c>
      <c r="BK6" s="59">
        <f t="shared" ref="BK6:BK17" si="29">IF((BH6/$K6)&gt;=1,1,(BH6/$K6))</f>
        <v>0.82962028109032959</v>
      </c>
      <c r="BL6" s="59">
        <f t="shared" ref="BL6:BL17" si="30">IF((BI6/$K6)&gt;=1,1,(BI6/$K6))</f>
        <v>0.89920136395802741</v>
      </c>
      <c r="BM6" s="59">
        <f t="shared" ref="BM6:BM17" si="31">-0.4508*BJ6^3+1.2399*BJ6^2+-0.4301*BJ6+0.641</f>
        <v>0.92337243069226171</v>
      </c>
      <c r="BN6" s="59">
        <f t="shared" ref="BN6:BO6" si="32">-0.4508*BK6^3+1.2399*BK6^2+-0.4301*BK6+0.641</f>
        <v>0.88015808617988056</v>
      </c>
      <c r="BO6" s="59">
        <f t="shared" si="32"/>
        <v>0.92903175726446685</v>
      </c>
      <c r="BP6" s="59">
        <f t="shared" ref="BP6:BP17" si="33">BM6*AD6</f>
        <v>3.7881945874554321</v>
      </c>
      <c r="BQ6" s="59">
        <f t="shared" ref="BQ6:BQ17" si="34">BN6*AD6</f>
        <v>3.6109049689430992</v>
      </c>
      <c r="BR6" s="59">
        <f t="shared" ref="BR6:BR17" si="35">BO6*AD6</f>
        <v>3.8114123374952484</v>
      </c>
      <c r="BS6" s="59">
        <f t="shared" ref="BS6:BS17" si="36">BP6+BG6</f>
        <v>57.259326710410527</v>
      </c>
      <c r="BT6" s="59">
        <f t="shared" ref="BT6:BU6" si="37">BQ6+BH6</f>
        <v>53.38812183436287</v>
      </c>
      <c r="BU6" s="59">
        <f t="shared" si="37"/>
        <v>57.763494174976891</v>
      </c>
      <c r="BV6" s="59">
        <f t="shared" ref="BV6:BV17" si="38">0.3333*(BG6+BP6)+0.3333*(BH6+BQ6)+0.3333*(BI6+BR6)</f>
        <v>56.131367208492769</v>
      </c>
      <c r="BW6" s="59">
        <f t="shared" ref="BW6:BW17" si="39">BV6/AY6</f>
        <v>1</v>
      </c>
      <c r="BX6" s="64">
        <f t="shared" ref="BX6:BX17" si="40">(BW6-BA6)*100</f>
        <v>9.4928425369275811</v>
      </c>
    </row>
    <row r="7" spans="1:86" s="18" customFormat="1" ht="56.25" customHeight="1">
      <c r="A7" s="38" t="e">
        <f>#REF!</f>
        <v>#REF!</v>
      </c>
      <c r="B7" s="38" t="e">
        <f>#REF!</f>
        <v>#REF!</v>
      </c>
      <c r="C7" s="38" t="e">
        <f>#REF!</f>
        <v>#REF!</v>
      </c>
      <c r="D7" s="38" t="s">
        <v>76</v>
      </c>
      <c r="E7" s="38" t="s">
        <v>581</v>
      </c>
      <c r="F7" s="38">
        <v>1800</v>
      </c>
      <c r="G7" s="38" t="s">
        <v>45</v>
      </c>
      <c r="H7" s="61" t="s">
        <v>10</v>
      </c>
      <c r="I7" s="61" t="s">
        <v>11</v>
      </c>
      <c r="J7" s="61" t="s">
        <v>9</v>
      </c>
      <c r="K7" s="97">
        <v>50</v>
      </c>
      <c r="L7" s="97" t="s">
        <v>581</v>
      </c>
      <c r="M7" s="61">
        <v>5</v>
      </c>
      <c r="N7" s="61">
        <v>349.83050847457628</v>
      </c>
      <c r="O7" s="61">
        <v>424.42976156276927</v>
      </c>
      <c r="P7" s="62">
        <v>51.414352154260818</v>
      </c>
      <c r="Q7" s="62">
        <v>262.37288135593218</v>
      </c>
      <c r="R7" s="62">
        <v>498.89112324044811</v>
      </c>
      <c r="S7" s="62">
        <v>49.201251494128293</v>
      </c>
      <c r="T7" s="62">
        <v>384.81355932203388</v>
      </c>
      <c r="U7" s="62">
        <v>383.47601264004595</v>
      </c>
      <c r="V7" s="94">
        <v>51.808353464019966</v>
      </c>
      <c r="W7" s="61" t="s">
        <v>10</v>
      </c>
      <c r="X7" s="61" t="s">
        <v>11</v>
      </c>
      <c r="Y7" s="61" t="s">
        <v>9</v>
      </c>
      <c r="Z7" s="72" t="str">
        <f t="shared" si="1"/>
        <v>ST-1800</v>
      </c>
      <c r="AA7" s="59">
        <f t="shared" si="2"/>
        <v>1203.8558203855123</v>
      </c>
      <c r="AB7" s="63" t="str">
        <f t="shared" si="3"/>
        <v>ST-50-1800</v>
      </c>
      <c r="AC7" s="39">
        <f>VLOOKUP(AB7,Lookup!$U$28:$V$227,2,FALSE)</f>
        <v>82.5</v>
      </c>
      <c r="AD7" s="63">
        <f t="shared" si="4"/>
        <v>10.606060606060609</v>
      </c>
      <c r="AE7" s="73">
        <f>VLOOKUP(Z7,Lookup!$N$27:$P$36,3,FALSE)</f>
        <v>138.78</v>
      </c>
      <c r="AF7" s="76">
        <f t="shared" si="5"/>
        <v>62.690863480122061</v>
      </c>
      <c r="AG7" s="59">
        <f t="shared" si="6"/>
        <v>37.532477072610398</v>
      </c>
      <c r="AH7" s="59">
        <f t="shared" si="7"/>
        <v>33.087841629801275</v>
      </c>
      <c r="AI7" s="59">
        <f t="shared" si="8"/>
        <v>37.302014494094372</v>
      </c>
      <c r="AJ7" s="59">
        <f t="shared" si="9"/>
        <v>59.86913401585408</v>
      </c>
      <c r="AK7" s="59">
        <f t="shared" si="10"/>
        <v>55.733229298369139</v>
      </c>
      <c r="AL7" s="59">
        <f t="shared" si="11"/>
        <v>60.407630991150306</v>
      </c>
      <c r="AM7" s="59">
        <f t="shared" si="12"/>
        <v>1</v>
      </c>
      <c r="AN7" s="59">
        <f t="shared" si="13"/>
        <v>1</v>
      </c>
      <c r="AO7" s="59">
        <f t="shared" si="14"/>
        <v>1</v>
      </c>
      <c r="AP7" s="59">
        <f t="shared" ref="AP7" si="41">-0.4508*AM7^3+1.2399*AM7^2+-0.4301*AM7+0.641</f>
        <v>1</v>
      </c>
      <c r="AQ7" s="59">
        <f t="shared" ref="AQ7" si="42">-0.4508*AN7^3+1.2399*AN7^2+-0.4301*AN7+0.641</f>
        <v>1</v>
      </c>
      <c r="AR7" s="59">
        <f t="shared" ref="AR7" si="43">-0.4508*AO7^3+1.2399*AO7^2+-0.4301*AO7+0.641</f>
        <v>1</v>
      </c>
      <c r="AS7" s="59">
        <f t="shared" si="16"/>
        <v>10.606060606060609</v>
      </c>
      <c r="AT7" s="59">
        <f t="shared" si="17"/>
        <v>10.606060606060609</v>
      </c>
      <c r="AU7" s="59">
        <f t="shared" si="18"/>
        <v>10.606060606060609</v>
      </c>
      <c r="AV7" s="59">
        <f t="shared" si="19"/>
        <v>70.475194621914682</v>
      </c>
      <c r="AW7" s="59">
        <f t="shared" ref="AW7" si="44">AT7+AK7</f>
        <v>66.339289904429748</v>
      </c>
      <c r="AX7" s="59">
        <f t="shared" ref="AX7" si="45">AU7+AL7</f>
        <v>71.013691597210908</v>
      </c>
      <c r="AY7" s="77">
        <f t="shared" si="21"/>
        <v>69.269131101980989</v>
      </c>
      <c r="AZ7" s="59">
        <f t="shared" si="22"/>
        <v>50.802904905565946</v>
      </c>
      <c r="BA7" s="77">
        <f t="shared" si="23"/>
        <v>0.73341334151819704</v>
      </c>
      <c r="BB7" s="58">
        <f>VLOOKUP(Z7,Lookup!$N$27:$P$36,2,FALSE)</f>
        <v>138.78</v>
      </c>
      <c r="BC7" s="59">
        <f t="shared" si="24"/>
        <v>62.690863480122061</v>
      </c>
      <c r="BD7" s="59">
        <f t="shared" ref="BD7" si="46">AG7</f>
        <v>37.532477072610398</v>
      </c>
      <c r="BE7" s="59">
        <f t="shared" ref="BE7" si="47">AH7</f>
        <v>33.087841629801275</v>
      </c>
      <c r="BF7" s="59">
        <f t="shared" ref="BF7" si="48">AI7</f>
        <v>37.302014494094372</v>
      </c>
      <c r="BG7" s="59">
        <f t="shared" si="25"/>
        <v>59.86913401585408</v>
      </c>
      <c r="BH7" s="59">
        <f t="shared" si="26"/>
        <v>55.733229298369139</v>
      </c>
      <c r="BI7" s="59">
        <f t="shared" si="27"/>
        <v>60.407630991150306</v>
      </c>
      <c r="BJ7" s="59">
        <f t="shared" si="28"/>
        <v>1</v>
      </c>
      <c r="BK7" s="59">
        <f t="shared" si="29"/>
        <v>1</v>
      </c>
      <c r="BL7" s="59">
        <f t="shared" si="30"/>
        <v>1</v>
      </c>
      <c r="BM7" s="59">
        <f t="shared" si="31"/>
        <v>1</v>
      </c>
      <c r="BN7" s="59">
        <f t="shared" ref="BN7" si="49">-0.4508*BK7^3+1.2399*BK7^2+-0.4301*BK7+0.641</f>
        <v>1</v>
      </c>
      <c r="BO7" s="59">
        <f t="shared" ref="BO7" si="50">-0.4508*BL7^3+1.2399*BL7^2+-0.4301*BL7+0.641</f>
        <v>1</v>
      </c>
      <c r="BP7" s="59">
        <f t="shared" si="33"/>
        <v>10.606060606060609</v>
      </c>
      <c r="BQ7" s="59">
        <f t="shared" si="34"/>
        <v>10.606060606060609</v>
      </c>
      <c r="BR7" s="59">
        <f t="shared" si="35"/>
        <v>10.606060606060609</v>
      </c>
      <c r="BS7" s="59">
        <f t="shared" si="36"/>
        <v>70.475194621914682</v>
      </c>
      <c r="BT7" s="59">
        <f t="shared" ref="BT7" si="51">BQ7+BH7</f>
        <v>66.339289904429748</v>
      </c>
      <c r="BU7" s="59">
        <f t="shared" ref="BU7" si="52">BR7+BI7</f>
        <v>71.013691597210908</v>
      </c>
      <c r="BV7" s="59">
        <f t="shared" si="38"/>
        <v>69.269131101980989</v>
      </c>
      <c r="BW7" s="59">
        <f t="shared" si="39"/>
        <v>1</v>
      </c>
      <c r="BX7" s="64">
        <f t="shared" si="40"/>
        <v>26.658665848180295</v>
      </c>
    </row>
    <row r="8" spans="1:86" s="18" customFormat="1" ht="56.25" customHeight="1">
      <c r="A8" s="38" t="e">
        <f>#REF!</f>
        <v>#REF!</v>
      </c>
      <c r="B8" s="38" t="e">
        <f>#REF!</f>
        <v>#REF!</v>
      </c>
      <c r="C8" s="38" t="e">
        <f>#REF!</f>
        <v>#REF!</v>
      </c>
      <c r="D8" s="38" t="s">
        <v>74</v>
      </c>
      <c r="E8" s="38" t="s">
        <v>581</v>
      </c>
      <c r="F8" s="38">
        <v>3600</v>
      </c>
      <c r="G8" s="38" t="s">
        <v>45</v>
      </c>
      <c r="H8" s="61" t="s">
        <v>10</v>
      </c>
      <c r="I8" s="61" t="s">
        <v>11</v>
      </c>
      <c r="J8" s="61" t="s">
        <v>9</v>
      </c>
      <c r="K8" s="97">
        <v>25</v>
      </c>
      <c r="L8" s="97" t="s">
        <v>581</v>
      </c>
      <c r="M8" s="61">
        <v>3</v>
      </c>
      <c r="N8" s="61">
        <v>349.83050847457628</v>
      </c>
      <c r="O8" s="61">
        <v>424.42976156276927</v>
      </c>
      <c r="P8" s="62">
        <v>51.414352154260818</v>
      </c>
      <c r="Q8" s="62">
        <v>262.37288135593218</v>
      </c>
      <c r="R8" s="62">
        <v>498.89112324044811</v>
      </c>
      <c r="S8" s="62">
        <v>49.201251494128293</v>
      </c>
      <c r="T8" s="62">
        <v>384.81355932203388</v>
      </c>
      <c r="U8" s="62">
        <v>383.47601264004595</v>
      </c>
      <c r="V8" s="94">
        <v>51.808353464019966</v>
      </c>
      <c r="W8" s="61" t="s">
        <v>10</v>
      </c>
      <c r="X8" s="61" t="s">
        <v>11</v>
      </c>
      <c r="Y8" s="61" t="s">
        <v>9</v>
      </c>
      <c r="Z8" s="72" t="str">
        <f t="shared" si="1"/>
        <v>IL-3600</v>
      </c>
      <c r="AA8" s="59">
        <f t="shared" si="2"/>
        <v>1641.4131570679656</v>
      </c>
      <c r="AB8" s="63" t="str">
        <f t="shared" si="3"/>
        <v>IL-25-3600</v>
      </c>
      <c r="AC8" s="39">
        <f>VLOOKUP(AB8,Lookup!$U$28:$V$227,2,FALSE)</f>
        <v>91.7</v>
      </c>
      <c r="AD8" s="63">
        <f t="shared" si="4"/>
        <v>2.2628135223555077</v>
      </c>
      <c r="AE8" s="73">
        <f>VLOOKUP(Z8,Lookup!$N$27:$P$36,3,FALSE)</f>
        <v>133.84</v>
      </c>
      <c r="AF8" s="76">
        <f t="shared" si="5"/>
        <v>71.088675997510222</v>
      </c>
      <c r="AG8" s="59">
        <f t="shared" si="6"/>
        <v>37.532477072610398</v>
      </c>
      <c r="AH8" s="59">
        <f t="shared" si="7"/>
        <v>33.087841629801275</v>
      </c>
      <c r="AI8" s="59">
        <f t="shared" si="8"/>
        <v>37.302014494094372</v>
      </c>
      <c r="AJ8" s="59">
        <f t="shared" si="9"/>
        <v>52.796702914997205</v>
      </c>
      <c r="AK8" s="59">
        <f t="shared" si="10"/>
        <v>49.149378859901255</v>
      </c>
      <c r="AL8" s="59">
        <f t="shared" si="11"/>
        <v>53.271586430396155</v>
      </c>
      <c r="AM8" s="59">
        <f t="shared" si="12"/>
        <v>1</v>
      </c>
      <c r="AN8" s="59">
        <f t="shared" si="13"/>
        <v>1</v>
      </c>
      <c r="AO8" s="59">
        <f t="shared" si="14"/>
        <v>1</v>
      </c>
      <c r="AP8" s="59">
        <f t="shared" ref="AP8:AP17" si="53">-0.4508*AM8^3+1.2399*AM8^2+-0.4301*AM8+0.641</f>
        <v>1</v>
      </c>
      <c r="AQ8" s="59">
        <f t="shared" ref="AQ8:AQ17" si="54">-0.4508*AN8^3+1.2399*AN8^2+-0.4301*AN8+0.641</f>
        <v>1</v>
      </c>
      <c r="AR8" s="59">
        <f t="shared" ref="AR8:AR17" si="55">-0.4508*AO8^3+1.2399*AO8^2+-0.4301*AO8+0.641</f>
        <v>1</v>
      </c>
      <c r="AS8" s="59">
        <f t="shared" si="16"/>
        <v>2.2628135223555077</v>
      </c>
      <c r="AT8" s="59">
        <f t="shared" si="17"/>
        <v>2.2628135223555077</v>
      </c>
      <c r="AU8" s="59">
        <f t="shared" si="18"/>
        <v>2.2628135223555077</v>
      </c>
      <c r="AV8" s="59">
        <f t="shared" si="19"/>
        <v>55.059516437352713</v>
      </c>
      <c r="AW8" s="59">
        <f t="shared" ref="AW8:AW17" si="56">AT8+AK8</f>
        <v>51.412192382256762</v>
      </c>
      <c r="AX8" s="59">
        <f t="shared" ref="AX8:AX17" si="57">AU8+AL8</f>
        <v>55.534399952751663</v>
      </c>
      <c r="AY8" s="77">
        <f t="shared" si="21"/>
        <v>53.996636053827956</v>
      </c>
      <c r="AZ8" s="59">
        <f t="shared" si="22"/>
        <v>50.802904905565946</v>
      </c>
      <c r="BA8" s="77">
        <f t="shared" si="23"/>
        <v>0.94085314601675818</v>
      </c>
      <c r="BB8" s="58">
        <f>VLOOKUP(Z8,Lookup!$N$27:$P$36,2,FALSE)</f>
        <v>141.01</v>
      </c>
      <c r="BC8" s="59">
        <f t="shared" si="24"/>
        <v>63.918675997510263</v>
      </c>
      <c r="BD8" s="59">
        <f t="shared" ref="BD8:BD17" si="58">AG8</f>
        <v>37.532477072610398</v>
      </c>
      <c r="BE8" s="59">
        <f t="shared" ref="BE8:BE17" si="59">AH8</f>
        <v>33.087841629801275</v>
      </c>
      <c r="BF8" s="59">
        <f t="shared" ref="BF8:BF17" si="60">AI8</f>
        <v>37.302014494094372</v>
      </c>
      <c r="BG8" s="59">
        <f t="shared" si="25"/>
        <v>58.719109066139524</v>
      </c>
      <c r="BH8" s="59">
        <f t="shared" si="26"/>
        <v>54.662650856323964</v>
      </c>
      <c r="BI8" s="59">
        <f t="shared" si="27"/>
        <v>59.247262064240886</v>
      </c>
      <c r="BJ8" s="59">
        <f t="shared" si="28"/>
        <v>1</v>
      </c>
      <c r="BK8" s="59">
        <f t="shared" si="29"/>
        <v>1</v>
      </c>
      <c r="BL8" s="59">
        <f t="shared" si="30"/>
        <v>1</v>
      </c>
      <c r="BM8" s="59">
        <f t="shared" si="31"/>
        <v>1</v>
      </c>
      <c r="BN8" s="59">
        <f t="shared" ref="BN8:BN17" si="61">-0.4508*BK8^3+1.2399*BK8^2+-0.4301*BK8+0.641</f>
        <v>1</v>
      </c>
      <c r="BO8" s="59">
        <f t="shared" ref="BO8:BO17" si="62">-0.4508*BL8^3+1.2399*BL8^2+-0.4301*BL8+0.641</f>
        <v>1</v>
      </c>
      <c r="BP8" s="59">
        <f t="shared" si="33"/>
        <v>2.2628135223555077</v>
      </c>
      <c r="BQ8" s="59">
        <f t="shared" si="34"/>
        <v>2.2628135223555077</v>
      </c>
      <c r="BR8" s="59">
        <f t="shared" si="35"/>
        <v>2.2628135223555077</v>
      </c>
      <c r="BS8" s="59">
        <f t="shared" si="36"/>
        <v>60.981922588495031</v>
      </c>
      <c r="BT8" s="59">
        <f t="shared" ref="BT8:BT17" si="63">BQ8+BH8</f>
        <v>56.925464378679472</v>
      </c>
      <c r="BU8" s="59">
        <f t="shared" ref="BU8:BU17" si="64">BR8+BI8</f>
        <v>61.510075586596393</v>
      </c>
      <c r="BV8" s="59">
        <f t="shared" si="38"/>
        <v>59.799840269171838</v>
      </c>
      <c r="BW8" s="59">
        <f t="shared" si="39"/>
        <v>1.1074734398187103</v>
      </c>
      <c r="BX8" s="64">
        <f t="shared" si="40"/>
        <v>16.662029380195207</v>
      </c>
    </row>
    <row r="9" spans="1:86" s="18" customFormat="1" ht="56.25" customHeight="1">
      <c r="A9" s="38" t="e">
        <f>#REF!</f>
        <v>#REF!</v>
      </c>
      <c r="B9" s="38" t="e">
        <f>#REF!</f>
        <v>#REF!</v>
      </c>
      <c r="C9" s="38" t="e">
        <f>#REF!</f>
        <v>#REF!</v>
      </c>
      <c r="D9" s="38" t="s">
        <v>77</v>
      </c>
      <c r="E9" s="38" t="s">
        <v>581</v>
      </c>
      <c r="F9" s="38">
        <v>1800</v>
      </c>
      <c r="G9" s="38" t="s">
        <v>1</v>
      </c>
      <c r="H9" s="61" t="s">
        <v>10</v>
      </c>
      <c r="I9" s="61" t="s">
        <v>11</v>
      </c>
      <c r="J9" s="61" t="s">
        <v>9</v>
      </c>
      <c r="K9" s="97">
        <v>75</v>
      </c>
      <c r="L9" s="97">
        <v>97</v>
      </c>
      <c r="M9" s="61">
        <v>5</v>
      </c>
      <c r="N9" s="61">
        <v>349.83050847457628</v>
      </c>
      <c r="O9" s="61">
        <v>424.42976156276927</v>
      </c>
      <c r="P9" s="62">
        <v>51.414352154260818</v>
      </c>
      <c r="Q9" s="62">
        <v>262.37288135593218</v>
      </c>
      <c r="R9" s="62">
        <v>498.89112324044811</v>
      </c>
      <c r="S9" s="62">
        <v>49.201251494128293</v>
      </c>
      <c r="T9" s="62">
        <v>384.81355932203388</v>
      </c>
      <c r="U9" s="62">
        <v>383.47601264004595</v>
      </c>
      <c r="V9" s="94">
        <v>51.808353464019966</v>
      </c>
      <c r="W9" s="61" t="s">
        <v>10</v>
      </c>
      <c r="X9" s="61" t="s">
        <v>11</v>
      </c>
      <c r="Y9" s="61" t="s">
        <v>9</v>
      </c>
      <c r="Z9" s="72" t="str">
        <f t="shared" si="1"/>
        <v>ESCC-1800</v>
      </c>
      <c r="AA9" s="59">
        <f t="shared" si="2"/>
        <v>1203.8558203855123</v>
      </c>
      <c r="AB9" s="63" t="str">
        <f t="shared" si="3"/>
        <v>ESCC-75-1800</v>
      </c>
      <c r="AC9" s="39">
        <f>VLOOKUP(AB9,Lookup!$U$28:$V$227,2,FALSE)</f>
        <v>95</v>
      </c>
      <c r="AD9" s="63">
        <f t="shared" si="4"/>
        <v>3.9473684210526301</v>
      </c>
      <c r="AE9" s="73">
        <f>VLOOKUP(Z9,Lookup!$N$27:$P$36,3,FALSE)</f>
        <v>128.47</v>
      </c>
      <c r="AF9" s="76">
        <f t="shared" si="5"/>
        <v>73.000863480122007</v>
      </c>
      <c r="AG9" s="59">
        <f t="shared" si="6"/>
        <v>37.532477072610398</v>
      </c>
      <c r="AH9" s="59">
        <f t="shared" si="7"/>
        <v>33.087841629801275</v>
      </c>
      <c r="AI9" s="59">
        <f t="shared" si="8"/>
        <v>37.302014494094372</v>
      </c>
      <c r="AJ9" s="59">
        <f t="shared" si="9"/>
        <v>51.413744007056053</v>
      </c>
      <c r="AK9" s="59">
        <f t="shared" si="10"/>
        <v>47.861958101383259</v>
      </c>
      <c r="AL9" s="59">
        <f t="shared" si="11"/>
        <v>51.876188405017828</v>
      </c>
      <c r="AM9" s="59">
        <f t="shared" si="12"/>
        <v>0.68551658676074734</v>
      </c>
      <c r="AN9" s="59">
        <f t="shared" si="13"/>
        <v>0.63815944135177682</v>
      </c>
      <c r="AO9" s="59">
        <f t="shared" si="14"/>
        <v>0.69168251206690434</v>
      </c>
      <c r="AP9" s="59">
        <f t="shared" si="53"/>
        <v>0.78360542683181833</v>
      </c>
      <c r="AQ9" s="59">
        <f t="shared" si="54"/>
        <v>0.7543158856598644</v>
      </c>
      <c r="AR9" s="59">
        <f t="shared" si="55"/>
        <v>0.78752830112149308</v>
      </c>
      <c r="AS9" s="59">
        <f t="shared" si="16"/>
        <v>3.093179316441387</v>
      </c>
      <c r="AT9" s="59">
        <f t="shared" si="17"/>
        <v>2.9775627065520953</v>
      </c>
      <c r="AU9" s="59">
        <f t="shared" si="18"/>
        <v>3.1086643465322084</v>
      </c>
      <c r="AV9" s="59">
        <f t="shared" si="19"/>
        <v>54.506923323497439</v>
      </c>
      <c r="AW9" s="59">
        <f t="shared" si="56"/>
        <v>50.839520807935351</v>
      </c>
      <c r="AX9" s="59">
        <f t="shared" si="57"/>
        <v>54.984852751550036</v>
      </c>
      <c r="AY9" s="77">
        <f t="shared" si="21"/>
        <v>53.438421251098177</v>
      </c>
      <c r="AZ9" s="59">
        <f t="shared" si="22"/>
        <v>50.802904905565946</v>
      </c>
      <c r="BA9" s="77">
        <f t="shared" si="23"/>
        <v>0.95068124611787497</v>
      </c>
      <c r="BB9" s="58">
        <f>VLOOKUP(Z9,Lookup!$N$27:$P$36,2,FALSE)</f>
        <v>134.43</v>
      </c>
      <c r="BC9" s="59">
        <f t="shared" si="24"/>
        <v>67.040863480122084</v>
      </c>
      <c r="BD9" s="59">
        <f t="shared" si="58"/>
        <v>37.532477072610398</v>
      </c>
      <c r="BE9" s="59">
        <f t="shared" si="59"/>
        <v>33.087841629801275</v>
      </c>
      <c r="BF9" s="59">
        <f t="shared" si="60"/>
        <v>37.302014494094372</v>
      </c>
      <c r="BG9" s="59">
        <f t="shared" si="25"/>
        <v>55.984477413151083</v>
      </c>
      <c r="BH9" s="59">
        <f t="shared" si="26"/>
        <v>52.116934178307162</v>
      </c>
      <c r="BI9" s="59">
        <f t="shared" si="27"/>
        <v>56.488033581886341</v>
      </c>
      <c r="BJ9" s="59">
        <f t="shared" si="28"/>
        <v>0.74645969884201446</v>
      </c>
      <c r="BK9" s="59">
        <f t="shared" si="29"/>
        <v>0.69489245571076219</v>
      </c>
      <c r="BL9" s="59">
        <f t="shared" si="30"/>
        <v>0.75317378109181787</v>
      </c>
      <c r="BM9" s="59">
        <f t="shared" si="31"/>
        <v>0.82332179763121593</v>
      </c>
      <c r="BN9" s="59">
        <f t="shared" si="61"/>
        <v>0.78957972928582199</v>
      </c>
      <c r="BO9" s="59">
        <f t="shared" si="62"/>
        <v>0.82781309692644289</v>
      </c>
      <c r="BP9" s="59">
        <f t="shared" si="33"/>
        <v>3.2499544643337459</v>
      </c>
      <c r="BQ9" s="59">
        <f t="shared" si="34"/>
        <v>3.1167620892861381</v>
      </c>
      <c r="BR9" s="59">
        <f t="shared" si="35"/>
        <v>3.2676832773412205</v>
      </c>
      <c r="BS9" s="59">
        <f t="shared" si="36"/>
        <v>59.23443187748483</v>
      </c>
      <c r="BT9" s="59">
        <f t="shared" si="63"/>
        <v>55.233696267593302</v>
      </c>
      <c r="BU9" s="59">
        <f t="shared" si="64"/>
        <v>59.755716859227562</v>
      </c>
      <c r="BV9" s="59">
        <f t="shared" si="38"/>
        <v>58.068807539935079</v>
      </c>
      <c r="BW9" s="59">
        <f t="shared" si="39"/>
        <v>1.0866490098403074</v>
      </c>
      <c r="BX9" s="64">
        <f t="shared" si="40"/>
        <v>13.596776372243246</v>
      </c>
    </row>
    <row r="10" spans="1:86" s="18" customFormat="1" ht="56.25" customHeight="1">
      <c r="A10" s="38" t="e">
        <f>#REF!</f>
        <v>#REF!</v>
      </c>
      <c r="B10" s="38" t="e">
        <f>#REF!</f>
        <v>#REF!</v>
      </c>
      <c r="C10" s="38" t="e">
        <f>#REF!</f>
        <v>#REF!</v>
      </c>
      <c r="D10" s="38" t="s">
        <v>78</v>
      </c>
      <c r="E10" s="38" t="s">
        <v>581</v>
      </c>
      <c r="F10" s="38">
        <v>1800</v>
      </c>
      <c r="G10" s="38" t="s">
        <v>45</v>
      </c>
      <c r="H10" s="61" t="s">
        <v>10</v>
      </c>
      <c r="I10" s="61" t="s">
        <v>11</v>
      </c>
      <c r="J10" s="61" t="s">
        <v>9</v>
      </c>
      <c r="K10" s="97">
        <v>125</v>
      </c>
      <c r="L10" s="97" t="s">
        <v>581</v>
      </c>
      <c r="M10" s="61">
        <v>1</v>
      </c>
      <c r="N10" s="61">
        <v>349.83050847457628</v>
      </c>
      <c r="O10" s="61">
        <v>424.42976156276927</v>
      </c>
      <c r="P10" s="62">
        <v>51.414352154260818</v>
      </c>
      <c r="Q10" s="62">
        <v>262.37288135593218</v>
      </c>
      <c r="R10" s="62">
        <v>498.89112324044811</v>
      </c>
      <c r="S10" s="62">
        <v>49.201251494128293</v>
      </c>
      <c r="T10" s="62">
        <v>384.81355932203388</v>
      </c>
      <c r="U10" s="62">
        <v>383.47601264004595</v>
      </c>
      <c r="V10" s="94">
        <v>51.808353464019966</v>
      </c>
      <c r="W10" s="61" t="s">
        <v>10</v>
      </c>
      <c r="X10" s="61" t="s">
        <v>11</v>
      </c>
      <c r="Y10" s="61" t="s">
        <v>9</v>
      </c>
      <c r="Z10" s="72" t="str">
        <f t="shared" si="1"/>
        <v>ESFM-1800</v>
      </c>
      <c r="AA10" s="59">
        <f t="shared" si="2"/>
        <v>360.03686675590956</v>
      </c>
      <c r="AB10" s="63" t="str">
        <f t="shared" si="3"/>
        <v>ESFM-125-1800</v>
      </c>
      <c r="AC10" s="39">
        <f>VLOOKUP(AB10,Lookup!$U$28:$V$227,2,FALSE)</f>
        <v>95.4</v>
      </c>
      <c r="AD10" s="63">
        <f t="shared" si="4"/>
        <v>6.0272536687630804</v>
      </c>
      <c r="AE10" s="73">
        <f>VLOOKUP(Z10,Lookup!$N$27:$P$36,3,FALSE)</f>
        <v>128.85</v>
      </c>
      <c r="AF10" s="76">
        <f t="shared" si="5"/>
        <v>38.135104195612939</v>
      </c>
      <c r="AG10" s="59">
        <f t="shared" si="6"/>
        <v>37.532477072610398</v>
      </c>
      <c r="AH10" s="59">
        <f t="shared" si="7"/>
        <v>33.087841629801275</v>
      </c>
      <c r="AI10" s="59">
        <f t="shared" si="8"/>
        <v>37.302014494094372</v>
      </c>
      <c r="AJ10" s="59">
        <f t="shared" si="9"/>
        <v>98.419757502401509</v>
      </c>
      <c r="AK10" s="59">
        <f t="shared" si="10"/>
        <v>91.620682385662505</v>
      </c>
      <c r="AL10" s="59">
        <f t="shared" si="11"/>
        <v>99.305000668110182</v>
      </c>
      <c r="AM10" s="59">
        <f t="shared" si="12"/>
        <v>0.78735806001921205</v>
      </c>
      <c r="AN10" s="59">
        <f t="shared" si="13"/>
        <v>0.73296545908530009</v>
      </c>
      <c r="AO10" s="59">
        <f t="shared" si="14"/>
        <v>0.79444000534488146</v>
      </c>
      <c r="AP10" s="59">
        <f t="shared" si="53"/>
        <v>0.8509723252915482</v>
      </c>
      <c r="AQ10" s="59">
        <f t="shared" si="54"/>
        <v>0.81435865818427655</v>
      </c>
      <c r="AR10" s="59">
        <f t="shared" si="55"/>
        <v>0.85582495064261477</v>
      </c>
      <c r="AS10" s="59">
        <f t="shared" si="16"/>
        <v>5.1290260696293331</v>
      </c>
      <c r="AT10" s="59">
        <f t="shared" si="17"/>
        <v>4.9083462102301603</v>
      </c>
      <c r="AU10" s="59">
        <f t="shared" si="18"/>
        <v>5.1582740735796824</v>
      </c>
      <c r="AV10" s="59">
        <f t="shared" si="19"/>
        <v>103.54878357203084</v>
      </c>
      <c r="AW10" s="59">
        <f t="shared" si="56"/>
        <v>96.529028595892669</v>
      </c>
      <c r="AX10" s="59">
        <f t="shared" si="57"/>
        <v>104.46327474168986</v>
      </c>
      <c r="AY10" s="77">
        <f t="shared" si="21"/>
        <v>101.50354426697413</v>
      </c>
      <c r="AZ10" s="59">
        <f t="shared" si="22"/>
        <v>50.802904905565946</v>
      </c>
      <c r="BA10" s="77">
        <f t="shared" si="23"/>
        <v>0.50050375356297305</v>
      </c>
      <c r="BB10" s="58">
        <f>VLOOKUP(Z10,Lookup!$N$27:$P$36,2,FALSE)</f>
        <v>134.99</v>
      </c>
      <c r="BC10" s="59">
        <f t="shared" si="24"/>
        <v>31.995104195612953</v>
      </c>
      <c r="BD10" s="59">
        <f t="shared" si="58"/>
        <v>37.532477072610398</v>
      </c>
      <c r="BE10" s="59">
        <f t="shared" si="59"/>
        <v>33.087841629801275</v>
      </c>
      <c r="BF10" s="59">
        <f t="shared" si="60"/>
        <v>37.302014494094372</v>
      </c>
      <c r="BG10" s="59">
        <f t="shared" si="25"/>
        <v>117.30693809635008</v>
      </c>
      <c r="BH10" s="59">
        <f t="shared" si="26"/>
        <v>109.20309081942223</v>
      </c>
      <c r="BI10" s="59">
        <f t="shared" si="27"/>
        <v>118.36206328539021</v>
      </c>
      <c r="BJ10" s="59">
        <f t="shared" si="28"/>
        <v>0.93845550477080064</v>
      </c>
      <c r="BK10" s="59">
        <f t="shared" si="29"/>
        <v>0.87362472655537782</v>
      </c>
      <c r="BL10" s="59">
        <f t="shared" si="30"/>
        <v>0.94689650628312161</v>
      </c>
      <c r="BM10" s="59">
        <f t="shared" si="31"/>
        <v>0.95676399204458185</v>
      </c>
      <c r="BN10" s="59">
        <f t="shared" si="61"/>
        <v>0.91099166788838692</v>
      </c>
      <c r="BO10" s="59">
        <f t="shared" si="62"/>
        <v>0.96272119364490749</v>
      </c>
      <c r="BP10" s="59">
        <f t="shared" si="33"/>
        <v>5.7666592811911164</v>
      </c>
      <c r="BQ10" s="59">
        <f t="shared" si="34"/>
        <v>5.4907778724928775</v>
      </c>
      <c r="BR10" s="59">
        <f t="shared" si="35"/>
        <v>5.802564846392241</v>
      </c>
      <c r="BS10" s="59">
        <f t="shared" si="36"/>
        <v>123.07359737754119</v>
      </c>
      <c r="BT10" s="59">
        <f t="shared" si="63"/>
        <v>114.6938686919151</v>
      </c>
      <c r="BU10" s="59">
        <f t="shared" si="64"/>
        <v>124.16462813178245</v>
      </c>
      <c r="BV10" s="59">
        <f t="shared" si="38"/>
        <v>120.63196699727285</v>
      </c>
      <c r="BW10" s="59">
        <f t="shared" si="39"/>
        <v>1.1884507863093652</v>
      </c>
      <c r="BX10" s="64">
        <f t="shared" si="40"/>
        <v>68.794703274639218</v>
      </c>
    </row>
    <row r="11" spans="1:86" s="18" customFormat="1" ht="56.25" customHeight="1">
      <c r="A11" s="38" t="e">
        <f>#REF!</f>
        <v>#REF!</v>
      </c>
      <c r="B11" s="38" t="e">
        <f>#REF!</f>
        <v>#REF!</v>
      </c>
      <c r="C11" s="38" t="e">
        <f>#REF!</f>
        <v>#REF!</v>
      </c>
      <c r="D11" s="38" t="s">
        <v>75</v>
      </c>
      <c r="E11" s="38" t="s">
        <v>581</v>
      </c>
      <c r="F11" s="38">
        <v>3600</v>
      </c>
      <c r="G11" s="38" t="s">
        <v>1</v>
      </c>
      <c r="H11" s="61" t="s">
        <v>10</v>
      </c>
      <c r="I11" s="61" t="s">
        <v>11</v>
      </c>
      <c r="J11" s="61" t="s">
        <v>9</v>
      </c>
      <c r="K11" s="97">
        <v>50</v>
      </c>
      <c r="L11" s="97">
        <v>95</v>
      </c>
      <c r="M11" s="61">
        <v>5</v>
      </c>
      <c r="N11" s="61">
        <v>349.83050847457628</v>
      </c>
      <c r="O11" s="61">
        <v>424.42976156276927</v>
      </c>
      <c r="P11" s="62">
        <v>51.414352154260818</v>
      </c>
      <c r="Q11" s="62">
        <v>262.37288135593218</v>
      </c>
      <c r="R11" s="62">
        <v>498.89112324044811</v>
      </c>
      <c r="S11" s="62">
        <v>49.201251494128293</v>
      </c>
      <c r="T11" s="62">
        <v>384.81355932203388</v>
      </c>
      <c r="U11" s="62">
        <v>383.47601264004595</v>
      </c>
      <c r="V11" s="94">
        <v>51.808353464019966</v>
      </c>
      <c r="W11" s="61" t="s">
        <v>10</v>
      </c>
      <c r="X11" s="61" t="s">
        <v>11</v>
      </c>
      <c r="Y11" s="61" t="s">
        <v>9</v>
      </c>
      <c r="Z11" s="72" t="str">
        <f t="shared" si="1"/>
        <v>RSV-3600</v>
      </c>
      <c r="AA11" s="59">
        <f t="shared" si="2"/>
        <v>2407.7116407710246</v>
      </c>
      <c r="AB11" s="63" t="str">
        <f t="shared" si="3"/>
        <v>RSV-50-3600</v>
      </c>
      <c r="AC11" s="39">
        <f>VLOOKUP(AB11,Lookup!$U$28:$V$227,2,FALSE)</f>
        <v>93</v>
      </c>
      <c r="AD11" s="63">
        <f t="shared" si="4"/>
        <v>3.7634408602150486</v>
      </c>
      <c r="AE11" s="73">
        <f>VLOOKUP(Z11,Lookup!$N$27:$P$36,3,FALSE)</f>
        <v>133.19999999999999</v>
      </c>
      <c r="AF11" s="76">
        <f t="shared" si="5"/>
        <v>72.953086034000876</v>
      </c>
      <c r="AG11" s="59">
        <f t="shared" si="6"/>
        <v>37.532477072610398</v>
      </c>
      <c r="AH11" s="59">
        <f t="shared" si="7"/>
        <v>33.087841629801275</v>
      </c>
      <c r="AI11" s="59">
        <f t="shared" si="8"/>
        <v>37.302014494094372</v>
      </c>
      <c r="AJ11" s="59">
        <f t="shared" si="9"/>
        <v>51.447415199293729</v>
      </c>
      <c r="AK11" s="59">
        <f t="shared" si="10"/>
        <v>47.89330320614517</v>
      </c>
      <c r="AL11" s="59">
        <f t="shared" si="11"/>
        <v>51.910162455071507</v>
      </c>
      <c r="AM11" s="59">
        <f t="shared" si="12"/>
        <v>1</v>
      </c>
      <c r="AN11" s="59">
        <f t="shared" si="13"/>
        <v>0.95786606412290343</v>
      </c>
      <c r="AO11" s="59">
        <f t="shared" si="14"/>
        <v>1</v>
      </c>
      <c r="AP11" s="59">
        <f t="shared" si="53"/>
        <v>1</v>
      </c>
      <c r="AQ11" s="59">
        <f t="shared" si="54"/>
        <v>0.97045400821309591</v>
      </c>
      <c r="AR11" s="59">
        <f t="shared" si="55"/>
        <v>1</v>
      </c>
      <c r="AS11" s="59">
        <f t="shared" si="16"/>
        <v>3.7634408602150486</v>
      </c>
      <c r="AT11" s="59">
        <f t="shared" si="17"/>
        <v>3.6522462674686356</v>
      </c>
      <c r="AU11" s="59">
        <f t="shared" si="18"/>
        <v>3.7634408602150486</v>
      </c>
      <c r="AV11" s="59">
        <f t="shared" si="19"/>
        <v>55.210856059508778</v>
      </c>
      <c r="AW11" s="59">
        <f t="shared" si="56"/>
        <v>51.545549473613804</v>
      </c>
      <c r="AX11" s="59">
        <f t="shared" si="57"/>
        <v>55.673603315286556</v>
      </c>
      <c r="AY11" s="77">
        <f t="shared" si="21"/>
        <v>54.137921949174768</v>
      </c>
      <c r="AZ11" s="59">
        <f t="shared" si="22"/>
        <v>50.802904905565946</v>
      </c>
      <c r="BA11" s="77">
        <f t="shared" si="23"/>
        <v>0.93839776401577124</v>
      </c>
      <c r="BB11" s="58">
        <f>VLOOKUP(Z11,Lookup!$N$27:$P$36,2,FALSE)</f>
        <v>133.19999999999999</v>
      </c>
      <c r="BC11" s="59">
        <f t="shared" si="24"/>
        <v>72.953086034000876</v>
      </c>
      <c r="BD11" s="59">
        <f t="shared" si="58"/>
        <v>37.532477072610398</v>
      </c>
      <c r="BE11" s="59">
        <f t="shared" si="59"/>
        <v>33.087841629801275</v>
      </c>
      <c r="BF11" s="59">
        <f t="shared" si="60"/>
        <v>37.302014494094372</v>
      </c>
      <c r="BG11" s="59">
        <f t="shared" si="25"/>
        <v>51.447415199293729</v>
      </c>
      <c r="BH11" s="59">
        <f t="shared" si="26"/>
        <v>47.89330320614517</v>
      </c>
      <c r="BI11" s="59">
        <f t="shared" si="27"/>
        <v>51.910162455071507</v>
      </c>
      <c r="BJ11" s="59">
        <f t="shared" si="28"/>
        <v>1</v>
      </c>
      <c r="BK11" s="59">
        <f t="shared" si="29"/>
        <v>0.95786606412290343</v>
      </c>
      <c r="BL11" s="59">
        <f t="shared" si="30"/>
        <v>1</v>
      </c>
      <c r="BM11" s="59">
        <f t="shared" si="31"/>
        <v>1</v>
      </c>
      <c r="BN11" s="59">
        <f t="shared" si="61"/>
        <v>0.97045400821309591</v>
      </c>
      <c r="BO11" s="59">
        <f t="shared" si="62"/>
        <v>1</v>
      </c>
      <c r="BP11" s="59">
        <f t="shared" si="33"/>
        <v>3.7634408602150486</v>
      </c>
      <c r="BQ11" s="59">
        <f t="shared" si="34"/>
        <v>3.6522462674686356</v>
      </c>
      <c r="BR11" s="59">
        <f t="shared" si="35"/>
        <v>3.7634408602150486</v>
      </c>
      <c r="BS11" s="59">
        <f t="shared" si="36"/>
        <v>55.210856059508778</v>
      </c>
      <c r="BT11" s="59">
        <f t="shared" si="63"/>
        <v>51.545549473613804</v>
      </c>
      <c r="BU11" s="59">
        <f t="shared" si="64"/>
        <v>55.673603315286556</v>
      </c>
      <c r="BV11" s="59">
        <f t="shared" si="38"/>
        <v>54.137921949174768</v>
      </c>
      <c r="BW11" s="59">
        <f t="shared" si="39"/>
        <v>1</v>
      </c>
      <c r="BX11" s="64">
        <f t="shared" si="40"/>
        <v>6.1602235984228759</v>
      </c>
    </row>
    <row r="12" spans="1:86" s="18" customFormat="1" ht="56.25" customHeight="1">
      <c r="A12" s="38" t="e">
        <f>#REF!</f>
        <v>#REF!</v>
      </c>
      <c r="B12" s="38" t="e">
        <f>#REF!</f>
        <v>#REF!</v>
      </c>
      <c r="C12" s="38" t="e">
        <f>#REF!</f>
        <v>#REF!</v>
      </c>
      <c r="D12" s="38" t="s">
        <v>75</v>
      </c>
      <c r="E12" s="38" t="s">
        <v>581</v>
      </c>
      <c r="F12" s="38">
        <v>1800</v>
      </c>
      <c r="G12" s="38" t="s">
        <v>45</v>
      </c>
      <c r="H12" s="61" t="s">
        <v>10</v>
      </c>
      <c r="I12" s="61" t="s">
        <v>11</v>
      </c>
      <c r="J12" s="61" t="s">
        <v>9</v>
      </c>
      <c r="K12" s="97">
        <v>75</v>
      </c>
      <c r="L12" s="97" t="s">
        <v>581</v>
      </c>
      <c r="M12" s="61">
        <v>4</v>
      </c>
      <c r="N12" s="61">
        <v>349.83050847457628</v>
      </c>
      <c r="O12" s="61">
        <v>424.42976156276927</v>
      </c>
      <c r="P12" s="62">
        <v>51.414352154260818</v>
      </c>
      <c r="Q12" s="62">
        <v>262.37288135593218</v>
      </c>
      <c r="R12" s="62">
        <v>498.89112324044811</v>
      </c>
      <c r="S12" s="62">
        <v>49.201251494128293</v>
      </c>
      <c r="T12" s="62">
        <v>384.81355932203388</v>
      </c>
      <c r="U12" s="62">
        <v>383.47601264004595</v>
      </c>
      <c r="V12" s="94">
        <v>51.808353464019966</v>
      </c>
      <c r="W12" s="61" t="s">
        <v>10</v>
      </c>
      <c r="X12" s="61" t="s">
        <v>11</v>
      </c>
      <c r="Y12" s="61" t="s">
        <v>9</v>
      </c>
      <c r="Z12" s="72" t="str">
        <f t="shared" si="1"/>
        <v>RSV-1800</v>
      </c>
      <c r="AA12" s="59">
        <f t="shared" si="2"/>
        <v>1018.338039841045</v>
      </c>
      <c r="AB12" s="63" t="str">
        <f t="shared" si="3"/>
        <v>RSV-75-1800</v>
      </c>
      <c r="AC12" s="39">
        <f>VLOOKUP(AB12,Lookup!$U$28:$V$227,2,FALSE)</f>
        <v>95</v>
      </c>
      <c r="AD12" s="63">
        <f t="shared" si="4"/>
        <v>3.9473684210526301</v>
      </c>
      <c r="AE12" s="73">
        <f>VLOOKUP(Z12,Lookup!$N$27:$P$36,3,FALSE)</f>
        <v>129.63</v>
      </c>
      <c r="AF12" s="76">
        <f t="shared" si="5"/>
        <v>69.057100560415734</v>
      </c>
      <c r="AG12" s="59">
        <f t="shared" si="6"/>
        <v>37.532477072610398</v>
      </c>
      <c r="AH12" s="59">
        <f t="shared" si="7"/>
        <v>33.087841629801275</v>
      </c>
      <c r="AI12" s="59">
        <f t="shared" si="8"/>
        <v>37.302014494094372</v>
      </c>
      <c r="AJ12" s="59">
        <f t="shared" si="9"/>
        <v>54.349917340903268</v>
      </c>
      <c r="AK12" s="59">
        <f t="shared" si="10"/>
        <v>50.595293473024505</v>
      </c>
      <c r="AL12" s="59">
        <f t="shared" si="11"/>
        <v>54.838771348511365</v>
      </c>
      <c r="AM12" s="59">
        <f t="shared" si="12"/>
        <v>0.72466556454537689</v>
      </c>
      <c r="AN12" s="59">
        <f t="shared" si="13"/>
        <v>0.67460391297366007</v>
      </c>
      <c r="AO12" s="59">
        <f t="shared" si="14"/>
        <v>0.73118361798015152</v>
      </c>
      <c r="AP12" s="59">
        <f t="shared" si="53"/>
        <v>0.80889025721457875</v>
      </c>
      <c r="AQ12" s="59">
        <f t="shared" si="54"/>
        <v>0.7767212821792977</v>
      </c>
      <c r="AR12" s="59">
        <f t="shared" si="55"/>
        <v>0.81318174836062318</v>
      </c>
      <c r="AS12" s="59">
        <f t="shared" si="16"/>
        <v>3.1929878574259676</v>
      </c>
      <c r="AT12" s="59">
        <f t="shared" si="17"/>
        <v>3.0660050612340686</v>
      </c>
      <c r="AU12" s="59">
        <f t="shared" si="18"/>
        <v>3.2099279540550905</v>
      </c>
      <c r="AV12" s="59">
        <f t="shared" si="19"/>
        <v>57.542905198329237</v>
      </c>
      <c r="AW12" s="59">
        <f t="shared" si="56"/>
        <v>53.66129853425857</v>
      </c>
      <c r="AX12" s="59">
        <f t="shared" si="57"/>
        <v>58.048699302566455</v>
      </c>
      <c r="AY12" s="77">
        <f t="shared" si="21"/>
        <v>56.411992581616914</v>
      </c>
      <c r="AZ12" s="59">
        <f t="shared" si="22"/>
        <v>50.802904905565946</v>
      </c>
      <c r="BA12" s="77">
        <f t="shared" si="23"/>
        <v>0.90056923325415716</v>
      </c>
      <c r="BB12" s="58">
        <f>VLOOKUP(Z12,Lookup!$N$27:$P$36,2,FALSE)</f>
        <v>129.63</v>
      </c>
      <c r="BC12" s="59">
        <f t="shared" si="24"/>
        <v>69.057100560415734</v>
      </c>
      <c r="BD12" s="59">
        <f t="shared" si="58"/>
        <v>37.532477072610398</v>
      </c>
      <c r="BE12" s="59">
        <f t="shared" si="59"/>
        <v>33.087841629801275</v>
      </c>
      <c r="BF12" s="59">
        <f t="shared" si="60"/>
        <v>37.302014494094372</v>
      </c>
      <c r="BG12" s="59">
        <f t="shared" si="25"/>
        <v>54.349917340903268</v>
      </c>
      <c r="BH12" s="59">
        <f t="shared" si="26"/>
        <v>50.595293473024505</v>
      </c>
      <c r="BI12" s="59">
        <f t="shared" si="27"/>
        <v>54.838771348511365</v>
      </c>
      <c r="BJ12" s="59">
        <f t="shared" si="28"/>
        <v>0.72466556454537689</v>
      </c>
      <c r="BK12" s="59">
        <f t="shared" si="29"/>
        <v>0.67460391297366007</v>
      </c>
      <c r="BL12" s="59">
        <f t="shared" si="30"/>
        <v>0.73118361798015152</v>
      </c>
      <c r="BM12" s="59">
        <f t="shared" si="31"/>
        <v>0.80889025721457875</v>
      </c>
      <c r="BN12" s="59">
        <f t="shared" si="61"/>
        <v>0.7767212821792977</v>
      </c>
      <c r="BO12" s="59">
        <f t="shared" si="62"/>
        <v>0.81318174836062318</v>
      </c>
      <c r="BP12" s="59">
        <f t="shared" si="33"/>
        <v>3.1929878574259676</v>
      </c>
      <c r="BQ12" s="59">
        <f t="shared" si="34"/>
        <v>3.0660050612340686</v>
      </c>
      <c r="BR12" s="59">
        <f t="shared" si="35"/>
        <v>3.2099279540550905</v>
      </c>
      <c r="BS12" s="59">
        <f t="shared" si="36"/>
        <v>57.542905198329237</v>
      </c>
      <c r="BT12" s="59">
        <f t="shared" si="63"/>
        <v>53.66129853425857</v>
      </c>
      <c r="BU12" s="59">
        <f t="shared" si="64"/>
        <v>58.048699302566455</v>
      </c>
      <c r="BV12" s="59">
        <f t="shared" si="38"/>
        <v>56.411992581616914</v>
      </c>
      <c r="BW12" s="59">
        <f t="shared" si="39"/>
        <v>1</v>
      </c>
      <c r="BX12" s="64">
        <f t="shared" si="40"/>
        <v>9.9430766745842831</v>
      </c>
    </row>
    <row r="13" spans="1:86" s="18" customFormat="1" ht="56.25" customHeight="1">
      <c r="A13" s="38" t="e">
        <f>#REF!</f>
        <v>#REF!</v>
      </c>
      <c r="B13" s="38" t="e">
        <f>#REF!</f>
        <v>#REF!</v>
      </c>
      <c r="C13" s="38" t="e">
        <f>#REF!</f>
        <v>#REF!</v>
      </c>
      <c r="D13" s="38" t="s">
        <v>75</v>
      </c>
      <c r="E13" s="38" t="s">
        <v>581</v>
      </c>
      <c r="F13" s="38">
        <v>3600</v>
      </c>
      <c r="G13" s="38" t="s">
        <v>45</v>
      </c>
      <c r="H13" s="61" t="s">
        <v>10</v>
      </c>
      <c r="I13" s="61" t="s">
        <v>11</v>
      </c>
      <c r="J13" s="61" t="s">
        <v>9</v>
      </c>
      <c r="K13" s="97">
        <v>50</v>
      </c>
      <c r="L13" s="97" t="s">
        <v>581</v>
      </c>
      <c r="M13" s="61">
        <v>5</v>
      </c>
      <c r="N13" s="61">
        <v>349.83050847457628</v>
      </c>
      <c r="O13" s="61">
        <v>424.42976156276927</v>
      </c>
      <c r="P13" s="62">
        <v>51.414352154260818</v>
      </c>
      <c r="Q13" s="62">
        <v>262.37288135593218</v>
      </c>
      <c r="R13" s="62">
        <v>498.89112324044811</v>
      </c>
      <c r="S13" s="62">
        <v>49.201251494128293</v>
      </c>
      <c r="T13" s="62">
        <v>384.81355932203388</v>
      </c>
      <c r="U13" s="62">
        <v>383.47601264004595</v>
      </c>
      <c r="V13" s="94">
        <v>51.808353464019966</v>
      </c>
      <c r="W13" s="61" t="s">
        <v>10</v>
      </c>
      <c r="X13" s="61" t="s">
        <v>11</v>
      </c>
      <c r="Y13" s="61" t="s">
        <v>9</v>
      </c>
      <c r="Z13" s="72" t="str">
        <f t="shared" si="1"/>
        <v>RSV-3600</v>
      </c>
      <c r="AA13" s="59">
        <f t="shared" si="2"/>
        <v>2407.7116407710246</v>
      </c>
      <c r="AB13" s="63" t="str">
        <f t="shared" si="3"/>
        <v>RSV-50-3600</v>
      </c>
      <c r="AC13" s="39">
        <f>VLOOKUP(AB13,Lookup!$U$28:$V$227,2,FALSE)</f>
        <v>93</v>
      </c>
      <c r="AD13" s="63">
        <f t="shared" si="4"/>
        <v>3.7634408602150486</v>
      </c>
      <c r="AE13" s="73">
        <f>VLOOKUP(Z13,Lookup!$N$27:$P$36,3,FALSE)</f>
        <v>133.19999999999999</v>
      </c>
      <c r="AF13" s="76">
        <f t="shared" si="5"/>
        <v>72.953086034000876</v>
      </c>
      <c r="AG13" s="59">
        <f t="shared" si="6"/>
        <v>37.532477072610398</v>
      </c>
      <c r="AH13" s="59">
        <f t="shared" si="7"/>
        <v>33.087841629801275</v>
      </c>
      <c r="AI13" s="59">
        <f t="shared" si="8"/>
        <v>37.302014494094372</v>
      </c>
      <c r="AJ13" s="59">
        <f t="shared" si="9"/>
        <v>51.447415199293729</v>
      </c>
      <c r="AK13" s="59">
        <f t="shared" si="10"/>
        <v>47.89330320614517</v>
      </c>
      <c r="AL13" s="59">
        <f t="shared" si="11"/>
        <v>51.910162455071507</v>
      </c>
      <c r="AM13" s="59">
        <f t="shared" si="12"/>
        <v>1</v>
      </c>
      <c r="AN13" s="59">
        <f t="shared" si="13"/>
        <v>0.95786606412290343</v>
      </c>
      <c r="AO13" s="59">
        <f t="shared" si="14"/>
        <v>1</v>
      </c>
      <c r="AP13" s="59">
        <f t="shared" si="53"/>
        <v>1</v>
      </c>
      <c r="AQ13" s="59">
        <f t="shared" si="54"/>
        <v>0.97045400821309591</v>
      </c>
      <c r="AR13" s="59">
        <f t="shared" si="55"/>
        <v>1</v>
      </c>
      <c r="AS13" s="59">
        <f t="shared" si="16"/>
        <v>3.7634408602150486</v>
      </c>
      <c r="AT13" s="59">
        <f t="shared" si="17"/>
        <v>3.6522462674686356</v>
      </c>
      <c r="AU13" s="59">
        <f t="shared" si="18"/>
        <v>3.7634408602150486</v>
      </c>
      <c r="AV13" s="59">
        <f t="shared" si="19"/>
        <v>55.210856059508778</v>
      </c>
      <c r="AW13" s="59">
        <f t="shared" si="56"/>
        <v>51.545549473613804</v>
      </c>
      <c r="AX13" s="59">
        <f t="shared" si="57"/>
        <v>55.673603315286556</v>
      </c>
      <c r="AY13" s="77">
        <f t="shared" si="21"/>
        <v>54.137921949174768</v>
      </c>
      <c r="AZ13" s="59">
        <f t="shared" si="22"/>
        <v>50.802904905565946</v>
      </c>
      <c r="BA13" s="77">
        <f t="shared" si="23"/>
        <v>0.93839776401577124</v>
      </c>
      <c r="BB13" s="58">
        <f>VLOOKUP(Z13,Lookup!$N$27:$P$36,2,FALSE)</f>
        <v>133.19999999999999</v>
      </c>
      <c r="BC13" s="59">
        <f t="shared" si="24"/>
        <v>72.953086034000876</v>
      </c>
      <c r="BD13" s="59">
        <f t="shared" si="58"/>
        <v>37.532477072610398</v>
      </c>
      <c r="BE13" s="59">
        <f t="shared" si="59"/>
        <v>33.087841629801275</v>
      </c>
      <c r="BF13" s="59">
        <f t="shared" si="60"/>
        <v>37.302014494094372</v>
      </c>
      <c r="BG13" s="59">
        <f t="shared" si="25"/>
        <v>51.447415199293729</v>
      </c>
      <c r="BH13" s="59">
        <f t="shared" si="26"/>
        <v>47.89330320614517</v>
      </c>
      <c r="BI13" s="59">
        <f t="shared" si="27"/>
        <v>51.910162455071507</v>
      </c>
      <c r="BJ13" s="59">
        <f t="shared" si="28"/>
        <v>1</v>
      </c>
      <c r="BK13" s="59">
        <f t="shared" si="29"/>
        <v>0.95786606412290343</v>
      </c>
      <c r="BL13" s="59">
        <f t="shared" si="30"/>
        <v>1</v>
      </c>
      <c r="BM13" s="59">
        <f t="shared" si="31"/>
        <v>1</v>
      </c>
      <c r="BN13" s="59">
        <f t="shared" si="61"/>
        <v>0.97045400821309591</v>
      </c>
      <c r="BO13" s="59">
        <f t="shared" si="62"/>
        <v>1</v>
      </c>
      <c r="BP13" s="59">
        <f t="shared" si="33"/>
        <v>3.7634408602150486</v>
      </c>
      <c r="BQ13" s="59">
        <f t="shared" si="34"/>
        <v>3.6522462674686356</v>
      </c>
      <c r="BR13" s="59">
        <f t="shared" si="35"/>
        <v>3.7634408602150486</v>
      </c>
      <c r="BS13" s="59">
        <f t="shared" si="36"/>
        <v>55.210856059508778</v>
      </c>
      <c r="BT13" s="59">
        <f t="shared" si="63"/>
        <v>51.545549473613804</v>
      </c>
      <c r="BU13" s="59">
        <f t="shared" si="64"/>
        <v>55.673603315286556</v>
      </c>
      <c r="BV13" s="59">
        <f t="shared" si="38"/>
        <v>54.137921949174768</v>
      </c>
      <c r="BW13" s="59">
        <f t="shared" si="39"/>
        <v>1</v>
      </c>
      <c r="BX13" s="64">
        <f t="shared" si="40"/>
        <v>6.1602235984228759</v>
      </c>
    </row>
    <row r="14" spans="1:86" s="18" customFormat="1" ht="56.25" customHeight="1">
      <c r="A14" s="38" t="e">
        <f>#REF!</f>
        <v>#REF!</v>
      </c>
      <c r="B14" s="38" t="e">
        <f>#REF!</f>
        <v>#REF!</v>
      </c>
      <c r="C14" s="38" t="e">
        <f>#REF!</f>
        <v>#REF!</v>
      </c>
      <c r="D14" s="38" t="s">
        <v>78</v>
      </c>
      <c r="E14" s="38" t="s">
        <v>581</v>
      </c>
      <c r="F14" s="38">
        <v>1800</v>
      </c>
      <c r="G14" s="38" t="s">
        <v>45</v>
      </c>
      <c r="H14" s="61" t="s">
        <v>10</v>
      </c>
      <c r="I14" s="61" t="s">
        <v>11</v>
      </c>
      <c r="J14" s="61" t="s">
        <v>9</v>
      </c>
      <c r="K14" s="97">
        <v>50</v>
      </c>
      <c r="L14" s="97" t="s">
        <v>581</v>
      </c>
      <c r="M14" s="61">
        <v>5</v>
      </c>
      <c r="N14" s="61">
        <v>349.83050847457628</v>
      </c>
      <c r="O14" s="61">
        <v>424.42976156276927</v>
      </c>
      <c r="P14" s="62">
        <v>51.414352154260818</v>
      </c>
      <c r="Q14" s="62">
        <v>262.37288135593218</v>
      </c>
      <c r="R14" s="62">
        <v>498.89112324044811</v>
      </c>
      <c r="S14" s="62">
        <v>49.201251494128293</v>
      </c>
      <c r="T14" s="62">
        <v>384.81355932203388</v>
      </c>
      <c r="U14" s="62">
        <v>383.47601264004595</v>
      </c>
      <c r="V14" s="94">
        <v>51.808353464019966</v>
      </c>
      <c r="W14" s="61" t="s">
        <v>10</v>
      </c>
      <c r="X14" s="61" t="s">
        <v>11</v>
      </c>
      <c r="Y14" s="61" t="s">
        <v>9</v>
      </c>
      <c r="Z14" s="72" t="str">
        <f t="shared" si="1"/>
        <v>ESFM-1800</v>
      </c>
      <c r="AA14" s="59">
        <f t="shared" si="2"/>
        <v>1203.8558203855123</v>
      </c>
      <c r="AB14" s="63" t="str">
        <f t="shared" si="3"/>
        <v>ESFM-50-1800</v>
      </c>
      <c r="AC14" s="39">
        <f>VLOOKUP(AB14,Lookup!$U$28:$V$227,2,FALSE)</f>
        <v>94.5</v>
      </c>
      <c r="AD14" s="63">
        <f t="shared" si="4"/>
        <v>2.9100529100529116</v>
      </c>
      <c r="AE14" s="73">
        <f>VLOOKUP(Z14,Lookup!$N$27:$P$36,3,FALSE)</f>
        <v>128.85</v>
      </c>
      <c r="AF14" s="76">
        <f t="shared" si="5"/>
        <v>72.620863480122011</v>
      </c>
      <c r="AG14" s="59">
        <f t="shared" si="6"/>
        <v>37.532477072610398</v>
      </c>
      <c r="AH14" s="59">
        <f t="shared" si="7"/>
        <v>33.087841629801275</v>
      </c>
      <c r="AI14" s="59">
        <f t="shared" si="8"/>
        <v>37.302014494094372</v>
      </c>
      <c r="AJ14" s="59">
        <f t="shared" si="9"/>
        <v>51.682774445230734</v>
      </c>
      <c r="AK14" s="59">
        <f t="shared" si="10"/>
        <v>48.112403265581897</v>
      </c>
      <c r="AL14" s="59">
        <f t="shared" si="11"/>
        <v>52.147638655665176</v>
      </c>
      <c r="AM14" s="59">
        <f t="shared" si="12"/>
        <v>1</v>
      </c>
      <c r="AN14" s="59">
        <f t="shared" si="13"/>
        <v>0.96224806531163798</v>
      </c>
      <c r="AO14" s="59">
        <f t="shared" si="14"/>
        <v>1</v>
      </c>
      <c r="AP14" s="59">
        <f t="shared" si="53"/>
        <v>1</v>
      </c>
      <c r="AQ14" s="59">
        <f t="shared" si="54"/>
        <v>0.97353949499230907</v>
      </c>
      <c r="AR14" s="59">
        <f t="shared" si="55"/>
        <v>1</v>
      </c>
      <c r="AS14" s="59">
        <f t="shared" si="16"/>
        <v>2.9100529100529116</v>
      </c>
      <c r="AT14" s="59">
        <f t="shared" si="17"/>
        <v>2.833051440453811</v>
      </c>
      <c r="AU14" s="59">
        <f t="shared" si="18"/>
        <v>2.9100529100529116</v>
      </c>
      <c r="AV14" s="59">
        <f t="shared" si="19"/>
        <v>54.592827355283646</v>
      </c>
      <c r="AW14" s="59">
        <f t="shared" si="56"/>
        <v>50.945454706035704</v>
      </c>
      <c r="AX14" s="59">
        <f t="shared" si="57"/>
        <v>55.057691565718088</v>
      </c>
      <c r="AY14" s="77">
        <f t="shared" si="21"/>
        <v>53.52663800989157</v>
      </c>
      <c r="AZ14" s="59">
        <f t="shared" si="22"/>
        <v>50.802904905565946</v>
      </c>
      <c r="BA14" s="77">
        <f t="shared" si="23"/>
        <v>0.94911443711779009</v>
      </c>
      <c r="BB14" s="58">
        <f>VLOOKUP(Z14,Lookup!$N$27:$P$36,2,FALSE)</f>
        <v>134.99</v>
      </c>
      <c r="BC14" s="59">
        <f t="shared" si="24"/>
        <v>66.480863480122025</v>
      </c>
      <c r="BD14" s="59">
        <f t="shared" si="58"/>
        <v>37.532477072610398</v>
      </c>
      <c r="BE14" s="59">
        <f t="shared" si="59"/>
        <v>33.087841629801275</v>
      </c>
      <c r="BF14" s="59">
        <f t="shared" si="60"/>
        <v>37.302014494094372</v>
      </c>
      <c r="BG14" s="59">
        <f t="shared" si="25"/>
        <v>56.456061350395551</v>
      </c>
      <c r="BH14" s="59">
        <f t="shared" si="26"/>
        <v>52.555939955489663</v>
      </c>
      <c r="BI14" s="59">
        <f t="shared" si="27"/>
        <v>56.963859212751061</v>
      </c>
      <c r="BJ14" s="59">
        <f t="shared" si="28"/>
        <v>1</v>
      </c>
      <c r="BK14" s="59">
        <f t="shared" si="29"/>
        <v>1</v>
      </c>
      <c r="BL14" s="59">
        <f t="shared" si="30"/>
        <v>1</v>
      </c>
      <c r="BM14" s="59">
        <f t="shared" si="31"/>
        <v>1</v>
      </c>
      <c r="BN14" s="59">
        <f t="shared" si="61"/>
        <v>1</v>
      </c>
      <c r="BO14" s="59">
        <f t="shared" si="62"/>
        <v>1</v>
      </c>
      <c r="BP14" s="59">
        <f t="shared" si="33"/>
        <v>2.9100529100529116</v>
      </c>
      <c r="BQ14" s="59">
        <f t="shared" si="34"/>
        <v>2.9100529100529116</v>
      </c>
      <c r="BR14" s="59">
        <f t="shared" si="35"/>
        <v>2.9100529100529116</v>
      </c>
      <c r="BS14" s="59">
        <f t="shared" si="36"/>
        <v>59.366114260448462</v>
      </c>
      <c r="BT14" s="59">
        <f t="shared" si="63"/>
        <v>55.465992865542574</v>
      </c>
      <c r="BU14" s="59">
        <f t="shared" si="64"/>
        <v>59.873912122803972</v>
      </c>
      <c r="BV14" s="59">
        <f t="shared" si="38"/>
        <v>58.22951621562337</v>
      </c>
      <c r="BW14" s="59">
        <f t="shared" si="39"/>
        <v>1.0878605191841626</v>
      </c>
      <c r="BX14" s="64">
        <f t="shared" si="40"/>
        <v>13.874608206637252</v>
      </c>
    </row>
    <row r="15" spans="1:86" s="18" customFormat="1" ht="56.25" customHeight="1">
      <c r="A15" s="38" t="e">
        <f>#REF!</f>
        <v>#REF!</v>
      </c>
      <c r="B15" s="38" t="e">
        <f>#REF!</f>
        <v>#REF!</v>
      </c>
      <c r="C15" s="38" t="e">
        <f>#REF!</f>
        <v>#REF!</v>
      </c>
      <c r="D15" s="38" t="s">
        <v>75</v>
      </c>
      <c r="E15" s="38" t="s">
        <v>581</v>
      </c>
      <c r="F15" s="38">
        <v>3600</v>
      </c>
      <c r="G15" s="38" t="s">
        <v>45</v>
      </c>
      <c r="H15" s="61" t="s">
        <v>10</v>
      </c>
      <c r="I15" s="61" t="s">
        <v>11</v>
      </c>
      <c r="J15" s="61" t="s">
        <v>9</v>
      </c>
      <c r="K15" s="97">
        <v>15</v>
      </c>
      <c r="L15" s="97" t="s">
        <v>581</v>
      </c>
      <c r="M15" s="61">
        <v>8</v>
      </c>
      <c r="N15" s="61">
        <v>349.83050847457628</v>
      </c>
      <c r="O15" s="61">
        <v>424.42976156276927</v>
      </c>
      <c r="P15" s="62">
        <v>51.414352154260818</v>
      </c>
      <c r="Q15" s="62">
        <v>262.37288135593218</v>
      </c>
      <c r="R15" s="62">
        <v>498.89112324044811</v>
      </c>
      <c r="S15" s="62">
        <v>49.201251494128293</v>
      </c>
      <c r="T15" s="62">
        <v>384.81355932203388</v>
      </c>
      <c r="U15" s="62">
        <v>383.47601264004595</v>
      </c>
      <c r="V15" s="94">
        <v>51.808353464019966</v>
      </c>
      <c r="W15" s="61" t="s">
        <v>10</v>
      </c>
      <c r="X15" s="61" t="s">
        <v>11</v>
      </c>
      <c r="Y15" s="61" t="s">
        <v>9</v>
      </c>
      <c r="Z15" s="72" t="str">
        <f t="shared" si="1"/>
        <v>RSV-3600</v>
      </c>
      <c r="AA15" s="59">
        <f t="shared" si="2"/>
        <v>3425.2672288753147</v>
      </c>
      <c r="AB15" s="63" t="str">
        <f t="shared" si="3"/>
        <v>RSV-15-3600</v>
      </c>
      <c r="AC15" s="39">
        <f>VLOOKUP(AB15,Lookup!$U$28:$V$227,2,FALSE)</f>
        <v>90.2</v>
      </c>
      <c r="AD15" s="63">
        <f t="shared" si="4"/>
        <v>1.6297117516629704</v>
      </c>
      <c r="AE15" s="73">
        <f>VLOOKUP(Z15,Lookup!$N$27:$P$36,3,FALSE)</f>
        <v>133.19999999999999</v>
      </c>
      <c r="AF15" s="76">
        <f t="shared" si="5"/>
        <v>71.102784574764769</v>
      </c>
      <c r="AG15" s="59">
        <f t="shared" si="6"/>
        <v>37.532477072610398</v>
      </c>
      <c r="AH15" s="59">
        <f t="shared" si="7"/>
        <v>33.087841629801275</v>
      </c>
      <c r="AI15" s="59">
        <f t="shared" si="8"/>
        <v>37.302014494094372</v>
      </c>
      <c r="AJ15" s="59">
        <f t="shared" si="9"/>
        <v>52.786226723856224</v>
      </c>
      <c r="AK15" s="59">
        <f t="shared" si="10"/>
        <v>49.139626389406537</v>
      </c>
      <c r="AL15" s="59">
        <f t="shared" si="11"/>
        <v>53.261016010445374</v>
      </c>
      <c r="AM15" s="59">
        <f t="shared" si="12"/>
        <v>1</v>
      </c>
      <c r="AN15" s="59">
        <f t="shared" si="13"/>
        <v>1</v>
      </c>
      <c r="AO15" s="59">
        <f t="shared" si="14"/>
        <v>1</v>
      </c>
      <c r="AP15" s="59">
        <f t="shared" si="53"/>
        <v>1</v>
      </c>
      <c r="AQ15" s="59">
        <f t="shared" si="54"/>
        <v>1</v>
      </c>
      <c r="AR15" s="59">
        <f t="shared" si="55"/>
        <v>1</v>
      </c>
      <c r="AS15" s="59">
        <f t="shared" si="16"/>
        <v>1.6297117516629704</v>
      </c>
      <c r="AT15" s="59">
        <f t="shared" si="17"/>
        <v>1.6297117516629704</v>
      </c>
      <c r="AU15" s="59">
        <f t="shared" si="18"/>
        <v>1.6297117516629704</v>
      </c>
      <c r="AV15" s="59">
        <f t="shared" si="19"/>
        <v>54.415938475519198</v>
      </c>
      <c r="AW15" s="59">
        <f t="shared" si="56"/>
        <v>50.769338141069511</v>
      </c>
      <c r="AX15" s="59">
        <f t="shared" si="57"/>
        <v>54.890727762108341</v>
      </c>
      <c r="AY15" s="77">
        <f t="shared" si="21"/>
        <v>53.353332259419716</v>
      </c>
      <c r="AZ15" s="59">
        <f t="shared" si="22"/>
        <v>50.802904905565946</v>
      </c>
      <c r="BA15" s="77">
        <f t="shared" si="23"/>
        <v>0.95219741212314846</v>
      </c>
      <c r="BB15" s="58">
        <f>VLOOKUP(Z15,Lookup!$N$27:$P$36,2,FALSE)</f>
        <v>133.19999999999999</v>
      </c>
      <c r="BC15" s="59">
        <f t="shared" si="24"/>
        <v>71.102784574764769</v>
      </c>
      <c r="BD15" s="59">
        <f t="shared" si="58"/>
        <v>37.532477072610398</v>
      </c>
      <c r="BE15" s="59">
        <f t="shared" si="59"/>
        <v>33.087841629801275</v>
      </c>
      <c r="BF15" s="59">
        <f t="shared" si="60"/>
        <v>37.302014494094372</v>
      </c>
      <c r="BG15" s="59">
        <f t="shared" si="25"/>
        <v>52.786226723856224</v>
      </c>
      <c r="BH15" s="59">
        <f t="shared" si="26"/>
        <v>49.139626389406537</v>
      </c>
      <c r="BI15" s="59">
        <f t="shared" si="27"/>
        <v>53.261016010445374</v>
      </c>
      <c r="BJ15" s="59">
        <f t="shared" si="28"/>
        <v>1</v>
      </c>
      <c r="BK15" s="59">
        <f t="shared" si="29"/>
        <v>1</v>
      </c>
      <c r="BL15" s="59">
        <f t="shared" si="30"/>
        <v>1</v>
      </c>
      <c r="BM15" s="59">
        <f t="shared" si="31"/>
        <v>1</v>
      </c>
      <c r="BN15" s="59">
        <f t="shared" si="61"/>
        <v>1</v>
      </c>
      <c r="BO15" s="59">
        <f t="shared" si="62"/>
        <v>1</v>
      </c>
      <c r="BP15" s="59">
        <f t="shared" si="33"/>
        <v>1.6297117516629704</v>
      </c>
      <c r="BQ15" s="59">
        <f t="shared" si="34"/>
        <v>1.6297117516629704</v>
      </c>
      <c r="BR15" s="59">
        <f t="shared" si="35"/>
        <v>1.6297117516629704</v>
      </c>
      <c r="BS15" s="59">
        <f t="shared" si="36"/>
        <v>54.415938475519198</v>
      </c>
      <c r="BT15" s="59">
        <f t="shared" si="63"/>
        <v>50.769338141069511</v>
      </c>
      <c r="BU15" s="59">
        <f t="shared" si="64"/>
        <v>54.890727762108341</v>
      </c>
      <c r="BV15" s="59">
        <f t="shared" si="38"/>
        <v>53.353332259419716</v>
      </c>
      <c r="BW15" s="59">
        <f t="shared" si="39"/>
        <v>1</v>
      </c>
      <c r="BX15" s="64">
        <f t="shared" si="40"/>
        <v>4.7802587876851543</v>
      </c>
    </row>
    <row r="16" spans="1:86" s="18" customFormat="1" ht="56.25" customHeight="1">
      <c r="A16" s="38" t="e">
        <f>#REF!</f>
        <v>#REF!</v>
      </c>
      <c r="B16" s="38" t="e">
        <f>#REF!</f>
        <v>#REF!</v>
      </c>
      <c r="C16" s="38" t="e">
        <f>#REF!</f>
        <v>#REF!</v>
      </c>
      <c r="D16" s="38" t="s">
        <v>74</v>
      </c>
      <c r="E16" s="38" t="s">
        <v>581</v>
      </c>
      <c r="F16" s="38">
        <v>1800</v>
      </c>
      <c r="G16" s="38" t="s">
        <v>45</v>
      </c>
      <c r="H16" s="61" t="s">
        <v>10</v>
      </c>
      <c r="I16" s="61" t="s">
        <v>11</v>
      </c>
      <c r="J16" s="61" t="s">
        <v>9</v>
      </c>
      <c r="K16" s="97">
        <v>50</v>
      </c>
      <c r="L16" s="97" t="s">
        <v>581</v>
      </c>
      <c r="M16" s="61">
        <v>5</v>
      </c>
      <c r="N16" s="61">
        <v>349.83050847457628</v>
      </c>
      <c r="O16" s="61">
        <v>424.42976156276927</v>
      </c>
      <c r="P16" s="62">
        <v>51.414352154260818</v>
      </c>
      <c r="Q16" s="62">
        <v>262.37288135593218</v>
      </c>
      <c r="R16" s="62">
        <v>498.89112324044811</v>
      </c>
      <c r="S16" s="62">
        <v>49.201251494128293</v>
      </c>
      <c r="T16" s="62">
        <v>384.81355932203388</v>
      </c>
      <c r="U16" s="62">
        <v>383.47601264004595</v>
      </c>
      <c r="V16" s="94">
        <v>51.808353464019966</v>
      </c>
      <c r="W16" s="61" t="s">
        <v>10</v>
      </c>
      <c r="X16" s="61" t="s">
        <v>11</v>
      </c>
      <c r="Y16" s="61" t="s">
        <v>9</v>
      </c>
      <c r="Z16" s="72" t="str">
        <f t="shared" si="1"/>
        <v>IL-1800</v>
      </c>
      <c r="AA16" s="59">
        <f t="shared" si="2"/>
        <v>1203.8558203855123</v>
      </c>
      <c r="AB16" s="63" t="str">
        <f t="shared" si="3"/>
        <v>IL-50-1800</v>
      </c>
      <c r="AC16" s="39">
        <f>VLOOKUP(AB16,Lookup!$U$28:$V$227,2,FALSE)</f>
        <v>94.5</v>
      </c>
      <c r="AD16" s="63">
        <f t="shared" si="4"/>
        <v>2.9100529100529116</v>
      </c>
      <c r="AE16" s="73">
        <f>VLOOKUP(Z16,Lookup!$N$27:$P$36,3,FALSE)</f>
        <v>129.30000000000001</v>
      </c>
      <c r="AF16" s="76">
        <f t="shared" si="5"/>
        <v>72.170863480121966</v>
      </c>
      <c r="AG16" s="59">
        <f t="shared" si="6"/>
        <v>37.532477072610398</v>
      </c>
      <c r="AH16" s="59">
        <f t="shared" si="7"/>
        <v>33.087841629801275</v>
      </c>
      <c r="AI16" s="59">
        <f t="shared" si="8"/>
        <v>37.302014494094372</v>
      </c>
      <c r="AJ16" s="59">
        <f t="shared" si="9"/>
        <v>52.005027046611374</v>
      </c>
      <c r="AK16" s="59">
        <f t="shared" si="10"/>
        <v>48.412393877104471</v>
      </c>
      <c r="AL16" s="59">
        <f t="shared" si="11"/>
        <v>52.472789779865252</v>
      </c>
      <c r="AM16" s="59">
        <f t="shared" si="12"/>
        <v>1</v>
      </c>
      <c r="AN16" s="59">
        <f t="shared" si="13"/>
        <v>0.96824787754208941</v>
      </c>
      <c r="AO16" s="59">
        <f t="shared" si="14"/>
        <v>1</v>
      </c>
      <c r="AP16" s="59">
        <f t="shared" si="53"/>
        <v>1</v>
      </c>
      <c r="AQ16" s="59">
        <f t="shared" si="54"/>
        <v>0.97776025400753808</v>
      </c>
      <c r="AR16" s="59">
        <f t="shared" si="55"/>
        <v>1</v>
      </c>
      <c r="AS16" s="59">
        <f t="shared" si="16"/>
        <v>2.9100529100529116</v>
      </c>
      <c r="AT16" s="59">
        <f t="shared" si="17"/>
        <v>2.84533407250871</v>
      </c>
      <c r="AU16" s="59">
        <f t="shared" si="18"/>
        <v>2.9100529100529116</v>
      </c>
      <c r="AV16" s="59">
        <f t="shared" si="19"/>
        <v>54.915079956664286</v>
      </c>
      <c r="AW16" s="59">
        <f t="shared" si="56"/>
        <v>51.257727949613184</v>
      </c>
      <c r="AX16" s="59">
        <f t="shared" si="57"/>
        <v>55.382842689918164</v>
      </c>
      <c r="AY16" s="77">
        <f t="shared" si="21"/>
        <v>53.846498343712</v>
      </c>
      <c r="AZ16" s="59">
        <f t="shared" si="22"/>
        <v>50.802904905565946</v>
      </c>
      <c r="BA16" s="77">
        <f t="shared" si="23"/>
        <v>0.94347648348982238</v>
      </c>
      <c r="BB16" s="58">
        <f>VLOOKUP(Z16,Lookup!$N$27:$P$36,2,FALSE)</f>
        <v>135.91999999999999</v>
      </c>
      <c r="BC16" s="59">
        <f t="shared" si="24"/>
        <v>65.550863480122075</v>
      </c>
      <c r="BD16" s="59">
        <f t="shared" si="58"/>
        <v>37.532477072610398</v>
      </c>
      <c r="BE16" s="59">
        <f t="shared" si="59"/>
        <v>33.087841629801275</v>
      </c>
      <c r="BF16" s="59">
        <f t="shared" si="60"/>
        <v>37.302014494094372</v>
      </c>
      <c r="BG16" s="59">
        <f t="shared" si="25"/>
        <v>57.257029244156186</v>
      </c>
      <c r="BH16" s="59">
        <f t="shared" si="26"/>
        <v>53.301575048052925</v>
      </c>
      <c r="BI16" s="59">
        <f t="shared" si="27"/>
        <v>57.772031466407491</v>
      </c>
      <c r="BJ16" s="59">
        <f t="shared" si="28"/>
        <v>1</v>
      </c>
      <c r="BK16" s="59">
        <f t="shared" si="29"/>
        <v>1</v>
      </c>
      <c r="BL16" s="59">
        <f t="shared" si="30"/>
        <v>1</v>
      </c>
      <c r="BM16" s="59">
        <f t="shared" si="31"/>
        <v>1</v>
      </c>
      <c r="BN16" s="59">
        <f t="shared" si="61"/>
        <v>1</v>
      </c>
      <c r="BO16" s="59">
        <f t="shared" si="62"/>
        <v>1</v>
      </c>
      <c r="BP16" s="59">
        <f t="shared" si="33"/>
        <v>2.9100529100529116</v>
      </c>
      <c r="BQ16" s="59">
        <f t="shared" si="34"/>
        <v>2.9100529100529116</v>
      </c>
      <c r="BR16" s="59">
        <f t="shared" si="35"/>
        <v>2.9100529100529116</v>
      </c>
      <c r="BS16" s="59">
        <f t="shared" si="36"/>
        <v>60.167082154209098</v>
      </c>
      <c r="BT16" s="59">
        <f t="shared" si="63"/>
        <v>56.211627958105836</v>
      </c>
      <c r="BU16" s="59">
        <f t="shared" si="64"/>
        <v>60.682084376460402</v>
      </c>
      <c r="BV16" s="59">
        <f t="shared" si="38"/>
        <v>59.014362803108817</v>
      </c>
      <c r="BW16" s="59">
        <f t="shared" si="39"/>
        <v>1.0959740116508487</v>
      </c>
      <c r="BX16" s="64">
        <f t="shared" si="40"/>
        <v>15.249752816102635</v>
      </c>
    </row>
    <row r="17" spans="1:76" s="18" customFormat="1" ht="56.25" customHeight="1">
      <c r="A17" s="38" t="e">
        <f>#REF!</f>
        <v>#REF!</v>
      </c>
      <c r="B17" s="38" t="e">
        <f>#REF!</f>
        <v>#REF!</v>
      </c>
      <c r="C17" s="38" t="e">
        <f>#REF!</f>
        <v>#REF!</v>
      </c>
      <c r="D17" s="38" t="s">
        <v>76</v>
      </c>
      <c r="E17" s="38" t="s">
        <v>581</v>
      </c>
      <c r="F17" s="38">
        <v>1800</v>
      </c>
      <c r="G17" s="38" t="s">
        <v>45</v>
      </c>
      <c r="H17" s="61" t="s">
        <v>10</v>
      </c>
      <c r="I17" s="61" t="s">
        <v>11</v>
      </c>
      <c r="J17" s="61" t="s">
        <v>9</v>
      </c>
      <c r="K17" s="97">
        <v>50</v>
      </c>
      <c r="L17" s="97">
        <v>4</v>
      </c>
      <c r="M17" s="61">
        <v>5</v>
      </c>
      <c r="N17" s="61">
        <v>349.83050847457628</v>
      </c>
      <c r="O17" s="61">
        <v>424.42976156276927</v>
      </c>
      <c r="P17" s="62">
        <v>51.414352154260818</v>
      </c>
      <c r="Q17" s="62">
        <v>262.37288135593218</v>
      </c>
      <c r="R17" s="62">
        <v>498.89112324044811</v>
      </c>
      <c r="S17" s="62">
        <v>49.201251494128293</v>
      </c>
      <c r="T17" s="62">
        <v>384.81355932203388</v>
      </c>
      <c r="U17" s="62">
        <v>383.47601264004595</v>
      </c>
      <c r="V17" s="94">
        <v>51.808353464019966</v>
      </c>
      <c r="W17" s="61" t="s">
        <v>10</v>
      </c>
      <c r="X17" s="61" t="s">
        <v>11</v>
      </c>
      <c r="Y17" s="61" t="s">
        <v>9</v>
      </c>
      <c r="Z17" s="72" t="str">
        <f t="shared" si="1"/>
        <v>ST-1800</v>
      </c>
      <c r="AA17" s="59">
        <f t="shared" si="2"/>
        <v>1203.8558203855123</v>
      </c>
      <c r="AB17" s="63" t="str">
        <f t="shared" si="3"/>
        <v>ST-50-1800</v>
      </c>
      <c r="AC17" s="39">
        <f>VLOOKUP(AB17,Lookup!$U$28:$V$227,2,FALSE)</f>
        <v>82.5</v>
      </c>
      <c r="AD17" s="63">
        <f t="shared" si="4"/>
        <v>10.606060606060609</v>
      </c>
      <c r="AE17" s="73">
        <f>VLOOKUP(Z17,Lookup!$N$27:$P$36,3,FALSE)</f>
        <v>138.78</v>
      </c>
      <c r="AF17" s="76">
        <f t="shared" si="5"/>
        <v>62.690863480122061</v>
      </c>
      <c r="AG17" s="59">
        <f t="shared" si="6"/>
        <v>37.532477072610398</v>
      </c>
      <c r="AH17" s="59">
        <f t="shared" si="7"/>
        <v>33.087841629801275</v>
      </c>
      <c r="AI17" s="59">
        <f t="shared" si="8"/>
        <v>37.302014494094372</v>
      </c>
      <c r="AJ17" s="59">
        <f t="shared" si="9"/>
        <v>59.86913401585408</v>
      </c>
      <c r="AK17" s="59">
        <f t="shared" si="10"/>
        <v>55.733229298369139</v>
      </c>
      <c r="AL17" s="59">
        <f t="shared" si="11"/>
        <v>60.407630991150306</v>
      </c>
      <c r="AM17" s="59">
        <f t="shared" si="12"/>
        <v>1</v>
      </c>
      <c r="AN17" s="59">
        <f t="shared" si="13"/>
        <v>1</v>
      </c>
      <c r="AO17" s="59">
        <f t="shared" si="14"/>
        <v>1</v>
      </c>
      <c r="AP17" s="59">
        <f t="shared" si="53"/>
        <v>1</v>
      </c>
      <c r="AQ17" s="59">
        <f t="shared" si="54"/>
        <v>1</v>
      </c>
      <c r="AR17" s="59">
        <f t="shared" si="55"/>
        <v>1</v>
      </c>
      <c r="AS17" s="59">
        <f t="shared" si="16"/>
        <v>10.606060606060609</v>
      </c>
      <c r="AT17" s="59">
        <f t="shared" si="17"/>
        <v>10.606060606060609</v>
      </c>
      <c r="AU17" s="59">
        <f t="shared" si="18"/>
        <v>10.606060606060609</v>
      </c>
      <c r="AV17" s="59">
        <f t="shared" si="19"/>
        <v>70.475194621914682</v>
      </c>
      <c r="AW17" s="59">
        <f t="shared" si="56"/>
        <v>66.339289904429748</v>
      </c>
      <c r="AX17" s="59">
        <f t="shared" si="57"/>
        <v>71.013691597210908</v>
      </c>
      <c r="AY17" s="77">
        <f t="shared" si="21"/>
        <v>69.269131101980989</v>
      </c>
      <c r="AZ17" s="59">
        <f t="shared" si="22"/>
        <v>50.802904905565946</v>
      </c>
      <c r="BA17" s="77">
        <f t="shared" si="23"/>
        <v>0.73341334151819704</v>
      </c>
      <c r="BB17" s="58">
        <f>VLOOKUP(Z17,Lookup!$N$27:$P$36,2,FALSE)</f>
        <v>138.78</v>
      </c>
      <c r="BC17" s="59">
        <f t="shared" si="24"/>
        <v>62.690863480122061</v>
      </c>
      <c r="BD17" s="59">
        <f t="shared" si="58"/>
        <v>37.532477072610398</v>
      </c>
      <c r="BE17" s="59">
        <f t="shared" si="59"/>
        <v>33.087841629801275</v>
      </c>
      <c r="BF17" s="59">
        <f t="shared" si="60"/>
        <v>37.302014494094372</v>
      </c>
      <c r="BG17" s="59">
        <f t="shared" si="25"/>
        <v>59.86913401585408</v>
      </c>
      <c r="BH17" s="59">
        <f t="shared" si="26"/>
        <v>55.733229298369139</v>
      </c>
      <c r="BI17" s="59">
        <f t="shared" si="27"/>
        <v>60.407630991150306</v>
      </c>
      <c r="BJ17" s="59">
        <f t="shared" si="28"/>
        <v>1</v>
      </c>
      <c r="BK17" s="59">
        <f t="shared" si="29"/>
        <v>1</v>
      </c>
      <c r="BL17" s="59">
        <f t="shared" si="30"/>
        <v>1</v>
      </c>
      <c r="BM17" s="59">
        <f t="shared" si="31"/>
        <v>1</v>
      </c>
      <c r="BN17" s="59">
        <f t="shared" si="61"/>
        <v>1</v>
      </c>
      <c r="BO17" s="59">
        <f t="shared" si="62"/>
        <v>1</v>
      </c>
      <c r="BP17" s="59">
        <f t="shared" si="33"/>
        <v>10.606060606060609</v>
      </c>
      <c r="BQ17" s="59">
        <f t="shared" si="34"/>
        <v>10.606060606060609</v>
      </c>
      <c r="BR17" s="59">
        <f t="shared" si="35"/>
        <v>10.606060606060609</v>
      </c>
      <c r="BS17" s="59">
        <f t="shared" si="36"/>
        <v>70.475194621914682</v>
      </c>
      <c r="BT17" s="59">
        <f t="shared" si="63"/>
        <v>66.339289904429748</v>
      </c>
      <c r="BU17" s="59">
        <f t="shared" si="64"/>
        <v>71.013691597210908</v>
      </c>
      <c r="BV17" s="59">
        <f t="shared" si="38"/>
        <v>69.269131101980989</v>
      </c>
      <c r="BW17" s="59">
        <f t="shared" si="39"/>
        <v>1</v>
      </c>
      <c r="BX17" s="64">
        <f t="shared" si="40"/>
        <v>26.658665848180295</v>
      </c>
    </row>
  </sheetData>
  <mergeCells count="7">
    <mergeCell ref="BB3:BX3"/>
    <mergeCell ref="AZ3:BA3"/>
    <mergeCell ref="Z3:AE3"/>
    <mergeCell ref="BB2:BX2"/>
    <mergeCell ref="AF3:AY3"/>
    <mergeCell ref="A2:BA2"/>
    <mergeCell ref="A3:Y3"/>
  </mergeCell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9"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182" t="s">
        <v>448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94"/>
      <c r="BM2" s="182" t="s">
        <v>350</v>
      </c>
      <c r="BN2" s="183"/>
      <c r="BO2" s="183"/>
      <c r="BP2" s="183"/>
      <c r="BQ2" s="183"/>
      <c r="BR2" s="183"/>
      <c r="BS2" s="183"/>
      <c r="BT2" s="183"/>
      <c r="BU2" s="183"/>
      <c r="BV2" s="183"/>
      <c r="BW2" s="183"/>
      <c r="BX2" s="183"/>
      <c r="BY2" s="183"/>
      <c r="BZ2" s="183"/>
      <c r="CA2" s="183"/>
      <c r="CB2" s="183"/>
      <c r="CC2" s="183"/>
      <c r="CD2" s="183"/>
      <c r="CE2" s="183"/>
      <c r="CF2" s="183"/>
      <c r="CG2" s="183"/>
      <c r="CH2" s="183"/>
      <c r="CI2" s="184"/>
    </row>
    <row r="3" spans="1:87" s="16" customFormat="1" ht="34.5" customHeight="1" thickBot="1">
      <c r="A3" s="195" t="s">
        <v>447</v>
      </c>
      <c r="B3" s="196"/>
      <c r="C3" s="196"/>
      <c r="D3" s="196"/>
      <c r="E3" s="196"/>
      <c r="F3" s="196"/>
      <c r="G3" s="196"/>
      <c r="H3" s="196"/>
      <c r="I3" s="196"/>
      <c r="J3" s="196"/>
      <c r="K3" s="196"/>
      <c r="L3" s="196"/>
      <c r="M3" s="196"/>
      <c r="N3" s="196"/>
      <c r="O3" s="196"/>
      <c r="P3" s="196"/>
      <c r="Q3" s="196"/>
      <c r="R3" s="196"/>
      <c r="S3" s="196"/>
      <c r="T3" s="196"/>
      <c r="U3" s="196"/>
      <c r="V3" s="196"/>
      <c r="W3" s="197"/>
      <c r="X3" s="188" t="s">
        <v>347</v>
      </c>
      <c r="Y3" s="189"/>
      <c r="Z3" s="189"/>
      <c r="AA3" s="189"/>
      <c r="AB3" s="189"/>
      <c r="AC3" s="189"/>
      <c r="AD3" s="190"/>
      <c r="AE3" s="191" t="s">
        <v>431</v>
      </c>
      <c r="AF3" s="192"/>
      <c r="AG3" s="192"/>
      <c r="AH3" s="192"/>
      <c r="AI3" s="192"/>
      <c r="AJ3" s="192"/>
      <c r="AK3" s="192"/>
      <c r="AL3" s="192"/>
      <c r="AM3" s="192"/>
      <c r="AN3" s="192"/>
      <c r="AO3" s="192"/>
      <c r="AP3" s="192"/>
      <c r="AQ3" s="192"/>
      <c r="AR3" s="192"/>
      <c r="AS3" s="192"/>
      <c r="AT3" s="192"/>
      <c r="AU3" s="192"/>
      <c r="AV3" s="192"/>
      <c r="AW3" s="192"/>
      <c r="AX3" s="193"/>
      <c r="AY3" s="172" t="s">
        <v>432</v>
      </c>
      <c r="AZ3" s="173"/>
      <c r="BA3" s="173"/>
      <c r="BB3" s="173"/>
      <c r="BC3" s="173"/>
      <c r="BD3" s="173"/>
      <c r="BE3" s="173"/>
      <c r="BF3" s="173"/>
      <c r="BG3" s="173"/>
      <c r="BH3" s="173"/>
      <c r="BI3" s="173"/>
      <c r="BJ3" s="173"/>
      <c r="BK3" s="173"/>
      <c r="BL3" s="178"/>
      <c r="BM3" s="185" t="s">
        <v>433</v>
      </c>
      <c r="BN3" s="186"/>
      <c r="BO3" s="186"/>
      <c r="BP3" s="186"/>
      <c r="BQ3" s="186"/>
      <c r="BR3" s="186"/>
      <c r="BS3" s="186"/>
      <c r="BT3" s="186"/>
      <c r="BU3" s="186"/>
      <c r="BV3" s="186"/>
      <c r="BW3" s="186"/>
      <c r="BX3" s="186"/>
      <c r="BY3" s="186"/>
      <c r="BZ3" s="186"/>
      <c r="CA3" s="186"/>
      <c r="CB3" s="186"/>
      <c r="CC3" s="186"/>
      <c r="CD3" s="186"/>
      <c r="CE3" s="186"/>
      <c r="CF3" s="186"/>
      <c r="CG3" s="186"/>
      <c r="CH3" s="186"/>
      <c r="CI3" s="187"/>
    </row>
    <row r="4" spans="1:87" s="16" customFormat="1" ht="52.5" customHeight="1">
      <c r="A4" s="70"/>
      <c r="B4" s="141"/>
      <c r="C4" s="141"/>
      <c r="D4" s="141"/>
      <c r="E4" s="60" t="s">
        <v>367</v>
      </c>
      <c r="F4" s="60"/>
      <c r="G4" s="141"/>
      <c r="H4" s="60"/>
      <c r="I4" s="60"/>
      <c r="J4" s="141"/>
      <c r="K4" s="60"/>
      <c r="L4" s="60" t="s">
        <v>450</v>
      </c>
      <c r="M4" s="146" t="s">
        <v>451</v>
      </c>
      <c r="N4" s="60" t="s">
        <v>351</v>
      </c>
      <c r="O4" s="60" t="s">
        <v>352</v>
      </c>
      <c r="P4" s="60" t="s">
        <v>353</v>
      </c>
      <c r="Q4" s="60" t="s">
        <v>354</v>
      </c>
      <c r="R4" s="60" t="s">
        <v>355</v>
      </c>
      <c r="S4" s="60" t="s">
        <v>356</v>
      </c>
      <c r="T4" s="60" t="s">
        <v>357</v>
      </c>
      <c r="U4" s="60" t="s">
        <v>358</v>
      </c>
      <c r="V4" s="60" t="s">
        <v>359</v>
      </c>
      <c r="W4" s="71" t="s">
        <v>360</v>
      </c>
      <c r="X4" s="70"/>
      <c r="Y4" s="60" t="s">
        <v>370</v>
      </c>
      <c r="Z4" s="68"/>
      <c r="AA4" s="69" t="s">
        <v>373</v>
      </c>
      <c r="AB4" s="60" t="s">
        <v>374</v>
      </c>
      <c r="AC4" s="60" t="s">
        <v>452</v>
      </c>
      <c r="AD4" s="148" t="s">
        <v>375</v>
      </c>
      <c r="AE4" s="75" t="s">
        <v>376</v>
      </c>
      <c r="AF4" s="60" t="s">
        <v>377</v>
      </c>
      <c r="AG4" s="60" t="s">
        <v>378</v>
      </c>
      <c r="AH4" s="60" t="s">
        <v>379</v>
      </c>
      <c r="AI4" s="74" t="s">
        <v>380</v>
      </c>
      <c r="AJ4" s="74" t="s">
        <v>411</v>
      </c>
      <c r="AK4" s="74" t="s">
        <v>381</v>
      </c>
      <c r="AL4" s="60" t="s">
        <v>405</v>
      </c>
      <c r="AM4" s="60" t="s">
        <v>406</v>
      </c>
      <c r="AN4" s="60" t="s">
        <v>407</v>
      </c>
      <c r="AO4" s="60" t="s">
        <v>408</v>
      </c>
      <c r="AP4" s="60" t="s">
        <v>409</v>
      </c>
      <c r="AQ4" s="60" t="s">
        <v>410</v>
      </c>
      <c r="AR4" s="60" t="s">
        <v>412</v>
      </c>
      <c r="AS4" s="60" t="s">
        <v>413</v>
      </c>
      <c r="AT4" s="60" t="s">
        <v>414</v>
      </c>
      <c r="AU4" s="74" t="s">
        <v>391</v>
      </c>
      <c r="AV4" s="74" t="s">
        <v>392</v>
      </c>
      <c r="AW4" s="74" t="s">
        <v>393</v>
      </c>
      <c r="AX4" s="71" t="s">
        <v>394</v>
      </c>
      <c r="AY4" s="112" t="s">
        <v>382</v>
      </c>
      <c r="AZ4" s="60" t="s">
        <v>383</v>
      </c>
      <c r="BA4" s="60" t="s">
        <v>384</v>
      </c>
      <c r="BB4" s="60" t="s">
        <v>385</v>
      </c>
      <c r="BC4" s="60" t="s">
        <v>386</v>
      </c>
      <c r="BD4" s="60" t="s">
        <v>387</v>
      </c>
      <c r="BE4" s="60" t="s">
        <v>388</v>
      </c>
      <c r="BF4" s="60" t="s">
        <v>389</v>
      </c>
      <c r="BG4" s="60" t="s">
        <v>390</v>
      </c>
      <c r="BH4" s="74" t="s">
        <v>395</v>
      </c>
      <c r="BI4" s="74" t="s">
        <v>396</v>
      </c>
      <c r="BJ4" s="74" t="s">
        <v>397</v>
      </c>
      <c r="BK4" s="60" t="s">
        <v>398</v>
      </c>
      <c r="BL4" s="148" t="s">
        <v>399</v>
      </c>
      <c r="BM4" s="83" t="s">
        <v>400</v>
      </c>
      <c r="BN4" s="80" t="s">
        <v>401</v>
      </c>
      <c r="BO4" s="60" t="s">
        <v>377</v>
      </c>
      <c r="BP4" s="60" t="s">
        <v>378</v>
      </c>
      <c r="BQ4" s="60" t="s">
        <v>379</v>
      </c>
      <c r="BR4" s="74" t="s">
        <v>402</v>
      </c>
      <c r="BS4" s="74" t="s">
        <v>403</v>
      </c>
      <c r="BT4" s="74" t="s">
        <v>404</v>
      </c>
      <c r="BU4" s="60" t="s">
        <v>415</v>
      </c>
      <c r="BV4" s="60" t="s">
        <v>416</v>
      </c>
      <c r="BW4" s="60" t="s">
        <v>417</v>
      </c>
      <c r="BX4" s="60" t="s">
        <v>418</v>
      </c>
      <c r="BY4" s="60" t="s">
        <v>419</v>
      </c>
      <c r="BZ4" s="60" t="s">
        <v>420</v>
      </c>
      <c r="CA4" s="60" t="s">
        <v>421</v>
      </c>
      <c r="CB4" s="60" t="s">
        <v>422</v>
      </c>
      <c r="CC4" s="60" t="s">
        <v>423</v>
      </c>
      <c r="CD4" s="74" t="s">
        <v>424</v>
      </c>
      <c r="CE4" s="74" t="s">
        <v>425</v>
      </c>
      <c r="CF4" s="74" t="s">
        <v>426</v>
      </c>
      <c r="CG4" s="81" t="s">
        <v>428</v>
      </c>
      <c r="CH4" s="81" t="s">
        <v>427</v>
      </c>
      <c r="CI4" s="82" t="s">
        <v>429</v>
      </c>
    </row>
    <row r="5" spans="1:87" s="18" customFormat="1" ht="137.25" customHeight="1">
      <c r="A5" s="41" t="s">
        <v>329</v>
      </c>
      <c r="B5" s="88" t="s">
        <v>12</v>
      </c>
      <c r="C5" s="88" t="s">
        <v>27</v>
      </c>
      <c r="D5" s="88" t="s">
        <v>89</v>
      </c>
      <c r="E5" s="88" t="s">
        <v>348</v>
      </c>
      <c r="F5" s="88" t="s">
        <v>4</v>
      </c>
      <c r="G5" s="88" t="s">
        <v>569</v>
      </c>
      <c r="H5" s="88" t="s">
        <v>0</v>
      </c>
      <c r="I5" s="88" t="s">
        <v>3</v>
      </c>
      <c r="J5" s="88" t="s">
        <v>14</v>
      </c>
      <c r="K5" s="88" t="s">
        <v>349</v>
      </c>
      <c r="L5" s="88" t="s">
        <v>372</v>
      </c>
      <c r="M5" s="144" t="s">
        <v>568</v>
      </c>
      <c r="N5" s="88" t="s">
        <v>15</v>
      </c>
      <c r="O5" s="88" t="s">
        <v>13</v>
      </c>
      <c r="P5" s="88" t="s">
        <v>24</v>
      </c>
      <c r="Q5" s="88" t="s">
        <v>343</v>
      </c>
      <c r="R5" s="88" t="s">
        <v>49</v>
      </c>
      <c r="S5" s="88" t="s">
        <v>50</v>
      </c>
      <c r="T5" s="88" t="s">
        <v>344</v>
      </c>
      <c r="U5" s="88" t="s">
        <v>51</v>
      </c>
      <c r="V5" s="88" t="s">
        <v>52</v>
      </c>
      <c r="W5" s="47" t="s">
        <v>345</v>
      </c>
      <c r="X5" s="41" t="s">
        <v>2</v>
      </c>
      <c r="Y5" s="88" t="s">
        <v>435</v>
      </c>
      <c r="Z5" s="88" t="s">
        <v>96</v>
      </c>
      <c r="AA5" s="88" t="s">
        <v>297</v>
      </c>
      <c r="AB5" s="57" t="s">
        <v>298</v>
      </c>
      <c r="AC5" s="57" t="s">
        <v>453</v>
      </c>
      <c r="AD5" s="143" t="s">
        <v>54</v>
      </c>
      <c r="AE5" s="41" t="s">
        <v>436</v>
      </c>
      <c r="AF5" s="88" t="s">
        <v>56</v>
      </c>
      <c r="AG5" s="88" t="s">
        <v>57</v>
      </c>
      <c r="AH5" s="88" t="s">
        <v>58</v>
      </c>
      <c r="AI5" s="88" t="s">
        <v>60</v>
      </c>
      <c r="AJ5" s="88" t="s">
        <v>61</v>
      </c>
      <c r="AK5" s="88" t="s">
        <v>62</v>
      </c>
      <c r="AL5" s="88" t="s">
        <v>302</v>
      </c>
      <c r="AM5" s="88" t="s">
        <v>301</v>
      </c>
      <c r="AN5" s="88" t="s">
        <v>300</v>
      </c>
      <c r="AO5" s="88" t="s">
        <v>306</v>
      </c>
      <c r="AP5" s="88" t="s">
        <v>307</v>
      </c>
      <c r="AQ5" s="88" t="s">
        <v>308</v>
      </c>
      <c r="AR5" s="88" t="s">
        <v>316</v>
      </c>
      <c r="AS5" s="88" t="s">
        <v>317</v>
      </c>
      <c r="AT5" s="88" t="s">
        <v>318</v>
      </c>
      <c r="AU5" s="88" t="s">
        <v>362</v>
      </c>
      <c r="AV5" s="88" t="s">
        <v>363</v>
      </c>
      <c r="AW5" s="88" t="s">
        <v>363</v>
      </c>
      <c r="AX5" s="47" t="s">
        <v>437</v>
      </c>
      <c r="AY5" s="103" t="s">
        <v>339</v>
      </c>
      <c r="AZ5" s="88" t="s">
        <v>338</v>
      </c>
      <c r="BA5" s="88" t="s">
        <v>337</v>
      </c>
      <c r="BB5" s="88" t="s">
        <v>438</v>
      </c>
      <c r="BC5" s="88" t="s">
        <v>439</v>
      </c>
      <c r="BD5" s="88" t="s">
        <v>440</v>
      </c>
      <c r="BE5" s="88" t="s">
        <v>340</v>
      </c>
      <c r="BF5" s="88" t="s">
        <v>341</v>
      </c>
      <c r="BG5" s="88" t="s">
        <v>342</v>
      </c>
      <c r="BH5" s="88" t="s">
        <v>441</v>
      </c>
      <c r="BI5" s="88" t="s">
        <v>442</v>
      </c>
      <c r="BJ5" s="88" t="s">
        <v>443</v>
      </c>
      <c r="BK5" s="88" t="s">
        <v>444</v>
      </c>
      <c r="BL5" s="143" t="s">
        <v>346</v>
      </c>
      <c r="BM5" s="41" t="s">
        <v>53</v>
      </c>
      <c r="BN5" s="88" t="s">
        <v>59</v>
      </c>
      <c r="BO5" s="88" t="str">
        <f t="shared" ref="BO5:BQ6" si="0">AF5</f>
        <v>Calculate hydraulic power at 100% BEP</v>
      </c>
      <c r="BP5" s="88" t="str">
        <f t="shared" si="0"/>
        <v>Calculate hydraulic power at 75% BEP</v>
      </c>
      <c r="BQ5" s="88" t="str">
        <f t="shared" si="0"/>
        <v>Calculate hydraulic power at 110% BEP</v>
      </c>
      <c r="BR5" s="88" t="s">
        <v>67</v>
      </c>
      <c r="BS5" s="88" t="s">
        <v>66</v>
      </c>
      <c r="BT5" s="88" t="s">
        <v>65</v>
      </c>
      <c r="BU5" s="88" t="s">
        <v>303</v>
      </c>
      <c r="BV5" s="88" t="s">
        <v>304</v>
      </c>
      <c r="BW5" s="88" t="s">
        <v>305</v>
      </c>
      <c r="BX5" s="88" t="s">
        <v>309</v>
      </c>
      <c r="BY5" s="88" t="s">
        <v>310</v>
      </c>
      <c r="BZ5" s="88" t="s">
        <v>311</v>
      </c>
      <c r="CA5" s="88" t="s">
        <v>319</v>
      </c>
      <c r="CB5" s="88" t="s">
        <v>320</v>
      </c>
      <c r="CC5" s="88" t="s">
        <v>321</v>
      </c>
      <c r="CD5" s="88" t="s">
        <v>364</v>
      </c>
      <c r="CE5" s="88" t="s">
        <v>365</v>
      </c>
      <c r="CF5" s="88" t="s">
        <v>366</v>
      </c>
      <c r="CG5" s="88" t="s">
        <v>445</v>
      </c>
      <c r="CH5" s="88" t="s">
        <v>314</v>
      </c>
      <c r="CI5" s="47" t="s">
        <v>315</v>
      </c>
    </row>
    <row r="6" spans="1:87" s="18" customFormat="1" ht="90.75" customHeight="1" thickBot="1">
      <c r="A6" s="104" t="e">
        <f>#REF!</f>
        <v>#REF!</v>
      </c>
      <c r="B6" s="38" t="e">
        <f>#REF!</f>
        <v>#REF!</v>
      </c>
      <c r="C6" s="38" t="e">
        <f>#REF!</f>
        <v>#REF!</v>
      </c>
      <c r="D6" s="38" t="s">
        <v>77</v>
      </c>
      <c r="E6" s="38" t="s">
        <v>581</v>
      </c>
      <c r="F6" s="38">
        <v>3600</v>
      </c>
      <c r="G6" s="38" t="s">
        <v>570</v>
      </c>
      <c r="H6" s="61" t="s">
        <v>11</v>
      </c>
      <c r="I6" s="61" t="s">
        <v>10</v>
      </c>
      <c r="J6" s="61" t="s">
        <v>11</v>
      </c>
      <c r="K6" s="61" t="s">
        <v>9</v>
      </c>
      <c r="L6" s="62">
        <v>60</v>
      </c>
      <c r="M6" s="62">
        <v>97</v>
      </c>
      <c r="N6" s="145">
        <v>1</v>
      </c>
      <c r="O6" s="62">
        <v>349.83050847457628</v>
      </c>
      <c r="P6" s="62">
        <v>424.42976156276927</v>
      </c>
      <c r="Q6" s="62">
        <v>51.414352154260818</v>
      </c>
      <c r="R6" s="62">
        <v>262.37288135593218</v>
      </c>
      <c r="S6" s="62">
        <v>498.89112324044811</v>
      </c>
      <c r="T6" s="62">
        <v>49.201251494128293</v>
      </c>
      <c r="U6" s="62">
        <v>384.81355932203388</v>
      </c>
      <c r="V6" s="62">
        <v>383.47601264004595</v>
      </c>
      <c r="W6" s="65">
        <v>51.808353464019966</v>
      </c>
      <c r="X6" s="108" t="str">
        <f t="shared" ref="X6:X17" si="1">D6&amp;-F6</f>
        <v>ESCC-3600</v>
      </c>
      <c r="Y6" s="105">
        <f t="shared" ref="Y6:Y17" si="2">((F6*SQRT(O6)/(P6/N6)^0.75))</f>
        <v>720.07373351181911</v>
      </c>
      <c r="Z6" s="109" t="str">
        <f t="shared" ref="Z6:Z17" si="3">D6&amp;-L6&amp;-F6</f>
        <v>ESCC-60-3600</v>
      </c>
      <c r="AA6" s="110">
        <f>VLOOKUP(Z6,Lookup!$U$28:$V$227,2,FALSE)</f>
        <v>93.6</v>
      </c>
      <c r="AB6" s="109">
        <f t="shared" ref="AB6:AB17" si="4">L6/(AA6/100)-L6</f>
        <v>4.1025641025641022</v>
      </c>
      <c r="AC6" s="109">
        <f t="shared" ref="AC6:AC17" si="5">IFERROR(L6/(M6/100)-L6,"")</f>
        <v>1.855670103092784</v>
      </c>
      <c r="AD6" s="149">
        <f>VLOOKUP(X6,Lookup!$N$27:$P$36,3,FALSE)</f>
        <v>130.41999999999999</v>
      </c>
      <c r="AE6" s="76">
        <f t="shared" ref="AE6:AE17" si="6">-0.85*(LN(O6))^2-0.38*LN(Y6)*LN(O6)-11.48*(LN(Y6))^2+17.8*LN(O6)+179.8*LN(Y6)-(AD6+555.6)</f>
        <v>60.45756873870539</v>
      </c>
      <c r="AF6" s="59">
        <f t="shared" ref="AF6:AF17" si="7">O6*P6/3956</f>
        <v>37.532477072610398</v>
      </c>
      <c r="AG6" s="59">
        <f t="shared" ref="AG6:AG17" si="8">R6*S6/3956</f>
        <v>33.087841629801275</v>
      </c>
      <c r="AH6" s="59">
        <f t="shared" ref="AH6:AH17" si="9">U6*V6/3956</f>
        <v>37.302014494094372</v>
      </c>
      <c r="AI6" s="59">
        <f t="shared" ref="AI6:AI17" si="10">AF6/(AE6/100)</f>
        <v>62.080692054991324</v>
      </c>
      <c r="AJ6" s="59">
        <f t="shared" ref="AJ6:AJ17" si="11">AG6/(AE6/100*0.947)</f>
        <v>57.792007554110207</v>
      </c>
      <c r="AK6" s="59">
        <f t="shared" ref="AK6:AK17" si="12">AH6/(AE6/100*0.985)</f>
        <v>62.639081038654538</v>
      </c>
      <c r="AL6" s="59">
        <f t="shared" ref="AL6:AL17" si="13">IF((AI6/L6)&gt;=1,1,(AI6/L6))</f>
        <v>1</v>
      </c>
      <c r="AM6" s="59">
        <f t="shared" ref="AM6:AM17" si="14">IF((AJ6/L6)&gt;=1,1,(AJ6/L6))</f>
        <v>0.96320012590183679</v>
      </c>
      <c r="AN6" s="59">
        <f t="shared" ref="AN6:AN17" si="15">IF((AK6/L6)&gt;=1,1,(AK6/L6))</f>
        <v>1</v>
      </c>
      <c r="AO6" s="59">
        <f t="shared" ref="AO6:AQ6" si="16">-0.4508*AL6^3+1.2399*AL6^2+-0.4301*AL6+0.641</f>
        <v>1</v>
      </c>
      <c r="AP6" s="59">
        <f t="shared" si="16"/>
        <v>0.97420956268645686</v>
      </c>
      <c r="AQ6" s="59">
        <f t="shared" si="16"/>
        <v>1</v>
      </c>
      <c r="AR6" s="59">
        <f t="shared" ref="AR6:AR17" si="17">AO6*AB6</f>
        <v>4.1025641025641022</v>
      </c>
      <c r="AS6" s="59">
        <f t="shared" ref="AS6:AS17" si="18">AP6*AB6</f>
        <v>3.9967571802521302</v>
      </c>
      <c r="AT6" s="59">
        <f t="shared" ref="AT6:AT17" si="19">AQ6*AB6</f>
        <v>4.1025641025641022</v>
      </c>
      <c r="AU6" s="59">
        <f t="shared" ref="AU6:AU17" si="20">AR6+AI6</f>
        <v>66.183256157555434</v>
      </c>
      <c r="AV6" s="59">
        <f t="shared" ref="AV6:AW6" si="21">AS6+AJ6</f>
        <v>61.788764734362339</v>
      </c>
      <c r="AW6" s="59">
        <f t="shared" si="21"/>
        <v>66.74164514121864</v>
      </c>
      <c r="AX6" s="77">
        <f t="shared" ref="AX6:AX17" si="22">0.3333*(AU6)+0.3333*(AV6)+0.3333*(AW6)</f>
        <v>64.89806488884436</v>
      </c>
      <c r="AY6" s="147">
        <f t="shared" ref="AY6:AY17" si="23">IF((Q6/L6)&gt;=1,1,(Q6/L6))</f>
        <v>0.85690586923768031</v>
      </c>
      <c r="AZ6" s="59">
        <f t="shared" ref="AZ6:AZ17" si="24">IF((T6/L6)&gt;=1,1,(T6/L6))</f>
        <v>0.82002085823547155</v>
      </c>
      <c r="BA6" s="59">
        <f t="shared" ref="BA6:BA17" si="25">IF((W6/L6)&gt;=1,1,(W6/L6))</f>
        <v>0.86347255773366605</v>
      </c>
      <c r="BB6" s="59">
        <f t="shared" ref="BB6:BB17" si="26">-0.4508*(AY6)^3+1.2399*(AY6)^2+-0.4301*(AY6)+0.641</f>
        <v>0.89923775790255123</v>
      </c>
      <c r="BC6" s="59">
        <f t="shared" ref="BC6:BD6" si="27">-0.4508*(AZ6)^3+1.2399*(AZ6)^2+-0.4301*(AZ6)+0.641</f>
        <v>0.87348454090193495</v>
      </c>
      <c r="BD6" s="59">
        <f t="shared" si="27"/>
        <v>0.90384965571156095</v>
      </c>
      <c r="BE6" s="59">
        <f t="shared" ref="BE6:BE17" si="28">IF($AC6="",$AB6*BB6,$AC6*BB6)</f>
        <v>1.6686886229119511</v>
      </c>
      <c r="BF6" s="59">
        <f t="shared" ref="BF6:BG6" si="29">IF($AC6="",$AB6*BC6,$AC6*BC6)</f>
        <v>1.6208991480654467</v>
      </c>
      <c r="BG6" s="59">
        <f t="shared" si="29"/>
        <v>1.6772467837946496</v>
      </c>
      <c r="BH6" s="59">
        <f t="shared" ref="BH6:BH17" si="30">Q6+BE6</f>
        <v>53.083040777172769</v>
      </c>
      <c r="BI6" s="59">
        <f t="shared" ref="BI6:BI17" si="31">T6+BF6</f>
        <v>50.822150642193741</v>
      </c>
      <c r="BJ6" s="59">
        <f t="shared" ref="BJ6:BJ17" si="32">W6+BG6</f>
        <v>53.485600247814617</v>
      </c>
      <c r="BK6" s="59">
        <f t="shared" ref="BK6:BK17" si="33">0.3333*(BH6)+0.3333*(BI6)+0.3333*(BJ6)</f>
        <v>52.458350862671466</v>
      </c>
      <c r="BL6" s="101">
        <f t="shared" ref="BL6:BL17" si="34">BK6/AX6</f>
        <v>0.80831918413161785</v>
      </c>
      <c r="BM6" s="58">
        <f>VLOOKUP(X6,Lookup!$N$27:$P$36,2,FALSE)</f>
        <v>135.94</v>
      </c>
      <c r="BN6" s="59">
        <f t="shared" ref="BN6:BN17" si="35">-0.85*(LN(O6))^2-0.38*LN(Y6)*LN(O6)-11.48*(LN(Y6))^2+17.8*LN(O6)+179.8*LN(Y6)-(BM6+555.6)</f>
        <v>54.937568738705409</v>
      </c>
      <c r="BO6" s="59">
        <f t="shared" si="0"/>
        <v>37.532477072610398</v>
      </c>
      <c r="BP6" s="59">
        <f t="shared" si="0"/>
        <v>33.087841629801275</v>
      </c>
      <c r="BQ6" s="59">
        <f t="shared" si="0"/>
        <v>37.302014494094372</v>
      </c>
      <c r="BR6" s="59">
        <f t="shared" ref="BR6:BR17" si="36">AF6/(BN6/100)</f>
        <v>68.318416585056255</v>
      </c>
      <c r="BS6" s="59">
        <f t="shared" ref="BS6:BS17" si="37">AG6/(BN6/100*0.947)</f>
        <v>63.598814972472205</v>
      </c>
      <c r="BT6" s="59">
        <f t="shared" ref="BT6:BT17" si="38">AH6/(BN6/100*0.985)</f>
        <v>68.93291120390839</v>
      </c>
      <c r="BU6" s="59">
        <f t="shared" ref="BU6:BU17" si="39">IF((BR6/$L6)&gt;=1,1,(BR6/$L6))</f>
        <v>1</v>
      </c>
      <c r="BV6" s="59">
        <f t="shared" ref="BV6:BV17" si="40">IF((BS6/$L6)&gt;=1,1,(BS6/$L6))</f>
        <v>1</v>
      </c>
      <c r="BW6" s="59">
        <f t="shared" ref="BW6:BW17" si="41">IF((BT6/$L6)&gt;=1,1,(BT6/$L6))</f>
        <v>1</v>
      </c>
      <c r="BX6" s="59">
        <f t="shared" ref="BX6:BZ6" si="42">-0.4508*BU6^3+1.2399*BU6^2+-0.4301*BU6+0.641</f>
        <v>1</v>
      </c>
      <c r="BY6" s="59">
        <f t="shared" si="42"/>
        <v>1</v>
      </c>
      <c r="BZ6" s="59">
        <f t="shared" si="42"/>
        <v>1</v>
      </c>
      <c r="CA6" s="59">
        <f t="shared" ref="CA6:CA17" si="43">BX6*AB6</f>
        <v>4.1025641025641022</v>
      </c>
      <c r="CB6" s="59">
        <f t="shared" ref="CB6:CB17" si="44">BY6*AB6</f>
        <v>4.1025641025641022</v>
      </c>
      <c r="CC6" s="59">
        <f t="shared" ref="CC6:CC17" si="45">BZ6*AB6</f>
        <v>4.1025641025641022</v>
      </c>
      <c r="CD6" s="59">
        <f t="shared" ref="CD6:CD17" si="46">CA6+BR6</f>
        <v>72.420980687620357</v>
      </c>
      <c r="CE6" s="59">
        <f t="shared" ref="CE6:CF6" si="47">CB6+BS6</f>
        <v>67.7013790750363</v>
      </c>
      <c r="CF6" s="59">
        <f t="shared" si="47"/>
        <v>73.035475306472492</v>
      </c>
      <c r="CG6" s="59">
        <f t="shared" ref="CG6:CG17" si="48">0.3333*(BR6+CA6)+0.3333*(BS6+CB6)+0.3333*(BT6+CC6)</f>
        <v>71.045506428540747</v>
      </c>
      <c r="CH6" s="59">
        <f t="shared" ref="CH6:CH17" si="49">CG6/AX6</f>
        <v>1.0947245738409235</v>
      </c>
      <c r="CI6" s="64">
        <f t="shared" ref="CI6:CI17" si="50">(CH6-BL6)*100</f>
        <v>28.640538970930564</v>
      </c>
    </row>
    <row r="7" spans="1:87" s="18" customFormat="1" ht="90.75" customHeight="1" thickBot="1">
      <c r="A7" s="104" t="e">
        <f>#REF!</f>
        <v>#REF!</v>
      </c>
      <c r="B7" s="38" t="e">
        <f>#REF!</f>
        <v>#REF!</v>
      </c>
      <c r="C7" s="38" t="e">
        <f>#REF!</f>
        <v>#REF!</v>
      </c>
      <c r="D7" s="38" t="s">
        <v>74</v>
      </c>
      <c r="E7" s="38" t="s">
        <v>581</v>
      </c>
      <c r="F7" s="38">
        <v>1800</v>
      </c>
      <c r="G7" s="38" t="s">
        <v>45</v>
      </c>
      <c r="H7" s="61" t="s">
        <v>11</v>
      </c>
      <c r="I7" s="61" t="s">
        <v>10</v>
      </c>
      <c r="J7" s="61" t="s">
        <v>11</v>
      </c>
      <c r="K7" s="61" t="s">
        <v>9</v>
      </c>
      <c r="L7" s="62">
        <v>15</v>
      </c>
      <c r="M7" s="62" t="s">
        <v>581</v>
      </c>
      <c r="N7" s="145">
        <v>3</v>
      </c>
      <c r="O7" s="62">
        <v>349.83050847457628</v>
      </c>
      <c r="P7" s="62">
        <v>424.42976156276927</v>
      </c>
      <c r="Q7" s="62">
        <v>51.414352154260818</v>
      </c>
      <c r="R7" s="62">
        <v>262.37288135593218</v>
      </c>
      <c r="S7" s="62">
        <v>498.89112324044811</v>
      </c>
      <c r="T7" s="62">
        <v>49.201251494128293</v>
      </c>
      <c r="U7" s="62">
        <v>384.81355932203388</v>
      </c>
      <c r="V7" s="62">
        <v>383.47601264004595</v>
      </c>
      <c r="W7" s="65">
        <v>51.808353464019966</v>
      </c>
      <c r="X7" s="108" t="str">
        <f t="shared" si="1"/>
        <v>IL-1800</v>
      </c>
      <c r="Y7" s="105">
        <f t="shared" si="2"/>
        <v>820.70657853398279</v>
      </c>
      <c r="Z7" s="109" t="str">
        <f t="shared" si="3"/>
        <v>IL-15-1800</v>
      </c>
      <c r="AA7" s="110">
        <f>VLOOKUP(Z7,Lookup!$U$28:$V$227,2,FALSE)</f>
        <v>92.4</v>
      </c>
      <c r="AB7" s="109">
        <f t="shared" si="4"/>
        <v>1.2337662337662323</v>
      </c>
      <c r="AC7" s="109" t="str">
        <f t="shared" si="5"/>
        <v/>
      </c>
      <c r="AD7" s="149">
        <f>VLOOKUP(X7,Lookup!$N$27:$P$36,3,FALSE)</f>
        <v>129.30000000000001</v>
      </c>
      <c r="AE7" s="76">
        <f t="shared" si="6"/>
        <v>64.84924163382982</v>
      </c>
      <c r="AF7" s="59">
        <f t="shared" si="7"/>
        <v>37.532477072610398</v>
      </c>
      <c r="AG7" s="59">
        <f t="shared" si="8"/>
        <v>33.087841629801275</v>
      </c>
      <c r="AH7" s="59">
        <f t="shared" si="9"/>
        <v>37.302014494094372</v>
      </c>
      <c r="AI7" s="59">
        <f t="shared" si="10"/>
        <v>57.876508848841922</v>
      </c>
      <c r="AJ7" s="59">
        <f t="shared" si="11"/>
        <v>53.878259501923097</v>
      </c>
      <c r="AK7" s="59">
        <f t="shared" si="12"/>
        <v>58.397083022297544</v>
      </c>
      <c r="AL7" s="59">
        <f t="shared" si="13"/>
        <v>1</v>
      </c>
      <c r="AM7" s="59">
        <f t="shared" si="14"/>
        <v>1</v>
      </c>
      <c r="AN7" s="59">
        <f t="shared" si="15"/>
        <v>1</v>
      </c>
      <c r="AO7" s="59">
        <f t="shared" ref="AO7" si="51">-0.4508*AL7^3+1.2399*AL7^2+-0.4301*AL7+0.641</f>
        <v>1</v>
      </c>
      <c r="AP7" s="59">
        <f t="shared" ref="AP7" si="52">-0.4508*AM7^3+1.2399*AM7^2+-0.4301*AM7+0.641</f>
        <v>1</v>
      </c>
      <c r="AQ7" s="59">
        <f t="shared" ref="AQ7" si="53">-0.4508*AN7^3+1.2399*AN7^2+-0.4301*AN7+0.641</f>
        <v>1</v>
      </c>
      <c r="AR7" s="59">
        <f t="shared" si="17"/>
        <v>1.2337662337662323</v>
      </c>
      <c r="AS7" s="59">
        <f t="shared" si="18"/>
        <v>1.2337662337662323</v>
      </c>
      <c r="AT7" s="59">
        <f t="shared" si="19"/>
        <v>1.2337662337662323</v>
      </c>
      <c r="AU7" s="59">
        <f t="shared" si="20"/>
        <v>59.110275082608155</v>
      </c>
      <c r="AV7" s="59">
        <f t="shared" ref="AV7" si="54">AS7+AJ7</f>
        <v>55.112025735689329</v>
      </c>
      <c r="AW7" s="59">
        <f t="shared" ref="AW7" si="55">AT7+AK7</f>
        <v>59.630849256063776</v>
      </c>
      <c r="AX7" s="77">
        <f t="shared" si="22"/>
        <v>57.94525491978461</v>
      </c>
      <c r="AY7" s="147">
        <f t="shared" si="23"/>
        <v>1</v>
      </c>
      <c r="AZ7" s="59">
        <f t="shared" si="24"/>
        <v>1</v>
      </c>
      <c r="BA7" s="59">
        <f t="shared" si="25"/>
        <v>1</v>
      </c>
      <c r="BB7" s="59">
        <f t="shared" si="26"/>
        <v>1</v>
      </c>
      <c r="BC7" s="59">
        <f t="shared" ref="BC7" si="56">-0.4508*(AZ7)^3+1.2399*(AZ7)^2+-0.4301*(AZ7)+0.641</f>
        <v>1</v>
      </c>
      <c r="BD7" s="59">
        <f t="shared" ref="BD7" si="57">-0.4508*(BA7)^3+1.2399*(BA7)^2+-0.4301*(BA7)+0.641</f>
        <v>1</v>
      </c>
      <c r="BE7" s="59">
        <f t="shared" si="28"/>
        <v>1.2337662337662323</v>
      </c>
      <c r="BF7" s="59">
        <f t="shared" ref="BF7" si="58">IF($AC7="",$AB7*BC7,$AC7*BC7)</f>
        <v>1.2337662337662323</v>
      </c>
      <c r="BG7" s="59">
        <f t="shared" ref="BG7" si="59">IF($AC7="",$AB7*BD7,$AC7*BD7)</f>
        <v>1.2337662337662323</v>
      </c>
      <c r="BH7" s="59">
        <f t="shared" si="30"/>
        <v>52.648118388027051</v>
      </c>
      <c r="BI7" s="59">
        <f t="shared" si="31"/>
        <v>50.435017727894525</v>
      </c>
      <c r="BJ7" s="59">
        <f t="shared" si="32"/>
        <v>53.042119697786198</v>
      </c>
      <c r="BK7" s="59">
        <f t="shared" si="33"/>
        <v>52.036547762708793</v>
      </c>
      <c r="BL7" s="101">
        <f t="shared" si="34"/>
        <v>0.89802949067606275</v>
      </c>
      <c r="BM7" s="58">
        <f>VLOOKUP(X7,Lookup!$N$27:$P$36,2,FALSE)</f>
        <v>135.91999999999999</v>
      </c>
      <c r="BN7" s="59">
        <f t="shared" si="35"/>
        <v>58.229241633829929</v>
      </c>
      <c r="BO7" s="59">
        <f t="shared" ref="BO7" si="60">AF7</f>
        <v>37.532477072610398</v>
      </c>
      <c r="BP7" s="59">
        <f t="shared" ref="BP7" si="61">AG7</f>
        <v>33.087841629801275</v>
      </c>
      <c r="BQ7" s="59">
        <f t="shared" ref="BQ7" si="62">AH7</f>
        <v>37.302014494094372</v>
      </c>
      <c r="BR7" s="59">
        <f t="shared" si="36"/>
        <v>64.456407158160275</v>
      </c>
      <c r="BS7" s="59">
        <f t="shared" si="37"/>
        <v>60.003602506485002</v>
      </c>
      <c r="BT7" s="59">
        <f t="shared" si="38"/>
        <v>65.036164672006052</v>
      </c>
      <c r="BU7" s="59">
        <f t="shared" si="39"/>
        <v>1</v>
      </c>
      <c r="BV7" s="59">
        <f t="shared" si="40"/>
        <v>1</v>
      </c>
      <c r="BW7" s="59">
        <f t="shared" si="41"/>
        <v>1</v>
      </c>
      <c r="BX7" s="59">
        <f t="shared" ref="BX7" si="63">-0.4508*BU7^3+1.2399*BU7^2+-0.4301*BU7+0.641</f>
        <v>1</v>
      </c>
      <c r="BY7" s="59">
        <f t="shared" ref="BY7" si="64">-0.4508*BV7^3+1.2399*BV7^2+-0.4301*BV7+0.641</f>
        <v>1</v>
      </c>
      <c r="BZ7" s="59">
        <f t="shared" ref="BZ7" si="65">-0.4508*BW7^3+1.2399*BW7^2+-0.4301*BW7+0.641</f>
        <v>1</v>
      </c>
      <c r="CA7" s="59">
        <f t="shared" si="43"/>
        <v>1.2337662337662323</v>
      </c>
      <c r="CB7" s="59">
        <f t="shared" si="44"/>
        <v>1.2337662337662323</v>
      </c>
      <c r="CC7" s="59">
        <f t="shared" si="45"/>
        <v>1.2337662337662323</v>
      </c>
      <c r="CD7" s="59">
        <f t="shared" si="46"/>
        <v>65.690173391926507</v>
      </c>
      <c r="CE7" s="59">
        <f t="shared" ref="CE7" si="66">CB7+BS7</f>
        <v>61.237368740251235</v>
      </c>
      <c r="CF7" s="59">
        <f t="shared" ref="CF7" si="67">CC7+BT7</f>
        <v>66.269930905772284</v>
      </c>
      <c r="CG7" s="59">
        <f t="shared" si="48"/>
        <v>64.392717763548745</v>
      </c>
      <c r="CH7" s="59">
        <f t="shared" si="49"/>
        <v>1.1112681763621466</v>
      </c>
      <c r="CI7" s="64">
        <f t="shared" si="50"/>
        <v>21.323868568608383</v>
      </c>
    </row>
    <row r="8" spans="1:87" s="18" customFormat="1" ht="90.75" customHeight="1" thickBot="1">
      <c r="A8" s="104" t="e">
        <f>#REF!</f>
        <v>#REF!</v>
      </c>
      <c r="B8" s="38" t="e">
        <f>#REF!</f>
        <v>#REF!</v>
      </c>
      <c r="C8" s="38" t="e">
        <f>#REF!</f>
        <v>#REF!</v>
      </c>
      <c r="D8" s="38" t="s">
        <v>76</v>
      </c>
      <c r="E8" s="38" t="s">
        <v>581</v>
      </c>
      <c r="F8" s="38">
        <v>1800</v>
      </c>
      <c r="G8" s="38" t="s">
        <v>45</v>
      </c>
      <c r="H8" s="61" t="s">
        <v>11</v>
      </c>
      <c r="I8" s="61" t="s">
        <v>10</v>
      </c>
      <c r="J8" s="61" t="s">
        <v>11</v>
      </c>
      <c r="K8" s="61" t="s">
        <v>9</v>
      </c>
      <c r="L8" s="62">
        <v>100</v>
      </c>
      <c r="M8" s="62" t="s">
        <v>581</v>
      </c>
      <c r="N8" s="145">
        <v>4</v>
      </c>
      <c r="O8" s="62">
        <v>349.83050847457628</v>
      </c>
      <c r="P8" s="62">
        <v>424.42976156276927</v>
      </c>
      <c r="Q8" s="62">
        <v>51.414352154260818</v>
      </c>
      <c r="R8" s="62">
        <v>262.37288135593218</v>
      </c>
      <c r="S8" s="62">
        <v>498.89112324044811</v>
      </c>
      <c r="T8" s="62">
        <v>49.201251494128293</v>
      </c>
      <c r="U8" s="62">
        <v>384.81355932203388</v>
      </c>
      <c r="V8" s="62">
        <v>383.47601264004595</v>
      </c>
      <c r="W8" s="65">
        <v>51.808353464019966</v>
      </c>
      <c r="X8" s="108" t="str">
        <f t="shared" si="1"/>
        <v>ST-1800</v>
      </c>
      <c r="Y8" s="105">
        <f t="shared" si="2"/>
        <v>1018.338039841045</v>
      </c>
      <c r="Z8" s="109" t="str">
        <f t="shared" si="3"/>
        <v>ST-100-1800</v>
      </c>
      <c r="AA8" s="110">
        <f>VLOOKUP(Z8,Lookup!$U$28:$V$227,2,FALSE)</f>
        <v>84</v>
      </c>
      <c r="AB8" s="109">
        <f t="shared" si="4"/>
        <v>19.047619047619051</v>
      </c>
      <c r="AC8" s="109" t="str">
        <f t="shared" si="5"/>
        <v/>
      </c>
      <c r="AD8" s="149">
        <f>VLOOKUP(X8,Lookup!$N$27:$P$36,3,FALSE)</f>
        <v>138.78</v>
      </c>
      <c r="AE8" s="76">
        <f t="shared" si="6"/>
        <v>59.907100560415756</v>
      </c>
      <c r="AF8" s="59">
        <f t="shared" si="7"/>
        <v>37.532477072610398</v>
      </c>
      <c r="AG8" s="59">
        <f t="shared" si="8"/>
        <v>33.087841629801275</v>
      </c>
      <c r="AH8" s="59">
        <f t="shared" si="9"/>
        <v>37.302014494094372</v>
      </c>
      <c r="AI8" s="59">
        <f t="shared" si="10"/>
        <v>62.6511327063129</v>
      </c>
      <c r="AJ8" s="59">
        <f t="shared" si="11"/>
        <v>58.323040784235054</v>
      </c>
      <c r="AK8" s="59">
        <f t="shared" si="12"/>
        <v>63.214652556997535</v>
      </c>
      <c r="AL8" s="59">
        <f t="shared" si="13"/>
        <v>0.62651132706312895</v>
      </c>
      <c r="AM8" s="59">
        <f t="shared" si="14"/>
        <v>0.58323040784235058</v>
      </c>
      <c r="AN8" s="59">
        <f t="shared" si="15"/>
        <v>0.6321465255699753</v>
      </c>
      <c r="AO8" s="59">
        <f t="shared" ref="AO8:AO17" si="68">-0.4508*AL8^3+1.2399*AL8^2+-0.4301*AL8+0.641</f>
        <v>0.74735968412967946</v>
      </c>
      <c r="AP8" s="59">
        <f t="shared" ref="AP8:AP17" si="69">-0.4508*AM8^3+1.2399*AM8^2+-0.4301*AM8+0.641</f>
        <v>0.72247978865319618</v>
      </c>
      <c r="AQ8" s="59">
        <f t="shared" ref="AQ8:AQ17" si="70">-0.4508*AN8^3+1.2399*AN8^2+-0.4301*AN8+0.641</f>
        <v>0.75071196031135046</v>
      </c>
      <c r="AR8" s="59">
        <f t="shared" si="17"/>
        <v>14.23542255485104</v>
      </c>
      <c r="AS8" s="59">
        <f t="shared" si="18"/>
        <v>13.761519783870407</v>
      </c>
      <c r="AT8" s="59">
        <f t="shared" si="19"/>
        <v>14.299275434501917</v>
      </c>
      <c r="AU8" s="59">
        <f t="shared" si="20"/>
        <v>76.886555261163934</v>
      </c>
      <c r="AV8" s="59">
        <f t="shared" ref="AV8:AV17" si="71">AS8+AJ8</f>
        <v>72.084560568105459</v>
      </c>
      <c r="AW8" s="59">
        <f t="shared" ref="AW8:AW17" si="72">AT8+AK8</f>
        <v>77.513927991499457</v>
      </c>
      <c r="AX8" s="77">
        <f t="shared" si="22"/>
        <v>75.487465105462263</v>
      </c>
      <c r="AY8" s="147">
        <f t="shared" si="23"/>
        <v>0.51414352154260823</v>
      </c>
      <c r="AZ8" s="59">
        <f t="shared" si="24"/>
        <v>0.49201251494128295</v>
      </c>
      <c r="BA8" s="59">
        <f t="shared" si="25"/>
        <v>0.51808353464019963</v>
      </c>
      <c r="BB8" s="59">
        <f t="shared" si="26"/>
        <v>0.68635798577975704</v>
      </c>
      <c r="BC8" s="59">
        <f t="shared" ref="BC8:BC17" si="73">-0.4508*(AZ8)^3+1.2399*(AZ8)^2+-0.4301*(AZ8)+0.641</f>
        <v>0.67584349703941404</v>
      </c>
      <c r="BD8" s="59">
        <f t="shared" ref="BD8:BD17" si="74">-0.4508*(BA8)^3+1.2399*(BA8)^2+-0.4301*(BA8)+0.641</f>
        <v>0.68828667536972299</v>
      </c>
      <c r="BE8" s="59">
        <f t="shared" si="28"/>
        <v>13.073485443423946</v>
      </c>
      <c r="BF8" s="59">
        <f t="shared" ref="BF8:BF17" si="75">IF($AC8="",$AB8*BC8,$AC8*BC8)</f>
        <v>12.873209467417412</v>
      </c>
      <c r="BG8" s="59">
        <f t="shared" ref="BG8:BG17" si="76">IF($AC8="",$AB8*BD8,$AC8*BD8)</f>
        <v>13.110222387994726</v>
      </c>
      <c r="BH8" s="59">
        <f t="shared" si="30"/>
        <v>64.487837597684759</v>
      </c>
      <c r="BI8" s="59">
        <f t="shared" si="31"/>
        <v>62.074460961545704</v>
      </c>
      <c r="BJ8" s="59">
        <f t="shared" si="32"/>
        <v>64.918575852014698</v>
      </c>
      <c r="BK8" s="59">
        <f t="shared" si="33"/>
        <v>63.820575441268005</v>
      </c>
      <c r="BL8" s="101">
        <f t="shared" si="34"/>
        <v>0.84544600023467942</v>
      </c>
      <c r="BM8" s="58">
        <f>VLOOKUP(X8,Lookup!$N$27:$P$36,2,FALSE)</f>
        <v>138.78</v>
      </c>
      <c r="BN8" s="59">
        <f t="shared" si="35"/>
        <v>59.907100560415756</v>
      </c>
      <c r="BO8" s="59">
        <f t="shared" ref="BO8:BO17" si="77">AF8</f>
        <v>37.532477072610398</v>
      </c>
      <c r="BP8" s="59">
        <f t="shared" ref="BP8:BP17" si="78">AG8</f>
        <v>33.087841629801275</v>
      </c>
      <c r="BQ8" s="59">
        <f t="shared" ref="BQ8:BQ17" si="79">AH8</f>
        <v>37.302014494094372</v>
      </c>
      <c r="BR8" s="59">
        <f t="shared" si="36"/>
        <v>62.6511327063129</v>
      </c>
      <c r="BS8" s="59">
        <f t="shared" si="37"/>
        <v>58.323040784235054</v>
      </c>
      <c r="BT8" s="59">
        <f t="shared" si="38"/>
        <v>63.214652556997535</v>
      </c>
      <c r="BU8" s="59">
        <f t="shared" si="39"/>
        <v>0.62651132706312895</v>
      </c>
      <c r="BV8" s="59">
        <f t="shared" si="40"/>
        <v>0.58323040784235058</v>
      </c>
      <c r="BW8" s="59">
        <f t="shared" si="41"/>
        <v>0.6321465255699753</v>
      </c>
      <c r="BX8" s="59">
        <f t="shared" ref="BX8:BX17" si="80">-0.4508*BU8^3+1.2399*BU8^2+-0.4301*BU8+0.641</f>
        <v>0.74735968412967946</v>
      </c>
      <c r="BY8" s="59">
        <f t="shared" ref="BY8:BY17" si="81">-0.4508*BV8^3+1.2399*BV8^2+-0.4301*BV8+0.641</f>
        <v>0.72247978865319618</v>
      </c>
      <c r="BZ8" s="59">
        <f t="shared" ref="BZ8:BZ17" si="82">-0.4508*BW8^3+1.2399*BW8^2+-0.4301*BW8+0.641</f>
        <v>0.75071196031135046</v>
      </c>
      <c r="CA8" s="59">
        <f t="shared" si="43"/>
        <v>14.23542255485104</v>
      </c>
      <c r="CB8" s="59">
        <f t="shared" si="44"/>
        <v>13.761519783870407</v>
      </c>
      <c r="CC8" s="59">
        <f t="shared" si="45"/>
        <v>14.299275434501917</v>
      </c>
      <c r="CD8" s="59">
        <f t="shared" si="46"/>
        <v>76.886555261163934</v>
      </c>
      <c r="CE8" s="59">
        <f t="shared" ref="CE8:CE17" si="83">CB8+BS8</f>
        <v>72.084560568105459</v>
      </c>
      <c r="CF8" s="59">
        <f t="shared" ref="CF8:CF17" si="84">CC8+BT8</f>
        <v>77.513927991499457</v>
      </c>
      <c r="CG8" s="59">
        <f t="shared" si="48"/>
        <v>75.487465105462263</v>
      </c>
      <c r="CH8" s="59">
        <f t="shared" si="49"/>
        <v>1</v>
      </c>
      <c r="CI8" s="64">
        <f t="shared" si="50"/>
        <v>15.455399976532059</v>
      </c>
    </row>
    <row r="9" spans="1:87" s="18" customFormat="1" ht="90.75" customHeight="1" thickBot="1">
      <c r="A9" s="104" t="e">
        <f>#REF!</f>
        <v>#REF!</v>
      </c>
      <c r="B9" s="38" t="e">
        <f>#REF!</f>
        <v>#REF!</v>
      </c>
      <c r="C9" s="38" t="e">
        <f>#REF!</f>
        <v>#REF!</v>
      </c>
      <c r="D9" s="38" t="s">
        <v>75</v>
      </c>
      <c r="E9" s="38" t="s">
        <v>581</v>
      </c>
      <c r="F9" s="38">
        <v>3600</v>
      </c>
      <c r="G9" s="38" t="s">
        <v>45</v>
      </c>
      <c r="H9" s="61" t="s">
        <v>11</v>
      </c>
      <c r="I9" s="61" t="s">
        <v>10</v>
      </c>
      <c r="J9" s="61" t="s">
        <v>11</v>
      </c>
      <c r="K9" s="61" t="s">
        <v>9</v>
      </c>
      <c r="L9" s="62">
        <v>25</v>
      </c>
      <c r="M9" s="62" t="s">
        <v>581</v>
      </c>
      <c r="N9" s="145">
        <v>3</v>
      </c>
      <c r="O9" s="62">
        <v>349.83050847457628</v>
      </c>
      <c r="P9" s="62">
        <v>424.42976156276927</v>
      </c>
      <c r="Q9" s="62">
        <v>51.414352154260818</v>
      </c>
      <c r="R9" s="62">
        <v>262.37288135593218</v>
      </c>
      <c r="S9" s="62">
        <v>498.89112324044811</v>
      </c>
      <c r="T9" s="62">
        <v>49.201251494128293</v>
      </c>
      <c r="U9" s="62">
        <v>384.81355932203388</v>
      </c>
      <c r="V9" s="62">
        <v>383.47601264004595</v>
      </c>
      <c r="W9" s="65">
        <v>51.808353464019966</v>
      </c>
      <c r="X9" s="108" t="str">
        <f t="shared" si="1"/>
        <v>RSV-3600</v>
      </c>
      <c r="Y9" s="105">
        <f t="shared" si="2"/>
        <v>1641.4131570679656</v>
      </c>
      <c r="Z9" s="109" t="str">
        <f t="shared" si="3"/>
        <v>RSV-25-3600</v>
      </c>
      <c r="AA9" s="110">
        <f>VLOOKUP(Z9,Lookup!$U$28:$V$227,2,FALSE)</f>
        <v>91.7</v>
      </c>
      <c r="AB9" s="109">
        <f t="shared" si="4"/>
        <v>2.2628135223555077</v>
      </c>
      <c r="AC9" s="109" t="str">
        <f t="shared" si="5"/>
        <v/>
      </c>
      <c r="AD9" s="149">
        <f>VLOOKUP(X9,Lookup!$N$27:$P$36,3,FALSE)</f>
        <v>133.19999999999999</v>
      </c>
      <c r="AE9" s="76">
        <f t="shared" si="6"/>
        <v>71.728675997510322</v>
      </c>
      <c r="AF9" s="59">
        <f t="shared" si="7"/>
        <v>37.532477072610398</v>
      </c>
      <c r="AG9" s="59">
        <f t="shared" si="8"/>
        <v>33.087841629801275</v>
      </c>
      <c r="AH9" s="59">
        <f t="shared" si="9"/>
        <v>37.302014494094372</v>
      </c>
      <c r="AI9" s="59">
        <f t="shared" si="10"/>
        <v>52.325623679312208</v>
      </c>
      <c r="AJ9" s="59">
        <f t="shared" si="11"/>
        <v>48.710842918272647</v>
      </c>
      <c r="AK9" s="59">
        <f t="shared" si="12"/>
        <v>52.796270040663231</v>
      </c>
      <c r="AL9" s="59">
        <f t="shared" si="13"/>
        <v>1</v>
      </c>
      <c r="AM9" s="59">
        <f t="shared" si="14"/>
        <v>1</v>
      </c>
      <c r="AN9" s="59">
        <f t="shared" si="15"/>
        <v>1</v>
      </c>
      <c r="AO9" s="59">
        <f t="shared" si="68"/>
        <v>1</v>
      </c>
      <c r="AP9" s="59">
        <f t="shared" si="69"/>
        <v>1</v>
      </c>
      <c r="AQ9" s="59">
        <f t="shared" si="70"/>
        <v>1</v>
      </c>
      <c r="AR9" s="59">
        <f t="shared" si="17"/>
        <v>2.2628135223555077</v>
      </c>
      <c r="AS9" s="59">
        <f t="shared" si="18"/>
        <v>2.2628135223555077</v>
      </c>
      <c r="AT9" s="59">
        <f t="shared" si="19"/>
        <v>2.2628135223555077</v>
      </c>
      <c r="AU9" s="59">
        <f t="shared" si="20"/>
        <v>54.588437201667716</v>
      </c>
      <c r="AV9" s="59">
        <f t="shared" si="71"/>
        <v>50.973656440628154</v>
      </c>
      <c r="AW9" s="59">
        <f t="shared" si="72"/>
        <v>55.059083563018739</v>
      </c>
      <c r="AX9" s="77">
        <f t="shared" si="22"/>
        <v>53.535038362531367</v>
      </c>
      <c r="AY9" s="147">
        <f t="shared" si="23"/>
        <v>1</v>
      </c>
      <c r="AZ9" s="59">
        <f t="shared" si="24"/>
        <v>1</v>
      </c>
      <c r="BA9" s="59">
        <f t="shared" si="25"/>
        <v>1</v>
      </c>
      <c r="BB9" s="59">
        <f t="shared" si="26"/>
        <v>1</v>
      </c>
      <c r="BC9" s="59">
        <f t="shared" si="73"/>
        <v>1</v>
      </c>
      <c r="BD9" s="59">
        <f t="shared" si="74"/>
        <v>1</v>
      </c>
      <c r="BE9" s="59">
        <f t="shared" si="28"/>
        <v>2.2628135223555077</v>
      </c>
      <c r="BF9" s="59">
        <f t="shared" si="75"/>
        <v>2.2628135223555077</v>
      </c>
      <c r="BG9" s="59">
        <f t="shared" si="76"/>
        <v>2.2628135223555077</v>
      </c>
      <c r="BH9" s="59">
        <f t="shared" si="30"/>
        <v>53.677165676616326</v>
      </c>
      <c r="BI9" s="59">
        <f t="shared" si="31"/>
        <v>51.464065016483801</v>
      </c>
      <c r="BJ9" s="59">
        <f t="shared" si="32"/>
        <v>54.071166986375474</v>
      </c>
      <c r="BK9" s="59">
        <f t="shared" si="33"/>
        <v>53.065492146569213</v>
      </c>
      <c r="BL9" s="101">
        <f t="shared" si="34"/>
        <v>0.99122917942483846</v>
      </c>
      <c r="BM9" s="58">
        <f>VLOOKUP(X9,Lookup!$N$27:$P$36,2,FALSE)</f>
        <v>133.19999999999999</v>
      </c>
      <c r="BN9" s="59">
        <f t="shared" si="35"/>
        <v>71.728675997510322</v>
      </c>
      <c r="BO9" s="59">
        <f t="shared" si="77"/>
        <v>37.532477072610398</v>
      </c>
      <c r="BP9" s="59">
        <f t="shared" si="78"/>
        <v>33.087841629801275</v>
      </c>
      <c r="BQ9" s="59">
        <f t="shared" si="79"/>
        <v>37.302014494094372</v>
      </c>
      <c r="BR9" s="59">
        <f t="shared" si="36"/>
        <v>52.325623679312208</v>
      </c>
      <c r="BS9" s="59">
        <f t="shared" si="37"/>
        <v>48.710842918272647</v>
      </c>
      <c r="BT9" s="59">
        <f t="shared" si="38"/>
        <v>52.796270040663231</v>
      </c>
      <c r="BU9" s="59">
        <f t="shared" si="39"/>
        <v>1</v>
      </c>
      <c r="BV9" s="59">
        <f t="shared" si="40"/>
        <v>1</v>
      </c>
      <c r="BW9" s="59">
        <f t="shared" si="41"/>
        <v>1</v>
      </c>
      <c r="BX9" s="59">
        <f t="shared" si="80"/>
        <v>1</v>
      </c>
      <c r="BY9" s="59">
        <f t="shared" si="81"/>
        <v>1</v>
      </c>
      <c r="BZ9" s="59">
        <f t="shared" si="82"/>
        <v>1</v>
      </c>
      <c r="CA9" s="59">
        <f t="shared" si="43"/>
        <v>2.2628135223555077</v>
      </c>
      <c r="CB9" s="59">
        <f t="shared" si="44"/>
        <v>2.2628135223555077</v>
      </c>
      <c r="CC9" s="59">
        <f t="shared" si="45"/>
        <v>2.2628135223555077</v>
      </c>
      <c r="CD9" s="59">
        <f t="shared" si="46"/>
        <v>54.588437201667716</v>
      </c>
      <c r="CE9" s="59">
        <f t="shared" si="83"/>
        <v>50.973656440628154</v>
      </c>
      <c r="CF9" s="59">
        <f t="shared" si="84"/>
        <v>55.059083563018739</v>
      </c>
      <c r="CG9" s="59">
        <f t="shared" si="48"/>
        <v>53.535038362531367</v>
      </c>
      <c r="CH9" s="59">
        <f t="shared" si="49"/>
        <v>1</v>
      </c>
      <c r="CI9" s="64">
        <f t="shared" si="50"/>
        <v>0.8770820575161542</v>
      </c>
    </row>
    <row r="10" spans="1:87" s="18" customFormat="1" ht="90.75" customHeight="1" thickBot="1">
      <c r="A10" s="104" t="e">
        <f>#REF!</f>
        <v>#REF!</v>
      </c>
      <c r="B10" s="38" t="e">
        <f>#REF!</f>
        <v>#REF!</v>
      </c>
      <c r="C10" s="38" t="e">
        <f>#REF!</f>
        <v>#REF!</v>
      </c>
      <c r="D10" s="38" t="s">
        <v>74</v>
      </c>
      <c r="E10" s="38" t="s">
        <v>581</v>
      </c>
      <c r="F10" s="38">
        <v>1800</v>
      </c>
      <c r="G10" s="38" t="s">
        <v>45</v>
      </c>
      <c r="H10" s="61" t="s">
        <v>11</v>
      </c>
      <c r="I10" s="61" t="s">
        <v>10</v>
      </c>
      <c r="J10" s="61" t="s">
        <v>11</v>
      </c>
      <c r="K10" s="61" t="s">
        <v>9</v>
      </c>
      <c r="L10" s="62">
        <v>100</v>
      </c>
      <c r="M10" s="62" t="s">
        <v>581</v>
      </c>
      <c r="N10" s="145">
        <v>8</v>
      </c>
      <c r="O10" s="62">
        <v>349.83050847457628</v>
      </c>
      <c r="P10" s="62">
        <v>424.42976156276927</v>
      </c>
      <c r="Q10" s="62">
        <v>51.414352154260818</v>
      </c>
      <c r="R10" s="62">
        <v>262.37288135593218</v>
      </c>
      <c r="S10" s="62">
        <v>498.89112324044811</v>
      </c>
      <c r="T10" s="62">
        <v>49.201251494128293</v>
      </c>
      <c r="U10" s="62">
        <v>384.81355932203388</v>
      </c>
      <c r="V10" s="62">
        <v>383.47601264004595</v>
      </c>
      <c r="W10" s="65">
        <v>51.808353464019966</v>
      </c>
      <c r="X10" s="108" t="str">
        <f t="shared" si="1"/>
        <v>IL-1800</v>
      </c>
      <c r="Y10" s="105">
        <f t="shared" si="2"/>
        <v>1712.6336144376573</v>
      </c>
      <c r="Z10" s="109" t="str">
        <f t="shared" si="3"/>
        <v>IL-100-1800</v>
      </c>
      <c r="AA10" s="110">
        <f>VLOOKUP(Z10,Lookup!$U$28:$V$227,2,FALSE)</f>
        <v>95.4</v>
      </c>
      <c r="AB10" s="109">
        <f t="shared" si="4"/>
        <v>4.8218029350104814</v>
      </c>
      <c r="AC10" s="109" t="str">
        <f t="shared" si="5"/>
        <v/>
      </c>
      <c r="AD10" s="149">
        <f>VLOOKUP(X10,Lookup!$N$27:$P$36,3,FALSE)</f>
        <v>129.30000000000001</v>
      </c>
      <c r="AE10" s="76">
        <f t="shared" si="6"/>
        <v>75.930522730686675</v>
      </c>
      <c r="AF10" s="59">
        <f t="shared" si="7"/>
        <v>37.532477072610398</v>
      </c>
      <c r="AG10" s="59">
        <f t="shared" si="8"/>
        <v>33.087841629801275</v>
      </c>
      <c r="AH10" s="59">
        <f t="shared" si="9"/>
        <v>37.302014494094372</v>
      </c>
      <c r="AI10" s="59">
        <f t="shared" si="10"/>
        <v>49.430025927428474</v>
      </c>
      <c r="AJ10" s="59">
        <f t="shared" si="11"/>
        <v>46.015280069161733</v>
      </c>
      <c r="AK10" s="59">
        <f t="shared" si="12"/>
        <v>49.874627638949562</v>
      </c>
      <c r="AL10" s="59">
        <f t="shared" si="13"/>
        <v>0.49430025927428473</v>
      </c>
      <c r="AM10" s="59">
        <f t="shared" si="14"/>
        <v>0.46015280069161735</v>
      </c>
      <c r="AN10" s="59">
        <f t="shared" si="15"/>
        <v>0.49874627638949565</v>
      </c>
      <c r="AO10" s="59">
        <f t="shared" si="68"/>
        <v>0.67690482872018731</v>
      </c>
      <c r="AP10" s="59">
        <f t="shared" si="69"/>
        <v>0.66170264037272264</v>
      </c>
      <c r="AQ10" s="59">
        <f t="shared" si="70"/>
        <v>0.67898450549784972</v>
      </c>
      <c r="AR10" s="59">
        <f t="shared" si="17"/>
        <v>3.2639016898457665</v>
      </c>
      <c r="AS10" s="59">
        <f t="shared" si="18"/>
        <v>3.1905997334533791</v>
      </c>
      <c r="AT10" s="59">
        <f t="shared" si="19"/>
        <v>3.2739294814361721</v>
      </c>
      <c r="AU10" s="59">
        <f t="shared" si="20"/>
        <v>52.693927617274241</v>
      </c>
      <c r="AV10" s="59">
        <f t="shared" si="71"/>
        <v>49.205879802615115</v>
      </c>
      <c r="AW10" s="59">
        <f t="shared" si="72"/>
        <v>53.148557120385732</v>
      </c>
      <c r="AX10" s="77">
        <f t="shared" si="22"/>
        <v>51.677619901273687</v>
      </c>
      <c r="AY10" s="147">
        <f t="shared" si="23"/>
        <v>0.51414352154260823</v>
      </c>
      <c r="AZ10" s="59">
        <f t="shared" si="24"/>
        <v>0.49201251494128295</v>
      </c>
      <c r="BA10" s="59">
        <f t="shared" si="25"/>
        <v>0.51808353464019963</v>
      </c>
      <c r="BB10" s="59">
        <f t="shared" si="26"/>
        <v>0.68635798577975704</v>
      </c>
      <c r="BC10" s="59">
        <f t="shared" si="73"/>
        <v>0.67584349703941404</v>
      </c>
      <c r="BD10" s="59">
        <f t="shared" si="74"/>
        <v>0.68828667536972299</v>
      </c>
      <c r="BE10" s="59">
        <f t="shared" si="28"/>
        <v>3.3094829503007146</v>
      </c>
      <c r="BF10" s="59">
        <f t="shared" si="75"/>
        <v>3.2587841576323942</v>
      </c>
      <c r="BG10" s="59">
        <f t="shared" si="76"/>
        <v>3.3187827114263366</v>
      </c>
      <c r="BH10" s="59">
        <f t="shared" si="30"/>
        <v>54.72383510456153</v>
      </c>
      <c r="BI10" s="59">
        <f t="shared" si="31"/>
        <v>52.460035651760684</v>
      </c>
      <c r="BJ10" s="59">
        <f t="shared" si="32"/>
        <v>55.127136175446303</v>
      </c>
      <c r="BK10" s="59">
        <f t="shared" si="33"/>
        <v>54.098258610358442</v>
      </c>
      <c r="BL10" s="101">
        <f t="shared" si="34"/>
        <v>1.0468411415562329</v>
      </c>
      <c r="BM10" s="58">
        <f>VLOOKUP(X10,Lookup!$N$27:$P$36,2,FALSE)</f>
        <v>135.91999999999999</v>
      </c>
      <c r="BN10" s="59">
        <f t="shared" si="35"/>
        <v>69.310522730686785</v>
      </c>
      <c r="BO10" s="59">
        <f t="shared" si="77"/>
        <v>37.532477072610398</v>
      </c>
      <c r="BP10" s="59">
        <f t="shared" si="78"/>
        <v>33.087841629801275</v>
      </c>
      <c r="BQ10" s="59">
        <f t="shared" si="79"/>
        <v>37.302014494094372</v>
      </c>
      <c r="BR10" s="59">
        <f t="shared" si="36"/>
        <v>54.151196086699166</v>
      </c>
      <c r="BS10" s="59">
        <f t="shared" si="37"/>
        <v>50.410300364153343</v>
      </c>
      <c r="BT10" s="59">
        <f t="shared" si="38"/>
        <v>54.638262682545339</v>
      </c>
      <c r="BU10" s="59">
        <f t="shared" si="39"/>
        <v>0.5415119608669916</v>
      </c>
      <c r="BV10" s="59">
        <f t="shared" si="40"/>
        <v>0.50410300364153349</v>
      </c>
      <c r="BW10" s="59">
        <f t="shared" si="41"/>
        <v>0.54638262682545335</v>
      </c>
      <c r="BX10" s="59">
        <f t="shared" si="80"/>
        <v>0.70009533589650086</v>
      </c>
      <c r="BY10" s="59">
        <f t="shared" si="81"/>
        <v>0.68151984536572829</v>
      </c>
      <c r="BZ10" s="59">
        <f t="shared" si="82"/>
        <v>0.70262141682453683</v>
      </c>
      <c r="CA10" s="59">
        <f t="shared" si="43"/>
        <v>3.3757217454128967</v>
      </c>
      <c r="CB10" s="59">
        <f t="shared" si="44"/>
        <v>3.2861543906523583</v>
      </c>
      <c r="CC10" s="59">
        <f t="shared" si="45"/>
        <v>3.3879020098457744</v>
      </c>
      <c r="CD10" s="59">
        <f t="shared" si="46"/>
        <v>57.526917832112062</v>
      </c>
      <c r="CE10" s="59">
        <f t="shared" si="83"/>
        <v>53.6964547548057</v>
      </c>
      <c r="CF10" s="59">
        <f t="shared" si="84"/>
        <v>58.026164692391113</v>
      </c>
      <c r="CG10" s="59">
        <f t="shared" si="48"/>
        <v>56.410870775193644</v>
      </c>
      <c r="CH10" s="59">
        <f t="shared" si="49"/>
        <v>1.0915918899315116</v>
      </c>
      <c r="CI10" s="64">
        <f t="shared" si="50"/>
        <v>4.4750748375278704</v>
      </c>
    </row>
    <row r="11" spans="1:87" s="18" customFormat="1" ht="90.75" customHeight="1" thickBot="1">
      <c r="A11" s="104" t="e">
        <f>#REF!</f>
        <v>#REF!</v>
      </c>
      <c r="B11" s="38" t="e">
        <f>#REF!</f>
        <v>#REF!</v>
      </c>
      <c r="C11" s="38" t="e">
        <f>#REF!</f>
        <v>#REF!</v>
      </c>
      <c r="D11" s="38" t="s">
        <v>77</v>
      </c>
      <c r="E11" s="38" t="s">
        <v>581</v>
      </c>
      <c r="F11" s="38">
        <v>3600</v>
      </c>
      <c r="G11" s="38" t="s">
        <v>45</v>
      </c>
      <c r="H11" s="61" t="s">
        <v>11</v>
      </c>
      <c r="I11" s="61" t="s">
        <v>10</v>
      </c>
      <c r="J11" s="61" t="s">
        <v>11</v>
      </c>
      <c r="K11" s="61" t="s">
        <v>9</v>
      </c>
      <c r="L11" s="62">
        <v>75</v>
      </c>
      <c r="M11" s="62" t="s">
        <v>581</v>
      </c>
      <c r="N11" s="145">
        <v>3</v>
      </c>
      <c r="O11" s="62">
        <v>349.83050847457628</v>
      </c>
      <c r="P11" s="62">
        <v>424.42976156276927</v>
      </c>
      <c r="Q11" s="62">
        <v>51.414352154260818</v>
      </c>
      <c r="R11" s="62">
        <v>262.37288135593218</v>
      </c>
      <c r="S11" s="62">
        <v>498.89112324044811</v>
      </c>
      <c r="T11" s="62">
        <v>49.201251494128293</v>
      </c>
      <c r="U11" s="62">
        <v>384.81355932203388</v>
      </c>
      <c r="V11" s="62">
        <v>383.47601264004595</v>
      </c>
      <c r="W11" s="65">
        <v>51.808353464019966</v>
      </c>
      <c r="X11" s="108" t="str">
        <f t="shared" si="1"/>
        <v>ESCC-3600</v>
      </c>
      <c r="Y11" s="105">
        <f t="shared" si="2"/>
        <v>1641.4131570679656</v>
      </c>
      <c r="Z11" s="109" t="str">
        <f t="shared" si="3"/>
        <v>ESCC-75-3600</v>
      </c>
      <c r="AA11" s="110">
        <f>VLOOKUP(Z11,Lookup!$U$28:$V$227,2,FALSE)</f>
        <v>93.6</v>
      </c>
      <c r="AB11" s="109">
        <f t="shared" si="4"/>
        <v>5.1282051282051384</v>
      </c>
      <c r="AC11" s="109" t="str">
        <f t="shared" si="5"/>
        <v/>
      </c>
      <c r="AD11" s="149">
        <f>VLOOKUP(X11,Lookup!$N$27:$P$36,3,FALSE)</f>
        <v>130.41999999999999</v>
      </c>
      <c r="AE11" s="76">
        <f t="shared" si="6"/>
        <v>74.508675997510295</v>
      </c>
      <c r="AF11" s="59">
        <f t="shared" si="7"/>
        <v>37.532477072610398</v>
      </c>
      <c r="AG11" s="59">
        <f t="shared" si="8"/>
        <v>33.087841629801275</v>
      </c>
      <c r="AH11" s="59">
        <f t="shared" si="9"/>
        <v>37.302014494094372</v>
      </c>
      <c r="AI11" s="59">
        <f t="shared" si="10"/>
        <v>50.373297565862721</v>
      </c>
      <c r="AJ11" s="59">
        <f t="shared" si="11"/>
        <v>46.893388219207509</v>
      </c>
      <c r="AK11" s="59">
        <f t="shared" si="12"/>
        <v>50.826383597936122</v>
      </c>
      <c r="AL11" s="59">
        <f t="shared" si="13"/>
        <v>0.67164396754483624</v>
      </c>
      <c r="AM11" s="59">
        <f t="shared" si="14"/>
        <v>0.6252451762561001</v>
      </c>
      <c r="AN11" s="59">
        <f t="shared" si="15"/>
        <v>0.67768511463914827</v>
      </c>
      <c r="AO11" s="59">
        <f t="shared" si="68"/>
        <v>0.7748673353163722</v>
      </c>
      <c r="AP11" s="59">
        <f t="shared" si="69"/>
        <v>0.74660988768945047</v>
      </c>
      <c r="AQ11" s="59">
        <f t="shared" si="70"/>
        <v>0.77865727356075909</v>
      </c>
      <c r="AR11" s="59">
        <f t="shared" si="17"/>
        <v>3.9736786426480704</v>
      </c>
      <c r="AS11" s="59">
        <f t="shared" si="18"/>
        <v>3.8287686548177025</v>
      </c>
      <c r="AT11" s="59">
        <f t="shared" si="19"/>
        <v>3.993114223388516</v>
      </c>
      <c r="AU11" s="59">
        <f t="shared" si="20"/>
        <v>54.346976208510789</v>
      </c>
      <c r="AV11" s="59">
        <f t="shared" si="71"/>
        <v>50.72215687402521</v>
      </c>
      <c r="AW11" s="59">
        <f t="shared" si="72"/>
        <v>54.819497821324639</v>
      </c>
      <c r="AX11" s="77">
        <f t="shared" si="22"/>
        <v>53.290880680256748</v>
      </c>
      <c r="AY11" s="147">
        <f t="shared" si="23"/>
        <v>0.68552469539014427</v>
      </c>
      <c r="AZ11" s="59">
        <f t="shared" si="24"/>
        <v>0.6560166865883772</v>
      </c>
      <c r="BA11" s="59">
        <f t="shared" si="25"/>
        <v>0.69077804618693284</v>
      </c>
      <c r="BB11" s="59">
        <f t="shared" si="26"/>
        <v>0.78361057020997615</v>
      </c>
      <c r="BC11" s="59">
        <f t="shared" si="73"/>
        <v>0.7651772355837646</v>
      </c>
      <c r="BD11" s="59">
        <f t="shared" si="74"/>
        <v>0.78695139933400882</v>
      </c>
      <c r="BE11" s="59">
        <f t="shared" si="28"/>
        <v>4.0185157446665523</v>
      </c>
      <c r="BF11" s="59">
        <f t="shared" si="75"/>
        <v>3.9239858235064928</v>
      </c>
      <c r="BG11" s="59">
        <f t="shared" si="76"/>
        <v>4.0356482017128741</v>
      </c>
      <c r="BH11" s="59">
        <f t="shared" si="30"/>
        <v>55.43286789892737</v>
      </c>
      <c r="BI11" s="59">
        <f t="shared" si="31"/>
        <v>53.125237317634785</v>
      </c>
      <c r="BJ11" s="59">
        <f t="shared" si="32"/>
        <v>55.84400166573284</v>
      </c>
      <c r="BK11" s="59">
        <f t="shared" si="33"/>
        <v>54.795222223868919</v>
      </c>
      <c r="BL11" s="101">
        <f t="shared" si="34"/>
        <v>1.028228873766192</v>
      </c>
      <c r="BM11" s="58">
        <f>VLOOKUP(X11,Lookup!$N$27:$P$36,2,FALSE)</f>
        <v>135.94</v>
      </c>
      <c r="BN11" s="59">
        <f t="shared" si="35"/>
        <v>68.988675997510313</v>
      </c>
      <c r="BO11" s="59">
        <f t="shared" si="77"/>
        <v>37.532477072610398</v>
      </c>
      <c r="BP11" s="59">
        <f t="shared" si="78"/>
        <v>33.087841629801275</v>
      </c>
      <c r="BQ11" s="59">
        <f t="shared" si="79"/>
        <v>37.302014494094372</v>
      </c>
      <c r="BR11" s="59">
        <f t="shared" si="36"/>
        <v>54.403822844730172</v>
      </c>
      <c r="BS11" s="59">
        <f t="shared" si="37"/>
        <v>50.645475054144974</v>
      </c>
      <c r="BT11" s="59">
        <f t="shared" si="38"/>
        <v>54.893161709038459</v>
      </c>
      <c r="BU11" s="59">
        <f t="shared" si="39"/>
        <v>0.72538430459640224</v>
      </c>
      <c r="BV11" s="59">
        <f t="shared" si="40"/>
        <v>0.67527300072193297</v>
      </c>
      <c r="BW11" s="59">
        <f t="shared" si="41"/>
        <v>0.7319088227871795</v>
      </c>
      <c r="BX11" s="59">
        <f t="shared" si="80"/>
        <v>0.80936240662998293</v>
      </c>
      <c r="BY11" s="59">
        <f t="shared" si="81"/>
        <v>0.7771411597929947</v>
      </c>
      <c r="BZ11" s="59">
        <f t="shared" si="82"/>
        <v>0.81366055616564725</v>
      </c>
      <c r="CA11" s="59">
        <f t="shared" si="43"/>
        <v>4.1505764442563313</v>
      </c>
      <c r="CB11" s="59">
        <f t="shared" si="44"/>
        <v>3.9853392809897241</v>
      </c>
      <c r="CC11" s="59">
        <f t="shared" si="45"/>
        <v>4.1726182367469171</v>
      </c>
      <c r="CD11" s="59">
        <f t="shared" si="46"/>
        <v>58.554399288986502</v>
      </c>
      <c r="CE11" s="59">
        <f t="shared" si="83"/>
        <v>54.630814335134701</v>
      </c>
      <c r="CF11" s="59">
        <f t="shared" si="84"/>
        <v>59.06577994578538</v>
      </c>
      <c r="CG11" s="59">
        <f t="shared" si="48"/>
        <v>57.411256156849859</v>
      </c>
      <c r="CH11" s="59">
        <f t="shared" si="49"/>
        <v>1.0773185847934321</v>
      </c>
      <c r="CI11" s="64">
        <f t="shared" si="50"/>
        <v>4.9089711027240135</v>
      </c>
    </row>
    <row r="12" spans="1:87" s="18" customFormat="1" ht="90.75" customHeight="1" thickBot="1">
      <c r="A12" s="104" t="e">
        <f>#REF!</f>
        <v>#REF!</v>
      </c>
      <c r="B12" s="38" t="e">
        <f>#REF!</f>
        <v>#REF!</v>
      </c>
      <c r="C12" s="38" t="e">
        <f>#REF!</f>
        <v>#REF!</v>
      </c>
      <c r="D12" s="38" t="s">
        <v>74</v>
      </c>
      <c r="E12" s="38" t="s">
        <v>581</v>
      </c>
      <c r="F12" s="38">
        <v>1800</v>
      </c>
      <c r="G12" s="38" t="s">
        <v>45</v>
      </c>
      <c r="H12" s="61" t="s">
        <v>11</v>
      </c>
      <c r="I12" s="61" t="s">
        <v>10</v>
      </c>
      <c r="J12" s="61" t="s">
        <v>11</v>
      </c>
      <c r="K12" s="61" t="s">
        <v>9</v>
      </c>
      <c r="L12" s="62">
        <v>100</v>
      </c>
      <c r="M12" s="62" t="s">
        <v>581</v>
      </c>
      <c r="N12" s="145">
        <v>3</v>
      </c>
      <c r="O12" s="62">
        <v>349.83050847457628</v>
      </c>
      <c r="P12" s="62">
        <v>424.42976156276927</v>
      </c>
      <c r="Q12" s="62">
        <v>51.414352154260818</v>
      </c>
      <c r="R12" s="62">
        <v>262.37288135593218</v>
      </c>
      <c r="S12" s="62">
        <v>498.89112324044811</v>
      </c>
      <c r="T12" s="62">
        <v>49.201251494128293</v>
      </c>
      <c r="U12" s="62">
        <v>384.81355932203388</v>
      </c>
      <c r="V12" s="62">
        <v>383.47601264004595</v>
      </c>
      <c r="W12" s="65">
        <v>51.808353464019966</v>
      </c>
      <c r="X12" s="108" t="str">
        <f t="shared" si="1"/>
        <v>IL-1800</v>
      </c>
      <c r="Y12" s="105">
        <f t="shared" si="2"/>
        <v>820.70657853398279</v>
      </c>
      <c r="Z12" s="109" t="str">
        <f t="shared" si="3"/>
        <v>IL-100-1800</v>
      </c>
      <c r="AA12" s="110">
        <f>VLOOKUP(Z12,Lookup!$U$28:$V$227,2,FALSE)</f>
        <v>95.4</v>
      </c>
      <c r="AB12" s="109">
        <f t="shared" si="4"/>
        <v>4.8218029350104814</v>
      </c>
      <c r="AC12" s="109" t="str">
        <f t="shared" si="5"/>
        <v/>
      </c>
      <c r="AD12" s="149">
        <f>VLOOKUP(X12,Lookup!$N$27:$P$36,3,FALSE)</f>
        <v>129.30000000000001</v>
      </c>
      <c r="AE12" s="76">
        <f t="shared" si="6"/>
        <v>64.84924163382982</v>
      </c>
      <c r="AF12" s="59">
        <f t="shared" si="7"/>
        <v>37.532477072610398</v>
      </c>
      <c r="AG12" s="59">
        <f t="shared" si="8"/>
        <v>33.087841629801275</v>
      </c>
      <c r="AH12" s="59">
        <f t="shared" si="9"/>
        <v>37.302014494094372</v>
      </c>
      <c r="AI12" s="59">
        <f t="shared" si="10"/>
        <v>57.876508848841922</v>
      </c>
      <c r="AJ12" s="59">
        <f t="shared" si="11"/>
        <v>53.878259501923097</v>
      </c>
      <c r="AK12" s="59">
        <f t="shared" si="12"/>
        <v>58.397083022297544</v>
      </c>
      <c r="AL12" s="59">
        <f t="shared" si="13"/>
        <v>0.57876508848841923</v>
      </c>
      <c r="AM12" s="59">
        <f t="shared" si="14"/>
        <v>0.53878259501923098</v>
      </c>
      <c r="AN12" s="59">
        <f t="shared" si="15"/>
        <v>0.58397083022297547</v>
      </c>
      <c r="AO12" s="59">
        <f t="shared" si="68"/>
        <v>0.72000536760623812</v>
      </c>
      <c r="AP12" s="59">
        <f t="shared" si="69"/>
        <v>0.69869030912981478</v>
      </c>
      <c r="AQ12" s="59">
        <f t="shared" si="70"/>
        <v>0.72289183316501138</v>
      </c>
      <c r="AR12" s="59">
        <f t="shared" si="17"/>
        <v>3.4717239947470597</v>
      </c>
      <c r="AS12" s="59">
        <f t="shared" si="18"/>
        <v>3.3689469832255217</v>
      </c>
      <c r="AT12" s="59">
        <f t="shared" si="19"/>
        <v>3.4856419628501589</v>
      </c>
      <c r="AU12" s="59">
        <f t="shared" si="20"/>
        <v>61.348232843588981</v>
      </c>
      <c r="AV12" s="59">
        <f t="shared" si="71"/>
        <v>57.247206485148617</v>
      </c>
      <c r="AW12" s="59">
        <f t="shared" si="72"/>
        <v>61.882724985147703</v>
      </c>
      <c r="AX12" s="77">
        <f t="shared" si="22"/>
        <v>60.15337216581797</v>
      </c>
      <c r="AY12" s="147">
        <f t="shared" si="23"/>
        <v>0.51414352154260823</v>
      </c>
      <c r="AZ12" s="59">
        <f t="shared" si="24"/>
        <v>0.49201251494128295</v>
      </c>
      <c r="BA12" s="59">
        <f t="shared" si="25"/>
        <v>0.51808353464019963</v>
      </c>
      <c r="BB12" s="59">
        <f t="shared" si="26"/>
        <v>0.68635798577975704</v>
      </c>
      <c r="BC12" s="59">
        <f t="shared" si="73"/>
        <v>0.67584349703941404</v>
      </c>
      <c r="BD12" s="59">
        <f t="shared" si="74"/>
        <v>0.68828667536972299</v>
      </c>
      <c r="BE12" s="59">
        <f t="shared" si="28"/>
        <v>3.3094829503007146</v>
      </c>
      <c r="BF12" s="59">
        <f t="shared" si="75"/>
        <v>3.2587841576323942</v>
      </c>
      <c r="BG12" s="59">
        <f t="shared" si="76"/>
        <v>3.3187827114263366</v>
      </c>
      <c r="BH12" s="59">
        <f t="shared" si="30"/>
        <v>54.72383510456153</v>
      </c>
      <c r="BI12" s="59">
        <f t="shared" si="31"/>
        <v>52.460035651760684</v>
      </c>
      <c r="BJ12" s="59">
        <f t="shared" si="32"/>
        <v>55.127136175446303</v>
      </c>
      <c r="BK12" s="59">
        <f t="shared" si="33"/>
        <v>54.098258610358442</v>
      </c>
      <c r="BL12" s="101">
        <f t="shared" si="34"/>
        <v>0.89933875130444751</v>
      </c>
      <c r="BM12" s="58">
        <f>VLOOKUP(X12,Lookup!$N$27:$P$36,2,FALSE)</f>
        <v>135.91999999999999</v>
      </c>
      <c r="BN12" s="59">
        <f t="shared" si="35"/>
        <v>58.229241633829929</v>
      </c>
      <c r="BO12" s="59">
        <f t="shared" si="77"/>
        <v>37.532477072610398</v>
      </c>
      <c r="BP12" s="59">
        <f t="shared" si="78"/>
        <v>33.087841629801275</v>
      </c>
      <c r="BQ12" s="59">
        <f t="shared" si="79"/>
        <v>37.302014494094372</v>
      </c>
      <c r="BR12" s="59">
        <f t="shared" si="36"/>
        <v>64.456407158160275</v>
      </c>
      <c r="BS12" s="59">
        <f t="shared" si="37"/>
        <v>60.003602506485002</v>
      </c>
      <c r="BT12" s="59">
        <f t="shared" si="38"/>
        <v>65.036164672006052</v>
      </c>
      <c r="BU12" s="59">
        <f t="shared" si="39"/>
        <v>0.64456407158160278</v>
      </c>
      <c r="BV12" s="59">
        <f t="shared" si="40"/>
        <v>0.60003602506484999</v>
      </c>
      <c r="BW12" s="59">
        <f t="shared" si="41"/>
        <v>0.65036164672006047</v>
      </c>
      <c r="BX12" s="59">
        <f t="shared" si="80"/>
        <v>0.75818454756296605</v>
      </c>
      <c r="BY12" s="59">
        <f t="shared" si="81"/>
        <v>0.73195176784196048</v>
      </c>
      <c r="BZ12" s="59">
        <f t="shared" si="82"/>
        <v>0.76171258945898301</v>
      </c>
      <c r="CA12" s="59">
        <f t="shared" si="43"/>
        <v>3.6558164767187038</v>
      </c>
      <c r="CB12" s="59">
        <f t="shared" si="44"/>
        <v>3.5293271824664756</v>
      </c>
      <c r="CC12" s="59">
        <f t="shared" si="45"/>
        <v>3.6728279994877582</v>
      </c>
      <c r="CD12" s="59">
        <f t="shared" si="46"/>
        <v>68.112223634878973</v>
      </c>
      <c r="CE12" s="59">
        <f t="shared" si="83"/>
        <v>63.532929688951477</v>
      </c>
      <c r="CF12" s="59">
        <f t="shared" si="84"/>
        <v>68.708992671493803</v>
      </c>
      <c r="CG12" s="59">
        <f t="shared" si="48"/>
        <v>66.778036860241571</v>
      </c>
      <c r="CH12" s="59">
        <f t="shared" si="49"/>
        <v>1.1101295647426406</v>
      </c>
      <c r="CI12" s="64">
        <f t="shared" si="50"/>
        <v>21.079081343819304</v>
      </c>
    </row>
    <row r="13" spans="1:87" s="18" customFormat="1" ht="90.75" customHeight="1" thickBot="1">
      <c r="A13" s="104" t="e">
        <f>#REF!</f>
        <v>#REF!</v>
      </c>
      <c r="B13" s="38" t="e">
        <f>#REF!</f>
        <v>#REF!</v>
      </c>
      <c r="C13" s="38" t="e">
        <f>#REF!</f>
        <v>#REF!</v>
      </c>
      <c r="D13" s="38" t="s">
        <v>74</v>
      </c>
      <c r="E13" s="38" t="s">
        <v>581</v>
      </c>
      <c r="F13" s="38">
        <v>1800</v>
      </c>
      <c r="G13" s="38" t="s">
        <v>45</v>
      </c>
      <c r="H13" s="61" t="s">
        <v>11</v>
      </c>
      <c r="I13" s="61" t="s">
        <v>10</v>
      </c>
      <c r="J13" s="61" t="s">
        <v>11</v>
      </c>
      <c r="K13" s="61" t="s">
        <v>9</v>
      </c>
      <c r="L13" s="62">
        <v>100</v>
      </c>
      <c r="M13" s="62" t="s">
        <v>581</v>
      </c>
      <c r="N13" s="145">
        <v>3</v>
      </c>
      <c r="O13" s="62">
        <v>349.83050847457628</v>
      </c>
      <c r="P13" s="62">
        <v>424.42976156276927</v>
      </c>
      <c r="Q13" s="62">
        <v>51.414352154260818</v>
      </c>
      <c r="R13" s="62">
        <v>262.37288135593218</v>
      </c>
      <c r="S13" s="62">
        <v>498.89112324044811</v>
      </c>
      <c r="T13" s="62">
        <v>49.201251494128293</v>
      </c>
      <c r="U13" s="62">
        <v>384.81355932203388</v>
      </c>
      <c r="V13" s="62">
        <v>383.47601264004595</v>
      </c>
      <c r="W13" s="65">
        <v>51.808353464019966</v>
      </c>
      <c r="X13" s="108" t="str">
        <f t="shared" si="1"/>
        <v>IL-1800</v>
      </c>
      <c r="Y13" s="105">
        <f t="shared" si="2"/>
        <v>820.70657853398279</v>
      </c>
      <c r="Z13" s="109" t="str">
        <f t="shared" si="3"/>
        <v>IL-100-1800</v>
      </c>
      <c r="AA13" s="110">
        <f>VLOOKUP(Z13,Lookup!$U$28:$V$227,2,FALSE)</f>
        <v>95.4</v>
      </c>
      <c r="AB13" s="109">
        <f t="shared" si="4"/>
        <v>4.8218029350104814</v>
      </c>
      <c r="AC13" s="109" t="str">
        <f t="shared" si="5"/>
        <v/>
      </c>
      <c r="AD13" s="149">
        <f>VLOOKUP(X13,Lookup!$N$27:$P$36,3,FALSE)</f>
        <v>129.30000000000001</v>
      </c>
      <c r="AE13" s="76">
        <f t="shared" si="6"/>
        <v>64.84924163382982</v>
      </c>
      <c r="AF13" s="59">
        <f t="shared" si="7"/>
        <v>37.532477072610398</v>
      </c>
      <c r="AG13" s="59">
        <f t="shared" si="8"/>
        <v>33.087841629801275</v>
      </c>
      <c r="AH13" s="59">
        <f t="shared" si="9"/>
        <v>37.302014494094372</v>
      </c>
      <c r="AI13" s="59">
        <f t="shared" si="10"/>
        <v>57.876508848841922</v>
      </c>
      <c r="AJ13" s="59">
        <f t="shared" si="11"/>
        <v>53.878259501923097</v>
      </c>
      <c r="AK13" s="59">
        <f t="shared" si="12"/>
        <v>58.397083022297544</v>
      </c>
      <c r="AL13" s="59">
        <f t="shared" si="13"/>
        <v>0.57876508848841923</v>
      </c>
      <c r="AM13" s="59">
        <f t="shared" si="14"/>
        <v>0.53878259501923098</v>
      </c>
      <c r="AN13" s="59">
        <f t="shared" si="15"/>
        <v>0.58397083022297547</v>
      </c>
      <c r="AO13" s="59">
        <f t="shared" si="68"/>
        <v>0.72000536760623812</v>
      </c>
      <c r="AP13" s="59">
        <f t="shared" si="69"/>
        <v>0.69869030912981478</v>
      </c>
      <c r="AQ13" s="59">
        <f t="shared" si="70"/>
        <v>0.72289183316501138</v>
      </c>
      <c r="AR13" s="59">
        <f t="shared" si="17"/>
        <v>3.4717239947470597</v>
      </c>
      <c r="AS13" s="59">
        <f t="shared" si="18"/>
        <v>3.3689469832255217</v>
      </c>
      <c r="AT13" s="59">
        <f t="shared" si="19"/>
        <v>3.4856419628501589</v>
      </c>
      <c r="AU13" s="59">
        <f t="shared" si="20"/>
        <v>61.348232843588981</v>
      </c>
      <c r="AV13" s="59">
        <f t="shared" si="71"/>
        <v>57.247206485148617</v>
      </c>
      <c r="AW13" s="59">
        <f t="shared" si="72"/>
        <v>61.882724985147703</v>
      </c>
      <c r="AX13" s="77">
        <f t="shared" si="22"/>
        <v>60.15337216581797</v>
      </c>
      <c r="AY13" s="147">
        <f t="shared" si="23"/>
        <v>0.51414352154260823</v>
      </c>
      <c r="AZ13" s="59">
        <f t="shared" si="24"/>
        <v>0.49201251494128295</v>
      </c>
      <c r="BA13" s="59">
        <f t="shared" si="25"/>
        <v>0.51808353464019963</v>
      </c>
      <c r="BB13" s="59">
        <f t="shared" si="26"/>
        <v>0.68635798577975704</v>
      </c>
      <c r="BC13" s="59">
        <f t="shared" si="73"/>
        <v>0.67584349703941404</v>
      </c>
      <c r="BD13" s="59">
        <f t="shared" si="74"/>
        <v>0.68828667536972299</v>
      </c>
      <c r="BE13" s="59">
        <f t="shared" si="28"/>
        <v>3.3094829503007146</v>
      </c>
      <c r="BF13" s="59">
        <f t="shared" si="75"/>
        <v>3.2587841576323942</v>
      </c>
      <c r="BG13" s="59">
        <f t="shared" si="76"/>
        <v>3.3187827114263366</v>
      </c>
      <c r="BH13" s="59">
        <f t="shared" si="30"/>
        <v>54.72383510456153</v>
      </c>
      <c r="BI13" s="59">
        <f t="shared" si="31"/>
        <v>52.460035651760684</v>
      </c>
      <c r="BJ13" s="59">
        <f t="shared" si="32"/>
        <v>55.127136175446303</v>
      </c>
      <c r="BK13" s="59">
        <f t="shared" si="33"/>
        <v>54.098258610358442</v>
      </c>
      <c r="BL13" s="101">
        <f t="shared" si="34"/>
        <v>0.89933875130444751</v>
      </c>
      <c r="BM13" s="58">
        <f>VLOOKUP(X13,Lookup!$N$27:$P$36,2,FALSE)</f>
        <v>135.91999999999999</v>
      </c>
      <c r="BN13" s="59">
        <f t="shared" si="35"/>
        <v>58.229241633829929</v>
      </c>
      <c r="BO13" s="59">
        <f t="shared" si="77"/>
        <v>37.532477072610398</v>
      </c>
      <c r="BP13" s="59">
        <f t="shared" si="78"/>
        <v>33.087841629801275</v>
      </c>
      <c r="BQ13" s="59">
        <f t="shared" si="79"/>
        <v>37.302014494094372</v>
      </c>
      <c r="BR13" s="59">
        <f t="shared" si="36"/>
        <v>64.456407158160275</v>
      </c>
      <c r="BS13" s="59">
        <f t="shared" si="37"/>
        <v>60.003602506485002</v>
      </c>
      <c r="BT13" s="59">
        <f t="shared" si="38"/>
        <v>65.036164672006052</v>
      </c>
      <c r="BU13" s="59">
        <f t="shared" si="39"/>
        <v>0.64456407158160278</v>
      </c>
      <c r="BV13" s="59">
        <f t="shared" si="40"/>
        <v>0.60003602506484999</v>
      </c>
      <c r="BW13" s="59">
        <f t="shared" si="41"/>
        <v>0.65036164672006047</v>
      </c>
      <c r="BX13" s="59">
        <f t="shared" si="80"/>
        <v>0.75818454756296605</v>
      </c>
      <c r="BY13" s="59">
        <f t="shared" si="81"/>
        <v>0.73195176784196048</v>
      </c>
      <c r="BZ13" s="59">
        <f t="shared" si="82"/>
        <v>0.76171258945898301</v>
      </c>
      <c r="CA13" s="59">
        <f t="shared" si="43"/>
        <v>3.6558164767187038</v>
      </c>
      <c r="CB13" s="59">
        <f t="shared" si="44"/>
        <v>3.5293271824664756</v>
      </c>
      <c r="CC13" s="59">
        <f t="shared" si="45"/>
        <v>3.6728279994877582</v>
      </c>
      <c r="CD13" s="59">
        <f t="shared" si="46"/>
        <v>68.112223634878973</v>
      </c>
      <c r="CE13" s="59">
        <f t="shared" si="83"/>
        <v>63.532929688951477</v>
      </c>
      <c r="CF13" s="59">
        <f t="shared" si="84"/>
        <v>68.708992671493803</v>
      </c>
      <c r="CG13" s="59">
        <f t="shared" si="48"/>
        <v>66.778036860241571</v>
      </c>
      <c r="CH13" s="59">
        <f t="shared" si="49"/>
        <v>1.1101295647426406</v>
      </c>
      <c r="CI13" s="64">
        <f t="shared" si="50"/>
        <v>21.079081343819304</v>
      </c>
    </row>
    <row r="14" spans="1:87" s="18" customFormat="1" ht="90.75" customHeight="1" thickBot="1">
      <c r="A14" s="104" t="e">
        <f>#REF!</f>
        <v>#REF!</v>
      </c>
      <c r="B14" s="38" t="e">
        <f>#REF!</f>
        <v>#REF!</v>
      </c>
      <c r="C14" s="38" t="e">
        <f>#REF!</f>
        <v>#REF!</v>
      </c>
      <c r="D14" s="38" t="s">
        <v>76</v>
      </c>
      <c r="E14" s="38">
        <v>4</v>
      </c>
      <c r="F14" s="38">
        <v>1800</v>
      </c>
      <c r="G14" s="38" t="s">
        <v>45</v>
      </c>
      <c r="H14" s="61" t="s">
        <v>11</v>
      </c>
      <c r="I14" s="61" t="s">
        <v>10</v>
      </c>
      <c r="J14" s="61" t="s">
        <v>11</v>
      </c>
      <c r="K14" s="61" t="s">
        <v>9</v>
      </c>
      <c r="L14" s="62">
        <v>100</v>
      </c>
      <c r="M14" s="62" t="s">
        <v>581</v>
      </c>
      <c r="N14" s="145">
        <v>3</v>
      </c>
      <c r="O14" s="62">
        <v>349.83050847457628</v>
      </c>
      <c r="P14" s="62">
        <v>424.42976156276927</v>
      </c>
      <c r="Q14" s="62">
        <v>51.414352154260818</v>
      </c>
      <c r="R14" s="62">
        <v>262.37288135593218</v>
      </c>
      <c r="S14" s="62">
        <v>498.89112324044811</v>
      </c>
      <c r="T14" s="62">
        <v>49.201251494128293</v>
      </c>
      <c r="U14" s="62">
        <v>384.81355932203388</v>
      </c>
      <c r="V14" s="62">
        <v>383.47601264004595</v>
      </c>
      <c r="W14" s="65">
        <v>51.808353464019966</v>
      </c>
      <c r="X14" s="108" t="str">
        <f t="shared" si="1"/>
        <v>ST-1800</v>
      </c>
      <c r="Y14" s="105">
        <f t="shared" si="2"/>
        <v>820.70657853398279</v>
      </c>
      <c r="Z14" s="109" t="str">
        <f t="shared" si="3"/>
        <v>ST-100-1800</v>
      </c>
      <c r="AA14" s="110">
        <f>VLOOKUP(Z14,Lookup!$U$28:$V$227,2,FALSE)</f>
        <v>84</v>
      </c>
      <c r="AB14" s="109">
        <f t="shared" si="4"/>
        <v>19.047619047619051</v>
      </c>
      <c r="AC14" s="109" t="str">
        <f t="shared" si="5"/>
        <v/>
      </c>
      <c r="AD14" s="149">
        <f>VLOOKUP(X14,Lookup!$N$27:$P$36,3,FALSE)</f>
        <v>138.78</v>
      </c>
      <c r="AE14" s="76">
        <f t="shared" si="6"/>
        <v>55.369241633829915</v>
      </c>
      <c r="AF14" s="59">
        <f t="shared" si="7"/>
        <v>37.532477072610398</v>
      </c>
      <c r="AG14" s="59">
        <f t="shared" si="8"/>
        <v>33.087841629801275</v>
      </c>
      <c r="AH14" s="59">
        <f t="shared" si="9"/>
        <v>37.302014494094372</v>
      </c>
      <c r="AI14" s="59">
        <f t="shared" si="10"/>
        <v>67.785788580637742</v>
      </c>
      <c r="AJ14" s="59">
        <f t="shared" si="11"/>
        <v>63.102982200060161</v>
      </c>
      <c r="AK14" s="59">
        <f t="shared" si="12"/>
        <v>68.395492440878598</v>
      </c>
      <c r="AL14" s="59">
        <f t="shared" si="13"/>
        <v>0.6778578858063774</v>
      </c>
      <c r="AM14" s="59">
        <f t="shared" si="14"/>
        <v>0.63102982200060165</v>
      </c>
      <c r="AN14" s="59">
        <f t="shared" si="15"/>
        <v>0.68395492440878602</v>
      </c>
      <c r="AO14" s="59">
        <f t="shared" si="68"/>
        <v>0.77876601229284792</v>
      </c>
      <c r="AP14" s="59">
        <f t="shared" si="69"/>
        <v>0.75004569592702719</v>
      </c>
      <c r="AQ14" s="59">
        <f t="shared" si="70"/>
        <v>0.78261561859696738</v>
      </c>
      <c r="AR14" s="59">
        <f t="shared" si="17"/>
        <v>14.833638329387583</v>
      </c>
      <c r="AS14" s="59">
        <f t="shared" si="18"/>
        <v>14.28658468432433</v>
      </c>
      <c r="AT14" s="59">
        <f t="shared" si="19"/>
        <v>14.906964163751763</v>
      </c>
      <c r="AU14" s="59">
        <f t="shared" si="20"/>
        <v>82.619426910025325</v>
      </c>
      <c r="AV14" s="59">
        <f t="shared" si="71"/>
        <v>77.389566884384493</v>
      </c>
      <c r="AW14" s="59">
        <f t="shared" si="72"/>
        <v>83.302456604630365</v>
      </c>
      <c r="AX14" s="77">
        <f t="shared" si="22"/>
        <v>81.095706418000091</v>
      </c>
      <c r="AY14" s="147">
        <f t="shared" si="23"/>
        <v>0.51414352154260823</v>
      </c>
      <c r="AZ14" s="59">
        <f t="shared" si="24"/>
        <v>0.49201251494128295</v>
      </c>
      <c r="BA14" s="59">
        <f t="shared" si="25"/>
        <v>0.51808353464019963</v>
      </c>
      <c r="BB14" s="59">
        <f t="shared" si="26"/>
        <v>0.68635798577975704</v>
      </c>
      <c r="BC14" s="59">
        <f t="shared" si="73"/>
        <v>0.67584349703941404</v>
      </c>
      <c r="BD14" s="59">
        <f t="shared" si="74"/>
        <v>0.68828667536972299</v>
      </c>
      <c r="BE14" s="59">
        <f t="shared" si="28"/>
        <v>13.073485443423946</v>
      </c>
      <c r="BF14" s="59">
        <f t="shared" si="75"/>
        <v>12.873209467417412</v>
      </c>
      <c r="BG14" s="59">
        <f t="shared" si="76"/>
        <v>13.110222387994726</v>
      </c>
      <c r="BH14" s="59">
        <f t="shared" si="30"/>
        <v>64.487837597684759</v>
      </c>
      <c r="BI14" s="59">
        <f t="shared" si="31"/>
        <v>62.074460961545704</v>
      </c>
      <c r="BJ14" s="59">
        <f t="shared" si="32"/>
        <v>64.918575852014698</v>
      </c>
      <c r="BK14" s="59">
        <f t="shared" si="33"/>
        <v>63.820575441268005</v>
      </c>
      <c r="BL14" s="101">
        <f t="shared" si="34"/>
        <v>0.78697847592955084</v>
      </c>
      <c r="BM14" s="58">
        <f>VLOOKUP(X14,Lookup!$N$27:$P$36,2,FALSE)</f>
        <v>138.78</v>
      </c>
      <c r="BN14" s="59">
        <f t="shared" si="35"/>
        <v>55.369241633829915</v>
      </c>
      <c r="BO14" s="59">
        <f t="shared" si="77"/>
        <v>37.532477072610398</v>
      </c>
      <c r="BP14" s="59">
        <f t="shared" si="78"/>
        <v>33.087841629801275</v>
      </c>
      <c r="BQ14" s="59">
        <f t="shared" si="79"/>
        <v>37.302014494094372</v>
      </c>
      <c r="BR14" s="59">
        <f t="shared" si="36"/>
        <v>67.785788580637742</v>
      </c>
      <c r="BS14" s="59">
        <f t="shared" si="37"/>
        <v>63.102982200060161</v>
      </c>
      <c r="BT14" s="59">
        <f t="shared" si="38"/>
        <v>68.395492440878598</v>
      </c>
      <c r="BU14" s="59">
        <f t="shared" si="39"/>
        <v>0.6778578858063774</v>
      </c>
      <c r="BV14" s="59">
        <f t="shared" si="40"/>
        <v>0.63102982200060165</v>
      </c>
      <c r="BW14" s="59">
        <f t="shared" si="41"/>
        <v>0.68395492440878602</v>
      </c>
      <c r="BX14" s="59">
        <f t="shared" si="80"/>
        <v>0.77876601229284792</v>
      </c>
      <c r="BY14" s="59">
        <f t="shared" si="81"/>
        <v>0.75004569592702719</v>
      </c>
      <c r="BZ14" s="59">
        <f t="shared" si="82"/>
        <v>0.78261561859696738</v>
      </c>
      <c r="CA14" s="59">
        <f t="shared" si="43"/>
        <v>14.833638329387583</v>
      </c>
      <c r="CB14" s="59">
        <f t="shared" si="44"/>
        <v>14.28658468432433</v>
      </c>
      <c r="CC14" s="59">
        <f t="shared" si="45"/>
        <v>14.906964163751763</v>
      </c>
      <c r="CD14" s="59">
        <f t="shared" si="46"/>
        <v>82.619426910025325</v>
      </c>
      <c r="CE14" s="59">
        <f t="shared" si="83"/>
        <v>77.389566884384493</v>
      </c>
      <c r="CF14" s="59">
        <f t="shared" si="84"/>
        <v>83.302456604630365</v>
      </c>
      <c r="CG14" s="59">
        <f t="shared" si="48"/>
        <v>81.095706418000091</v>
      </c>
      <c r="CH14" s="59">
        <f t="shared" si="49"/>
        <v>1</v>
      </c>
      <c r="CI14" s="64">
        <f t="shared" si="50"/>
        <v>21.302152407044915</v>
      </c>
    </row>
    <row r="15" spans="1:87" s="18" customFormat="1" ht="90.75" customHeight="1" thickBot="1">
      <c r="A15" s="104" t="e">
        <f>#REF!</f>
        <v>#REF!</v>
      </c>
      <c r="B15" s="38" t="e">
        <f>#REF!</f>
        <v>#REF!</v>
      </c>
      <c r="C15" s="38" t="e">
        <f>#REF!</f>
        <v>#REF!</v>
      </c>
      <c r="D15" s="38" t="s">
        <v>74</v>
      </c>
      <c r="E15" s="38" t="s">
        <v>581</v>
      </c>
      <c r="F15" s="38">
        <v>1800</v>
      </c>
      <c r="G15" s="38" t="s">
        <v>45</v>
      </c>
      <c r="H15" s="61" t="s">
        <v>11</v>
      </c>
      <c r="I15" s="61" t="s">
        <v>10</v>
      </c>
      <c r="J15" s="61" t="s">
        <v>11</v>
      </c>
      <c r="K15" s="61" t="s">
        <v>9</v>
      </c>
      <c r="L15" s="62">
        <v>200</v>
      </c>
      <c r="M15" s="62" t="s">
        <v>581</v>
      </c>
      <c r="N15" s="145">
        <v>3</v>
      </c>
      <c r="O15" s="62">
        <v>349.83050847457628</v>
      </c>
      <c r="P15" s="62">
        <v>424.42976156276927</v>
      </c>
      <c r="Q15" s="62">
        <v>51.414352154260818</v>
      </c>
      <c r="R15" s="62">
        <v>262.37288135593218</v>
      </c>
      <c r="S15" s="62">
        <v>498.89112324044811</v>
      </c>
      <c r="T15" s="62">
        <v>49.201251494128293</v>
      </c>
      <c r="U15" s="62">
        <v>384.81355932203388</v>
      </c>
      <c r="V15" s="62">
        <v>383.47601264004595</v>
      </c>
      <c r="W15" s="65">
        <v>51.808353464019966</v>
      </c>
      <c r="X15" s="108" t="str">
        <f t="shared" si="1"/>
        <v>IL-1800</v>
      </c>
      <c r="Y15" s="105">
        <f t="shared" si="2"/>
        <v>820.70657853398279</v>
      </c>
      <c r="Z15" s="109" t="str">
        <f t="shared" si="3"/>
        <v>IL-200-1800</v>
      </c>
      <c r="AA15" s="110">
        <f>VLOOKUP(Z15,Lookup!$U$28:$V$227,2,FALSE)</f>
        <v>95.8</v>
      </c>
      <c r="AB15" s="109">
        <f t="shared" si="4"/>
        <v>8.768267223382054</v>
      </c>
      <c r="AC15" s="109" t="str">
        <f t="shared" si="5"/>
        <v/>
      </c>
      <c r="AD15" s="149">
        <f>VLOOKUP(X15,Lookup!$N$27:$P$36,3,FALSE)</f>
        <v>129.30000000000001</v>
      </c>
      <c r="AE15" s="76">
        <f t="shared" si="6"/>
        <v>64.84924163382982</v>
      </c>
      <c r="AF15" s="59">
        <f t="shared" si="7"/>
        <v>37.532477072610398</v>
      </c>
      <c r="AG15" s="59">
        <f t="shared" si="8"/>
        <v>33.087841629801275</v>
      </c>
      <c r="AH15" s="59">
        <f t="shared" si="9"/>
        <v>37.302014494094372</v>
      </c>
      <c r="AI15" s="59">
        <f t="shared" si="10"/>
        <v>57.876508848841922</v>
      </c>
      <c r="AJ15" s="59">
        <f t="shared" si="11"/>
        <v>53.878259501923097</v>
      </c>
      <c r="AK15" s="59">
        <f t="shared" si="12"/>
        <v>58.397083022297544</v>
      </c>
      <c r="AL15" s="59">
        <f t="shared" si="13"/>
        <v>0.28938254424420962</v>
      </c>
      <c r="AM15" s="59">
        <f t="shared" si="14"/>
        <v>0.26939129750961549</v>
      </c>
      <c r="AN15" s="59">
        <f t="shared" si="15"/>
        <v>0.29198541511148773</v>
      </c>
      <c r="AO15" s="59">
        <f t="shared" si="68"/>
        <v>0.60944410891457435</v>
      </c>
      <c r="AP15" s="59">
        <f t="shared" si="69"/>
        <v>0.60630319839133073</v>
      </c>
      <c r="AQ15" s="59">
        <f t="shared" si="70"/>
        <v>0.60990342032735967</v>
      </c>
      <c r="AR15" s="59">
        <f t="shared" si="17"/>
        <v>5.3437688046789447</v>
      </c>
      <c r="AS15" s="59">
        <f t="shared" si="18"/>
        <v>5.3162284618864124</v>
      </c>
      <c r="AT15" s="59">
        <f t="shared" si="19"/>
        <v>5.3477961698849956</v>
      </c>
      <c r="AU15" s="59">
        <f t="shared" si="20"/>
        <v>63.220277653520867</v>
      </c>
      <c r="AV15" s="59">
        <f t="shared" si="71"/>
        <v>59.194487963809507</v>
      </c>
      <c r="AW15" s="59">
        <f t="shared" si="72"/>
        <v>63.744879192182538</v>
      </c>
      <c r="AX15" s="77">
        <f t="shared" si="22"/>
        <v>62.047009615010651</v>
      </c>
      <c r="AY15" s="147">
        <f t="shared" si="23"/>
        <v>0.25707176077130411</v>
      </c>
      <c r="AZ15" s="59">
        <f t="shared" si="24"/>
        <v>0.24600625747064148</v>
      </c>
      <c r="BA15" s="59">
        <f t="shared" si="25"/>
        <v>0.25904176732009981</v>
      </c>
      <c r="BB15" s="59">
        <f t="shared" si="26"/>
        <v>0.60471477261251327</v>
      </c>
      <c r="BC15" s="59">
        <f t="shared" si="73"/>
        <v>0.60351877147552002</v>
      </c>
      <c r="BD15" s="59">
        <f t="shared" si="74"/>
        <v>0.60495071627019226</v>
      </c>
      <c r="BE15" s="59">
        <f t="shared" si="28"/>
        <v>5.302300720193232</v>
      </c>
      <c r="BF15" s="59">
        <f t="shared" si="75"/>
        <v>5.2918138626246067</v>
      </c>
      <c r="BG15" s="59">
        <f t="shared" si="76"/>
        <v>5.3043695372334234</v>
      </c>
      <c r="BH15" s="59">
        <f t="shared" si="30"/>
        <v>56.716652874454049</v>
      </c>
      <c r="BI15" s="59">
        <f t="shared" si="31"/>
        <v>54.493065356752901</v>
      </c>
      <c r="BJ15" s="59">
        <f t="shared" si="32"/>
        <v>57.112723001253386</v>
      </c>
      <c r="BK15" s="59">
        <f t="shared" si="33"/>
        <v>56.101869662779023</v>
      </c>
      <c r="BL15" s="101">
        <f t="shared" si="34"/>
        <v>0.90418329603440939</v>
      </c>
      <c r="BM15" s="58">
        <f>VLOOKUP(X15,Lookup!$N$27:$P$36,2,FALSE)</f>
        <v>135.91999999999999</v>
      </c>
      <c r="BN15" s="59">
        <f t="shared" si="35"/>
        <v>58.229241633829929</v>
      </c>
      <c r="BO15" s="59">
        <f t="shared" si="77"/>
        <v>37.532477072610398</v>
      </c>
      <c r="BP15" s="59">
        <f t="shared" si="78"/>
        <v>33.087841629801275</v>
      </c>
      <c r="BQ15" s="59">
        <f t="shared" si="79"/>
        <v>37.302014494094372</v>
      </c>
      <c r="BR15" s="59">
        <f t="shared" si="36"/>
        <v>64.456407158160275</v>
      </c>
      <c r="BS15" s="59">
        <f t="shared" si="37"/>
        <v>60.003602506485002</v>
      </c>
      <c r="BT15" s="59">
        <f t="shared" si="38"/>
        <v>65.036164672006052</v>
      </c>
      <c r="BU15" s="59">
        <f t="shared" si="39"/>
        <v>0.32228203579080139</v>
      </c>
      <c r="BV15" s="59">
        <f t="shared" si="40"/>
        <v>0.30001801253242499</v>
      </c>
      <c r="BW15" s="59">
        <f t="shared" si="41"/>
        <v>0.32518082336003024</v>
      </c>
      <c r="BX15" s="59">
        <f t="shared" si="80"/>
        <v>0.61607948803257062</v>
      </c>
      <c r="BY15" s="59">
        <f t="shared" si="81"/>
        <v>0.61139286091042777</v>
      </c>
      <c r="BZ15" s="59">
        <f t="shared" si="82"/>
        <v>0.61674897454490352</v>
      </c>
      <c r="CA15" s="59">
        <f t="shared" si="43"/>
        <v>5.4019495819139856</v>
      </c>
      <c r="CB15" s="59">
        <f t="shared" si="44"/>
        <v>5.360855982930687</v>
      </c>
      <c r="CC15" s="59">
        <f t="shared" si="45"/>
        <v>5.40781981855657</v>
      </c>
      <c r="CD15" s="59">
        <f t="shared" si="46"/>
        <v>69.858356740074257</v>
      </c>
      <c r="CE15" s="59">
        <f t="shared" si="83"/>
        <v>65.364458489415682</v>
      </c>
      <c r="CF15" s="59">
        <f t="shared" si="84"/>
        <v>70.443984490562627</v>
      </c>
      <c r="CG15" s="59">
        <f t="shared" si="48"/>
        <v>68.54874434669351</v>
      </c>
      <c r="CH15" s="59">
        <f t="shared" si="49"/>
        <v>1.1047872374837213</v>
      </c>
      <c r="CI15" s="64">
        <f t="shared" si="50"/>
        <v>20.060394144931195</v>
      </c>
    </row>
    <row r="16" spans="1:87" s="18" customFormat="1" ht="90.75" customHeight="1" thickBot="1">
      <c r="A16" s="104" t="e">
        <f>#REF!</f>
        <v>#REF!</v>
      </c>
      <c r="B16" s="38" t="e">
        <f>#REF!</f>
        <v>#REF!</v>
      </c>
      <c r="C16" s="38" t="e">
        <f>#REF!</f>
        <v>#REF!</v>
      </c>
      <c r="D16" s="38" t="s">
        <v>74</v>
      </c>
      <c r="E16" s="38" t="s">
        <v>581</v>
      </c>
      <c r="F16" s="38">
        <v>1800</v>
      </c>
      <c r="G16" s="38" t="s">
        <v>45</v>
      </c>
      <c r="H16" s="61" t="s">
        <v>11</v>
      </c>
      <c r="I16" s="61" t="s">
        <v>10</v>
      </c>
      <c r="J16" s="61" t="s">
        <v>11</v>
      </c>
      <c r="K16" s="61" t="s">
        <v>9</v>
      </c>
      <c r="L16" s="62">
        <v>30</v>
      </c>
      <c r="M16" s="62" t="s">
        <v>581</v>
      </c>
      <c r="N16" s="145">
        <v>3</v>
      </c>
      <c r="O16" s="62">
        <v>349.83050847457628</v>
      </c>
      <c r="P16" s="62">
        <v>424.42976156276927</v>
      </c>
      <c r="Q16" s="62">
        <v>51.414352154260818</v>
      </c>
      <c r="R16" s="62">
        <v>262.37288135593218</v>
      </c>
      <c r="S16" s="62">
        <v>498.89112324044811</v>
      </c>
      <c r="T16" s="62">
        <v>49.201251494128293</v>
      </c>
      <c r="U16" s="62">
        <v>384.81355932203388</v>
      </c>
      <c r="V16" s="62">
        <v>383.47601264004595</v>
      </c>
      <c r="W16" s="65">
        <v>51.808353464019966</v>
      </c>
      <c r="X16" s="108" t="str">
        <f t="shared" si="1"/>
        <v>IL-1800</v>
      </c>
      <c r="Y16" s="105">
        <f t="shared" si="2"/>
        <v>820.70657853398279</v>
      </c>
      <c r="Z16" s="109" t="str">
        <f t="shared" si="3"/>
        <v>IL-30-1800</v>
      </c>
      <c r="AA16" s="110">
        <f>VLOOKUP(Z16,Lookup!$U$28:$V$227,2,FALSE)</f>
        <v>93.6</v>
      </c>
      <c r="AB16" s="109">
        <f t="shared" si="4"/>
        <v>2.0512820512820511</v>
      </c>
      <c r="AC16" s="109" t="str">
        <f t="shared" si="5"/>
        <v/>
      </c>
      <c r="AD16" s="149">
        <f>VLOOKUP(X16,Lookup!$N$27:$P$36,3,FALSE)</f>
        <v>129.30000000000001</v>
      </c>
      <c r="AE16" s="76">
        <f t="shared" si="6"/>
        <v>64.84924163382982</v>
      </c>
      <c r="AF16" s="59">
        <f t="shared" si="7"/>
        <v>37.532477072610398</v>
      </c>
      <c r="AG16" s="59">
        <f t="shared" si="8"/>
        <v>33.087841629801275</v>
      </c>
      <c r="AH16" s="59">
        <f t="shared" si="9"/>
        <v>37.302014494094372</v>
      </c>
      <c r="AI16" s="59">
        <f t="shared" si="10"/>
        <v>57.876508848841922</v>
      </c>
      <c r="AJ16" s="59">
        <f t="shared" si="11"/>
        <v>53.878259501923097</v>
      </c>
      <c r="AK16" s="59">
        <f t="shared" si="12"/>
        <v>58.397083022297544</v>
      </c>
      <c r="AL16" s="59">
        <f t="shared" si="13"/>
        <v>1</v>
      </c>
      <c r="AM16" s="59">
        <f t="shared" si="14"/>
        <v>1</v>
      </c>
      <c r="AN16" s="59">
        <f t="shared" si="15"/>
        <v>1</v>
      </c>
      <c r="AO16" s="59">
        <f t="shared" si="68"/>
        <v>1</v>
      </c>
      <c r="AP16" s="59">
        <f t="shared" si="69"/>
        <v>1</v>
      </c>
      <c r="AQ16" s="59">
        <f t="shared" si="70"/>
        <v>1</v>
      </c>
      <c r="AR16" s="59">
        <f t="shared" si="17"/>
        <v>2.0512820512820511</v>
      </c>
      <c r="AS16" s="59">
        <f t="shared" si="18"/>
        <v>2.0512820512820511</v>
      </c>
      <c r="AT16" s="59">
        <f t="shared" si="19"/>
        <v>2.0512820512820511</v>
      </c>
      <c r="AU16" s="59">
        <f t="shared" si="20"/>
        <v>59.927790900123973</v>
      </c>
      <c r="AV16" s="59">
        <f t="shared" si="71"/>
        <v>55.929541553205148</v>
      </c>
      <c r="AW16" s="59">
        <f t="shared" si="72"/>
        <v>60.448365073579595</v>
      </c>
      <c r="AX16" s="77">
        <f t="shared" si="22"/>
        <v>58.762688985718668</v>
      </c>
      <c r="AY16" s="147">
        <f t="shared" si="23"/>
        <v>1</v>
      </c>
      <c r="AZ16" s="59">
        <f t="shared" si="24"/>
        <v>1</v>
      </c>
      <c r="BA16" s="59">
        <f t="shared" si="25"/>
        <v>1</v>
      </c>
      <c r="BB16" s="59">
        <f t="shared" si="26"/>
        <v>1</v>
      </c>
      <c r="BC16" s="59">
        <f t="shared" si="73"/>
        <v>1</v>
      </c>
      <c r="BD16" s="59">
        <f t="shared" si="74"/>
        <v>1</v>
      </c>
      <c r="BE16" s="59">
        <f t="shared" si="28"/>
        <v>2.0512820512820511</v>
      </c>
      <c r="BF16" s="59">
        <f t="shared" si="75"/>
        <v>2.0512820512820511</v>
      </c>
      <c r="BG16" s="59">
        <f t="shared" si="76"/>
        <v>2.0512820512820511</v>
      </c>
      <c r="BH16" s="59">
        <f t="shared" si="30"/>
        <v>53.465634205542869</v>
      </c>
      <c r="BI16" s="59">
        <f t="shared" si="31"/>
        <v>51.252533545410344</v>
      </c>
      <c r="BJ16" s="59">
        <f t="shared" si="32"/>
        <v>53.859635515302017</v>
      </c>
      <c r="BK16" s="59">
        <f t="shared" si="33"/>
        <v>52.853981828642873</v>
      </c>
      <c r="BL16" s="101">
        <f t="shared" si="34"/>
        <v>0.89944797865680015</v>
      </c>
      <c r="BM16" s="58">
        <f>VLOOKUP(X16,Lookup!$N$27:$P$36,2,FALSE)</f>
        <v>135.91999999999999</v>
      </c>
      <c r="BN16" s="59">
        <f t="shared" si="35"/>
        <v>58.229241633829929</v>
      </c>
      <c r="BO16" s="59">
        <f t="shared" si="77"/>
        <v>37.532477072610398</v>
      </c>
      <c r="BP16" s="59">
        <f t="shared" si="78"/>
        <v>33.087841629801275</v>
      </c>
      <c r="BQ16" s="59">
        <f t="shared" si="79"/>
        <v>37.302014494094372</v>
      </c>
      <c r="BR16" s="59">
        <f t="shared" si="36"/>
        <v>64.456407158160275</v>
      </c>
      <c r="BS16" s="59">
        <f t="shared" si="37"/>
        <v>60.003602506485002</v>
      </c>
      <c r="BT16" s="59">
        <f t="shared" si="38"/>
        <v>65.036164672006052</v>
      </c>
      <c r="BU16" s="59">
        <f t="shared" si="39"/>
        <v>1</v>
      </c>
      <c r="BV16" s="59">
        <f t="shared" si="40"/>
        <v>1</v>
      </c>
      <c r="BW16" s="59">
        <f t="shared" si="41"/>
        <v>1</v>
      </c>
      <c r="BX16" s="59">
        <f t="shared" si="80"/>
        <v>1</v>
      </c>
      <c r="BY16" s="59">
        <f t="shared" si="81"/>
        <v>1</v>
      </c>
      <c r="BZ16" s="59">
        <f t="shared" si="82"/>
        <v>1</v>
      </c>
      <c r="CA16" s="59">
        <f t="shared" si="43"/>
        <v>2.0512820512820511</v>
      </c>
      <c r="CB16" s="59">
        <f t="shared" si="44"/>
        <v>2.0512820512820511</v>
      </c>
      <c r="CC16" s="59">
        <f t="shared" si="45"/>
        <v>2.0512820512820511</v>
      </c>
      <c r="CD16" s="59">
        <f t="shared" si="46"/>
        <v>66.507689209442333</v>
      </c>
      <c r="CE16" s="59">
        <f t="shared" si="83"/>
        <v>62.054884557767053</v>
      </c>
      <c r="CF16" s="59">
        <f t="shared" si="84"/>
        <v>67.08744672328811</v>
      </c>
      <c r="CG16" s="59">
        <f t="shared" si="48"/>
        <v>65.210151829482811</v>
      </c>
      <c r="CH16" s="59">
        <f t="shared" si="49"/>
        <v>1.1097203507029962</v>
      </c>
      <c r="CI16" s="64">
        <f t="shared" si="50"/>
        <v>21.02723720461961</v>
      </c>
    </row>
    <row r="17" spans="1:87" s="18" customFormat="1" ht="90.75" customHeight="1" thickBot="1">
      <c r="A17" s="104" t="e">
        <f>#REF!</f>
        <v>#REF!</v>
      </c>
      <c r="B17" s="38" t="e">
        <f>#REF!</f>
        <v>#REF!</v>
      </c>
      <c r="C17" s="38" t="e">
        <f>#REF!</f>
        <v>#REF!</v>
      </c>
      <c r="D17" s="38" t="s">
        <v>74</v>
      </c>
      <c r="E17" s="38" t="s">
        <v>581</v>
      </c>
      <c r="F17" s="38">
        <v>1800</v>
      </c>
      <c r="G17" s="38" t="s">
        <v>45</v>
      </c>
      <c r="H17" s="61" t="s">
        <v>11</v>
      </c>
      <c r="I17" s="61" t="s">
        <v>10</v>
      </c>
      <c r="J17" s="61" t="s">
        <v>11</v>
      </c>
      <c r="K17" s="61" t="s">
        <v>9</v>
      </c>
      <c r="L17" s="62">
        <v>20</v>
      </c>
      <c r="M17" s="62" t="s">
        <v>581</v>
      </c>
      <c r="N17" s="145">
        <v>3</v>
      </c>
      <c r="O17" s="62">
        <v>349.83050847457628</v>
      </c>
      <c r="P17" s="62">
        <v>424.42976156276927</v>
      </c>
      <c r="Q17" s="62">
        <v>51.414352154260818</v>
      </c>
      <c r="R17" s="62">
        <v>262.37288135593218</v>
      </c>
      <c r="S17" s="62">
        <v>498.89112324044811</v>
      </c>
      <c r="T17" s="62">
        <v>49.201251494128293</v>
      </c>
      <c r="U17" s="62">
        <v>384.81355932203388</v>
      </c>
      <c r="V17" s="62">
        <v>383.47601264004595</v>
      </c>
      <c r="W17" s="65">
        <v>51.808353464019966</v>
      </c>
      <c r="X17" s="108" t="str">
        <f t="shared" si="1"/>
        <v>IL-1800</v>
      </c>
      <c r="Y17" s="105">
        <f t="shared" si="2"/>
        <v>820.70657853398279</v>
      </c>
      <c r="Z17" s="109" t="str">
        <f t="shared" si="3"/>
        <v>IL-20-1800</v>
      </c>
      <c r="AA17" s="110">
        <f>VLOOKUP(Z17,Lookup!$U$28:$V$227,2,FALSE)</f>
        <v>93</v>
      </c>
      <c r="AB17" s="109">
        <f t="shared" si="4"/>
        <v>1.5053763440860202</v>
      </c>
      <c r="AC17" s="109" t="str">
        <f t="shared" si="5"/>
        <v/>
      </c>
      <c r="AD17" s="149">
        <f>VLOOKUP(X17,Lookup!$N$27:$P$36,3,FALSE)</f>
        <v>129.30000000000001</v>
      </c>
      <c r="AE17" s="76">
        <f t="shared" si="6"/>
        <v>64.84924163382982</v>
      </c>
      <c r="AF17" s="59">
        <f t="shared" si="7"/>
        <v>37.532477072610398</v>
      </c>
      <c r="AG17" s="59">
        <f t="shared" si="8"/>
        <v>33.087841629801275</v>
      </c>
      <c r="AH17" s="59">
        <f t="shared" si="9"/>
        <v>37.302014494094372</v>
      </c>
      <c r="AI17" s="59">
        <f t="shared" si="10"/>
        <v>57.876508848841922</v>
      </c>
      <c r="AJ17" s="59">
        <f t="shared" si="11"/>
        <v>53.878259501923097</v>
      </c>
      <c r="AK17" s="59">
        <f t="shared" si="12"/>
        <v>58.397083022297544</v>
      </c>
      <c r="AL17" s="59">
        <f t="shared" si="13"/>
        <v>1</v>
      </c>
      <c r="AM17" s="59">
        <f t="shared" si="14"/>
        <v>1</v>
      </c>
      <c r="AN17" s="59">
        <f t="shared" si="15"/>
        <v>1</v>
      </c>
      <c r="AO17" s="59">
        <f t="shared" si="68"/>
        <v>1</v>
      </c>
      <c r="AP17" s="59">
        <f t="shared" si="69"/>
        <v>1</v>
      </c>
      <c r="AQ17" s="59">
        <f t="shared" si="70"/>
        <v>1</v>
      </c>
      <c r="AR17" s="59">
        <f t="shared" si="17"/>
        <v>1.5053763440860202</v>
      </c>
      <c r="AS17" s="59">
        <f t="shared" si="18"/>
        <v>1.5053763440860202</v>
      </c>
      <c r="AT17" s="59">
        <f t="shared" si="19"/>
        <v>1.5053763440860202</v>
      </c>
      <c r="AU17" s="59">
        <f t="shared" si="20"/>
        <v>59.381885192927939</v>
      </c>
      <c r="AV17" s="59">
        <f t="shared" si="71"/>
        <v>55.383635846009113</v>
      </c>
      <c r="AW17" s="59">
        <f t="shared" si="72"/>
        <v>59.902459366383567</v>
      </c>
      <c r="AX17" s="77">
        <f t="shared" si="22"/>
        <v>58.216837869093368</v>
      </c>
      <c r="AY17" s="147">
        <f t="shared" si="23"/>
        <v>1</v>
      </c>
      <c r="AZ17" s="59">
        <f t="shared" si="24"/>
        <v>1</v>
      </c>
      <c r="BA17" s="59">
        <f t="shared" si="25"/>
        <v>1</v>
      </c>
      <c r="BB17" s="59">
        <f t="shared" si="26"/>
        <v>1</v>
      </c>
      <c r="BC17" s="59">
        <f t="shared" si="73"/>
        <v>1</v>
      </c>
      <c r="BD17" s="59">
        <f t="shared" si="74"/>
        <v>1</v>
      </c>
      <c r="BE17" s="59">
        <f t="shared" si="28"/>
        <v>1.5053763440860202</v>
      </c>
      <c r="BF17" s="59">
        <f t="shared" si="75"/>
        <v>1.5053763440860202</v>
      </c>
      <c r="BG17" s="59">
        <f t="shared" si="76"/>
        <v>1.5053763440860202</v>
      </c>
      <c r="BH17" s="59">
        <f t="shared" si="30"/>
        <v>52.919728498346842</v>
      </c>
      <c r="BI17" s="59">
        <f t="shared" si="31"/>
        <v>50.706627838214317</v>
      </c>
      <c r="BJ17" s="59">
        <f t="shared" si="32"/>
        <v>53.31372980810599</v>
      </c>
      <c r="BK17" s="59">
        <f t="shared" si="33"/>
        <v>52.308130712017558</v>
      </c>
      <c r="BL17" s="101">
        <f t="shared" si="34"/>
        <v>0.89850518555538594</v>
      </c>
      <c r="BM17" s="58">
        <f>VLOOKUP(X17,Lookup!$N$27:$P$36,2,FALSE)</f>
        <v>135.91999999999999</v>
      </c>
      <c r="BN17" s="59">
        <f t="shared" si="35"/>
        <v>58.229241633829929</v>
      </c>
      <c r="BO17" s="59">
        <f t="shared" si="77"/>
        <v>37.532477072610398</v>
      </c>
      <c r="BP17" s="59">
        <f t="shared" si="78"/>
        <v>33.087841629801275</v>
      </c>
      <c r="BQ17" s="59">
        <f t="shared" si="79"/>
        <v>37.302014494094372</v>
      </c>
      <c r="BR17" s="59">
        <f t="shared" si="36"/>
        <v>64.456407158160275</v>
      </c>
      <c r="BS17" s="59">
        <f t="shared" si="37"/>
        <v>60.003602506485002</v>
      </c>
      <c r="BT17" s="59">
        <f t="shared" si="38"/>
        <v>65.036164672006052</v>
      </c>
      <c r="BU17" s="59">
        <f t="shared" si="39"/>
        <v>1</v>
      </c>
      <c r="BV17" s="59">
        <f t="shared" si="40"/>
        <v>1</v>
      </c>
      <c r="BW17" s="59">
        <f t="shared" si="41"/>
        <v>1</v>
      </c>
      <c r="BX17" s="59">
        <f t="shared" si="80"/>
        <v>1</v>
      </c>
      <c r="BY17" s="59">
        <f t="shared" si="81"/>
        <v>1</v>
      </c>
      <c r="BZ17" s="59">
        <f t="shared" si="82"/>
        <v>1</v>
      </c>
      <c r="CA17" s="59">
        <f t="shared" si="43"/>
        <v>1.5053763440860202</v>
      </c>
      <c r="CB17" s="59">
        <f t="shared" si="44"/>
        <v>1.5053763440860202</v>
      </c>
      <c r="CC17" s="59">
        <f t="shared" si="45"/>
        <v>1.5053763440860202</v>
      </c>
      <c r="CD17" s="59">
        <f t="shared" si="46"/>
        <v>65.961783502246291</v>
      </c>
      <c r="CE17" s="59">
        <f t="shared" si="83"/>
        <v>61.508978850571026</v>
      </c>
      <c r="CF17" s="59">
        <f t="shared" si="84"/>
        <v>66.541541016092069</v>
      </c>
      <c r="CG17" s="59">
        <f t="shared" si="48"/>
        <v>64.664300712857496</v>
      </c>
      <c r="CH17" s="59">
        <f t="shared" si="49"/>
        <v>1.1107491076423959</v>
      </c>
      <c r="CI17" s="64">
        <f t="shared" si="50"/>
        <v>21.224392208700994</v>
      </c>
    </row>
  </sheetData>
  <mergeCells count="7">
    <mergeCell ref="BM2:CI2"/>
    <mergeCell ref="BM3:CI3"/>
    <mergeCell ref="X3:AD3"/>
    <mergeCell ref="AE3:AX3"/>
    <mergeCell ref="A2:BL2"/>
    <mergeCell ref="A3:W3"/>
    <mergeCell ref="AY3:BL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opLeftCell="M1" zoomScale="125" zoomScaleNormal="125" zoomScalePageLayoutView="125" workbookViewId="0">
      <selection activeCell="M9" sqref="M9"/>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7" t="s">
        <v>505</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9"/>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54" t="s">
        <v>329</v>
      </c>
      <c r="B5" s="41" t="s">
        <v>12</v>
      </c>
      <c r="C5" s="54" t="s">
        <v>27</v>
      </c>
      <c r="D5" s="54" t="s">
        <v>89</v>
      </c>
      <c r="E5" s="54" t="s">
        <v>348</v>
      </c>
      <c r="F5" s="54" t="s">
        <v>4</v>
      </c>
      <c r="G5" s="103" t="s">
        <v>569</v>
      </c>
      <c r="H5" s="54" t="s">
        <v>372</v>
      </c>
      <c r="I5" s="132"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7"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c r="A6"/>
      <c r="B6"/>
      <c r="C6" s="1"/>
      <c r="D6" s="38" t="s">
        <v>77</v>
      </c>
      <c r="E6" s="38">
        <v>4</v>
      </c>
      <c r="F6" s="38">
        <v>1800</v>
      </c>
      <c r="G6" s="38" t="s">
        <v>571</v>
      </c>
      <c r="H6" s="62">
        <v>25</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f t="shared" ref="S6:S17" si="1">0.25*$K6</f>
        <v>87.457627118644069</v>
      </c>
      <c r="T6" s="102">
        <f t="shared" ref="T6" si="2">IF(ABS(R6-S6)/S6&gt;10%,"SetPointError&gt;10%",ABS(R6-S6)/S6)</f>
        <v>5.1937984496124016E-2</v>
      </c>
      <c r="U6" s="62">
        <v>100</v>
      </c>
      <c r="V6" s="59">
        <f t="shared" ref="V6" si="3">(0.8*(S6^2/$K6^2)+0.2)*$L6</f>
        <v>106.10744039069232</v>
      </c>
      <c r="W6" s="102">
        <f t="shared" ref="W6" si="4">IF(ABS(U6-V6)/V6&gt;10%,"SetPointError&gt;10%",ABS(U6-V6)/V6)</f>
        <v>5.7559021009313302E-2</v>
      </c>
      <c r="X6" s="62">
        <v>10</v>
      </c>
      <c r="Y6" s="62">
        <v>170</v>
      </c>
      <c r="Z6" s="59">
        <f t="shared" ref="Z6:Z17" si="5">0.5*$K6</f>
        <v>174.91525423728814</v>
      </c>
      <c r="AA6" s="102">
        <f t="shared" ref="AA6" si="6">IF(ABS(Y6-Z6)/Z6&gt;10%,"SetPointError&gt;10%",ABS(Y6-Z6)/Z6)</f>
        <v>2.8100775193798465E-2</v>
      </c>
      <c r="AB6" s="62">
        <v>175</v>
      </c>
      <c r="AC6" s="59">
        <f t="shared" ref="AC6" si="7">(0.8*(Z6^2/$K6^2)+0.2)*$L6</f>
        <v>169.77190462510771</v>
      </c>
      <c r="AD6" s="102">
        <f t="shared" ref="AD6" si="8">IF(ABS(AB6-AC6)/AC6&gt;10%,"SetPointError&gt;10%",ABS(AB6-AC6)/AC6)</f>
        <v>3.0794820771063575E-2</v>
      </c>
      <c r="AE6" s="62">
        <v>20</v>
      </c>
      <c r="AF6" s="62">
        <v>255</v>
      </c>
      <c r="AG6" s="59">
        <f t="shared" ref="AG6:AG17" si="9">0.75*$K6</f>
        <v>262.37288135593224</v>
      </c>
      <c r="AH6" s="102">
        <f t="shared" ref="AH6" si="10">IF(ABS(AF6-AG6)/AG6&gt;10%,"SetPointError&gt;10%",ABS(AF6-AG6)/AG6)</f>
        <v>2.8100775193798572E-2</v>
      </c>
      <c r="AI6" s="62">
        <v>280</v>
      </c>
      <c r="AJ6" s="59">
        <f t="shared" ref="AJ6" si="11">(0.8*(AG6^2/$K6^2)+0.2)*$L6</f>
        <v>275.87934501580008</v>
      </c>
      <c r="AK6" s="102">
        <f t="shared" ref="AK6" si="12">IF(ABS(AI6-AJ6)/AJ6&gt;10%,"SetPointError&gt;10%",ABS(AI6-AJ6)/AJ6)</f>
        <v>1.4936438913047004E-2</v>
      </c>
      <c r="AL6" s="65">
        <v>42</v>
      </c>
      <c r="AM6" s="23"/>
      <c r="AN6" s="23"/>
      <c r="AP6" s="72" t="str">
        <f t="shared" ref="AP6" si="13">D6&amp;-F6</f>
        <v>ESCC-1800</v>
      </c>
      <c r="AQ6" s="59">
        <f t="shared" ref="AQ6" si="14">((F6*SQRT(K6)/(L6/J6)^0.75))</f>
        <v>1870.8064374574242</v>
      </c>
      <c r="AR6" s="63" t="str">
        <f t="shared" ref="AR6" si="15">D6&amp;-H6&amp;-F6</f>
        <v>ESCC-25-1800</v>
      </c>
      <c r="AS6" s="39">
        <f>VLOOKUP(AR6,Lookup!$U$28:$V$227,2,FALSE)</f>
        <v>93.6</v>
      </c>
      <c r="AT6" s="63">
        <f t="shared" ref="AT6" si="16">H6/(AS6/100)-H6</f>
        <v>1.7094017094017104</v>
      </c>
      <c r="AU6" s="73">
        <f>VLOOKUP(AP6,Lookup!$N$27:$P$36,3,FALSE)</f>
        <v>128.47</v>
      </c>
      <c r="AV6" s="76">
        <f t="shared" ref="AV6" si="17">-0.85*(LN(K6))^2-0.38*LN(AQ6)*LN(K6)-11.48*(LN(AQ6))^2+17.8*LN(K6)+179.8*LN(AQ6)-(AU6+555.6)</f>
        <v>77.255633243152374</v>
      </c>
      <c r="AW6" s="59">
        <f t="shared" ref="AW6" si="18">K6*L6/3956</f>
        <v>37.532477072610398</v>
      </c>
      <c r="AX6" s="59">
        <f t="shared" ref="AX6" si="19">N6*O6/3956</f>
        <v>33.087843981004497</v>
      </c>
      <c r="AY6" s="59">
        <f t="shared" ref="AY6" si="20">P6*Q6/3956</f>
        <v>37.302014494094372</v>
      </c>
      <c r="AZ6" s="59">
        <f t="shared" ref="AZ6" si="21">AW6/(AV6/100)</f>
        <v>48.582188116278395</v>
      </c>
      <c r="BA6" s="59">
        <f t="shared" ref="BA6" si="22">AX6/(AV6/100*0.947)</f>
        <v>45.226016160306401</v>
      </c>
      <c r="BB6" s="59">
        <f t="shared" ref="BB6" si="23">AY6/(AV6/100*0.985)</f>
        <v>49.019163893261585</v>
      </c>
      <c r="BC6" s="59">
        <f t="shared" ref="BC6" si="24">IF((AZ6/H6)&gt;=1,1,(AZ6/H6))</f>
        <v>1</v>
      </c>
      <c r="BD6" s="59">
        <f t="shared" ref="BD6" si="25">IF((BA6/H6)&gt;=1,1,(BA6/H6))</f>
        <v>1</v>
      </c>
      <c r="BE6" s="59">
        <f t="shared" ref="BE6" si="26">IF((BB6/H6)&gt;=1,1,(BB6/H6))</f>
        <v>1</v>
      </c>
      <c r="BF6" s="59">
        <f t="shared" ref="BF6" si="27">-0.4508*BC6^3+1.2399*BC6^2+-0.4301*BC6+0.641</f>
        <v>1</v>
      </c>
      <c r="BG6" s="59">
        <f t="shared" ref="BG6" si="28">-0.4508*BD6^3+1.2399*BD6^2+-0.4301*BD6+0.641</f>
        <v>1</v>
      </c>
      <c r="BH6" s="59">
        <f t="shared" ref="BH6" si="29">-0.4508*BE6^3+1.2399*BE6^2+-0.4301*BE6+0.641</f>
        <v>1</v>
      </c>
      <c r="BI6" s="59">
        <f t="shared" ref="BI6" si="30">BF6*AT6</f>
        <v>1.7094017094017104</v>
      </c>
      <c r="BJ6" s="59">
        <f t="shared" ref="BJ6" si="31">BG6*AT6</f>
        <v>1.7094017094017104</v>
      </c>
      <c r="BK6" s="59">
        <f t="shared" ref="BK6" si="32">BH6*AT6</f>
        <v>1.7094017094017104</v>
      </c>
      <c r="BL6" s="59">
        <f t="shared" ref="BL6" si="33">BI6+AZ6</f>
        <v>50.291589825680106</v>
      </c>
      <c r="BM6" s="59">
        <f t="shared" ref="BM6" si="34">BJ6+BA6</f>
        <v>46.935417869708111</v>
      </c>
      <c r="BN6" s="59">
        <f t="shared" ref="BN6" si="35">BK6+BB6</f>
        <v>50.728565602663295</v>
      </c>
      <c r="BO6" s="77">
        <f t="shared" ref="BO6" si="36">0.3333*(BL6)+0.3333*(BM6)+0.3333*(BN6)</f>
        <v>49.313592580240567</v>
      </c>
      <c r="BP6" s="76">
        <f t="shared" ref="BP6" si="37">IF(T6&gt;10%,"SetPointError&gt;10%",IF(W6&gt;10%,"SetPointError&gt;10%",IF(AA6&gt;10%,"SetPointError&gt;10%",IF(AD6&gt;10%,"SetPointError&gt;10%",IF(AH6&gt;10%,"SetPointError&gt;10%",IF(AK6&gt;10%,"SetPointError&gt;10%",(V6/U6)*(S6/R6)*X6))))))</f>
        <v>10.086853213264044</v>
      </c>
      <c r="BQ6" s="59">
        <f t="shared" ref="BQ6" si="38">IF($T6&gt;10%,"SetPointError&gt;10%",IF($W6&gt;10%,"SetPointError&gt;10%",IF($AA6&gt;10%,"SetPointError&gt;10%",IF($AD6&gt;10%,"SetPointError&gt;10%",IF($AH6&gt;10%,"SetPointError&gt;10%",IF($AK6&gt;10%,"SetPointError&gt;10%",(AC6/AB6)*(Z6/Y6)*AE6))))))</f>
        <v>19.963493015024774</v>
      </c>
      <c r="BR6" s="59">
        <f t="shared" ref="BR6" si="39">IF($T6&gt;10%,"SetPointError&gt;10%",IF($W6&gt;10%,"SetPointError&gt;10%",IF($AA6&gt;10%,"SetPointError&gt;10%",IF($AD6&gt;10%,"SetPointError&gt;10%",IF($AH6&gt;10%,"SetPointError&gt;10%",IF($AK6&gt;10%,"SetPointError&gt;10%",(AJ6/AI6)*(AG6/AF6)*AL6))))))</f>
        <v>42.578387446107527</v>
      </c>
      <c r="BS6" s="59">
        <f t="shared" ref="BS6" si="40">IFERROR(0.25*(M6)+0.25*BR6+0.25*BQ6+0.25*BP6,"SetPointError&gt;10%")</f>
        <v>31.010771457164289</v>
      </c>
      <c r="BT6" s="77">
        <f t="shared" ref="BT6" si="41">IFERROR(BS6/BO6,"SetPointError&gt;10%")</f>
        <v>0.62884835264648664</v>
      </c>
      <c r="BU6" s="58">
        <f>VLOOKUP(AP6,Lookup!$N$27:$P$36,2,FALSE)</f>
        <v>134.43</v>
      </c>
      <c r="BV6" s="59">
        <f t="shared" ref="BV6" si="42">-0.85*(LN(K6))^2-0.38*LN(AQ6)*LN(K6)-11.48*(LN(AQ6))^2+17.8*LN(K6)+179.8*LN(AQ6)-(BU6+555.6)</f>
        <v>71.295633243152452</v>
      </c>
      <c r="BW6" s="59">
        <f t="shared" si="0"/>
        <v>37.532477072610398</v>
      </c>
      <c r="BX6" s="59">
        <f t="shared" si="0"/>
        <v>33.087843981004497</v>
      </c>
      <c r="BY6" s="59">
        <f t="shared" si="0"/>
        <v>37.302014494094372</v>
      </c>
      <c r="BZ6" s="59">
        <f t="shared" ref="BZ6" si="43">AW6/(BV6/100)</f>
        <v>52.643444437342424</v>
      </c>
      <c r="CA6" s="59">
        <f t="shared" ref="CA6" si="44">AX6/(BV6/100*0.947)</f>
        <v>49.006711331301489</v>
      </c>
      <c r="CB6" s="59">
        <f t="shared" ref="CB6" si="45">AY6/(BV6/100*0.985)</f>
        <v>53.116949458998107</v>
      </c>
      <c r="CC6" s="59">
        <f t="shared" ref="CC6" si="46">IF((BZ6/$H6)&gt;=1,1,(BZ6/$H6))</f>
        <v>1</v>
      </c>
      <c r="CD6" s="59">
        <f t="shared" ref="CD6" si="47">IF((CA6/$H6)&gt;=1,1,(CA6/$H6))</f>
        <v>1</v>
      </c>
      <c r="CE6" s="59">
        <f t="shared" ref="CE6" si="48">IF((CB6/$H6)&gt;=1,1,(CB6/$H6))</f>
        <v>1</v>
      </c>
      <c r="CF6" s="59">
        <f t="shared" ref="CF6" si="49">-0.4508*CC6^3+1.2399*CC6^2+-0.4301*CC6+0.641</f>
        <v>1</v>
      </c>
      <c r="CG6" s="59">
        <f t="shared" ref="CG6" si="50">-0.4508*CD6^3+1.2399*CD6^2+-0.4301*CD6+0.641</f>
        <v>1</v>
      </c>
      <c r="CH6" s="59">
        <f t="shared" ref="CH6" si="51">-0.4508*CE6^3+1.2399*CE6^2+-0.4301*CE6+0.641</f>
        <v>1</v>
      </c>
      <c r="CI6" s="59">
        <f t="shared" ref="CI6" si="52">CF6*AT6</f>
        <v>1.7094017094017104</v>
      </c>
      <c r="CJ6" s="59">
        <f t="shared" ref="CJ6" si="53">CG6*AT6</f>
        <v>1.7094017094017104</v>
      </c>
      <c r="CK6" s="59">
        <f t="shared" ref="CK6" si="54">CH6*AT6</f>
        <v>1.7094017094017104</v>
      </c>
      <c r="CL6" s="59">
        <f t="shared" ref="CL6" si="55">CI6+BZ6</f>
        <v>54.352846146744135</v>
      </c>
      <c r="CM6" s="59">
        <f t="shared" ref="CM6" si="56">CJ6+CA6</f>
        <v>50.716113040703199</v>
      </c>
      <c r="CN6" s="59">
        <f t="shared" ref="CN6" si="57">CK6+CB6</f>
        <v>54.826351168399817</v>
      </c>
      <c r="CO6" s="59">
        <f t="shared" ref="CO6" si="58">0.3333*(BZ6+CI6)+0.3333*(CA6+CJ6)+0.3333*(CB6+CK6)</f>
        <v>53.293106941603853</v>
      </c>
      <c r="CP6" s="59">
        <f t="shared" ref="CP6" si="59">CO6/BO6</f>
        <v>1.0806981230355104</v>
      </c>
      <c r="CQ6" s="64">
        <f t="shared" ref="CQ6" si="60">IFERROR((CP6-BT6)*100,"SetPointError&gt;10%")</f>
        <v>45.184977038902375</v>
      </c>
    </row>
    <row r="7" spans="1:95" s="18" customFormat="1">
      <c r="A7"/>
      <c r="B7"/>
      <c r="C7" s="1"/>
      <c r="D7" s="38" t="s">
        <v>75</v>
      </c>
      <c r="E7" s="38">
        <v>4</v>
      </c>
      <c r="F7" s="38">
        <v>1800</v>
      </c>
      <c r="G7" s="38" t="s">
        <v>571</v>
      </c>
      <c r="H7" s="62">
        <v>50</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f t="shared" si="1"/>
        <v>87.457627118644069</v>
      </c>
      <c r="T7" s="102">
        <f t="shared" ref="T7:T17" si="61">IF(ABS(R7-S7)/S7&gt;10%,"SetPointError&gt;10%",ABS(R7-S7)/S7)</f>
        <v>5.1937984496124016E-2</v>
      </c>
      <c r="U7" s="62">
        <v>100</v>
      </c>
      <c r="V7" s="59">
        <f t="shared" ref="V7:V17" si="62">(0.8*(S7^2/$K7^2)+0.2)*$L7</f>
        <v>106.10744039069232</v>
      </c>
      <c r="W7" s="102">
        <f t="shared" ref="W7:W17" si="63">IF(ABS(U7-V7)/V7&gt;10%,"SetPointError&gt;10%",ABS(U7-V7)/V7)</f>
        <v>5.7559021009313302E-2</v>
      </c>
      <c r="X7" s="62">
        <v>10</v>
      </c>
      <c r="Y7" s="62">
        <v>170</v>
      </c>
      <c r="Z7" s="59">
        <f t="shared" si="5"/>
        <v>174.91525423728814</v>
      </c>
      <c r="AA7" s="102">
        <f t="shared" ref="AA7:AA17" si="64">IF(ABS(Y7-Z7)/Z7&gt;10%,"SetPointError&gt;10%",ABS(Y7-Z7)/Z7)</f>
        <v>2.8100775193798465E-2</v>
      </c>
      <c r="AB7" s="62">
        <v>175</v>
      </c>
      <c r="AC7" s="59">
        <f t="shared" ref="AC7:AC17" si="65">(0.8*(Z7^2/$K7^2)+0.2)*$L7</f>
        <v>169.77190462510771</v>
      </c>
      <c r="AD7" s="102">
        <f t="shared" ref="AD7:AD17" si="66">IF(ABS(AB7-AC7)/AC7&gt;10%,"SetPointError&gt;10%",ABS(AB7-AC7)/AC7)</f>
        <v>3.0794820771063575E-2</v>
      </c>
      <c r="AE7" s="62">
        <v>20</v>
      </c>
      <c r="AF7" s="62">
        <v>255</v>
      </c>
      <c r="AG7" s="59">
        <f t="shared" si="9"/>
        <v>262.37288135593224</v>
      </c>
      <c r="AH7" s="102">
        <f t="shared" ref="AH7:AH17" si="67">IF(ABS(AF7-AG7)/AG7&gt;10%,"SetPointError&gt;10%",ABS(AF7-AG7)/AG7)</f>
        <v>2.8100775193798572E-2</v>
      </c>
      <c r="AI7" s="62">
        <v>280</v>
      </c>
      <c r="AJ7" s="59">
        <f t="shared" ref="AJ7:AJ17" si="68">(0.8*(AG7^2/$K7^2)+0.2)*$L7</f>
        <v>275.87934501580008</v>
      </c>
      <c r="AK7" s="102">
        <f t="shared" ref="AK7:AK17" si="69">IF(ABS(AI7-AJ7)/AJ7&gt;10%,"SetPointError&gt;10%",ABS(AI7-AJ7)/AJ7)</f>
        <v>1.4936438913047004E-2</v>
      </c>
      <c r="AL7" s="65">
        <v>42</v>
      </c>
      <c r="AM7" s="23"/>
      <c r="AN7" s="23"/>
      <c r="AP7" s="72" t="str">
        <f t="shared" ref="AP7:AP17" si="70">D7&amp;-F7</f>
        <v>RSV-1800</v>
      </c>
      <c r="AQ7" s="59">
        <f t="shared" ref="AQ7:AQ17" si="71">((F7*SQRT(K7)/(L7/J7)^0.75))</f>
        <v>1870.8064374574242</v>
      </c>
      <c r="AR7" s="63" t="str">
        <f t="shared" ref="AR7:AR17" si="72">D7&amp;-H7&amp;-F7</f>
        <v>RSV-50-1800</v>
      </c>
      <c r="AS7" s="39">
        <f>VLOOKUP(AR7,Lookup!$U$28:$V$227,2,FALSE)</f>
        <v>94.5</v>
      </c>
      <c r="AT7" s="63">
        <f t="shared" ref="AT7:AT17" si="73">H7/(AS7/100)-H7</f>
        <v>2.9100529100529116</v>
      </c>
      <c r="AU7" s="73">
        <f>VLOOKUP(AP7,Lookup!$N$27:$P$36,3,FALSE)</f>
        <v>129.63</v>
      </c>
      <c r="AV7" s="76">
        <f t="shared" ref="AV7:AV17" si="74">-0.85*(LN(K7))^2-0.38*LN(AQ7)*LN(K7)-11.48*(LN(AQ7))^2+17.8*LN(K7)+179.8*LN(AQ7)-(AU7+555.6)</f>
        <v>76.095633243152406</v>
      </c>
      <c r="AW7" s="59">
        <f t="shared" ref="AW7:AW17" si="75">K7*L7/3956</f>
        <v>37.532477072610398</v>
      </c>
      <c r="AX7" s="59">
        <f t="shared" ref="AX7:AX17" si="76">N7*O7/3956</f>
        <v>33.087843981004497</v>
      </c>
      <c r="AY7" s="59">
        <f t="shared" ref="AY7:AY17" si="77">P7*Q7/3956</f>
        <v>37.302014494094372</v>
      </c>
      <c r="AZ7" s="59">
        <f t="shared" ref="AZ7:AZ17" si="78">AW7/(AV7/100)</f>
        <v>49.32277382156856</v>
      </c>
      <c r="BA7" s="59">
        <f t="shared" ref="BA7:BA17" si="79">AX7/(AV7/100*0.947)</f>
        <v>45.915440461150567</v>
      </c>
      <c r="BB7" s="59">
        <f t="shared" ref="BB7:BB17" si="80">AY7/(AV7/100*0.985)</f>
        <v>49.766410846769247</v>
      </c>
      <c r="BC7" s="59">
        <f t="shared" ref="BC7:BC17" si="81">IF((AZ7/H7)&gt;=1,1,(AZ7/H7))</f>
        <v>0.98645547643137121</v>
      </c>
      <c r="BD7" s="59">
        <f t="shared" ref="BD7:BD17" si="82">IF((BA7/H7)&gt;=1,1,(BA7/H7))</f>
        <v>0.91830880922301139</v>
      </c>
      <c r="BE7" s="59">
        <f t="shared" ref="BE7:BE17" si="83">IF((BB7/H7)&gt;=1,1,(BB7/H7))</f>
        <v>0.99532821693538498</v>
      </c>
      <c r="BF7" s="59">
        <f t="shared" ref="BF7:BF17" si="84">-0.4508*BC7^3+1.2399*BC7^2+-0.4301*BC7+0.641</f>
        <v>0.9905358852744659</v>
      </c>
      <c r="BG7" s="59">
        <f t="shared" ref="BG7:BG17" si="85">-0.4508*BD7^3+1.2399*BD7^2+-0.4301*BD7+0.641</f>
        <v>0.94253172856132794</v>
      </c>
      <c r="BH7" s="59">
        <f t="shared" ref="BH7:BH17" si="86">-0.4508*BE7^3+1.2399*BE7^2+-0.4301*BE7+0.641</f>
        <v>0.99673995625937306</v>
      </c>
      <c r="BI7" s="59">
        <f t="shared" ref="BI7:BI17" si="87">BF7*AT7</f>
        <v>2.8825118354547965</v>
      </c>
      <c r="BJ7" s="59">
        <f t="shared" ref="BJ7:BJ17" si="88">BG7*AT7</f>
        <v>2.7428171995170931</v>
      </c>
      <c r="BK7" s="59">
        <f t="shared" ref="BK7:BK17" si="89">BH7*AT7</f>
        <v>2.9005660102786002</v>
      </c>
      <c r="BL7" s="59">
        <f t="shared" ref="BL7:BL17" si="90">BI7+AZ7</f>
        <v>52.20528565702336</v>
      </c>
      <c r="BM7" s="59">
        <f t="shared" ref="BM7:BM17" si="91">BJ7+BA7</f>
        <v>48.658257660667658</v>
      </c>
      <c r="BN7" s="59">
        <f t="shared" ref="BN7:BN17" si="92">BK7+BB7</f>
        <v>52.66697685704785</v>
      </c>
      <c r="BO7" s="77">
        <f t="shared" ref="BO7:BO17" si="93">0.3333*(BL7)+0.3333*(BM7)+0.3333*(BN7)</f>
        <v>51.17172237424046</v>
      </c>
      <c r="BP7" s="76">
        <f t="shared" ref="BP7:BP17" si="94">IF(T7&gt;10%,"SetPointError&gt;10%",IF(W7&gt;10%,"SetPointError&gt;10%",IF(AA7&gt;10%,"SetPointError&gt;10%",IF(AD7&gt;10%,"SetPointError&gt;10%",IF(AH7&gt;10%,"SetPointError&gt;10%",IF(AK7&gt;10%,"SetPointError&gt;10%",(V7/U7)*(S7/R7)*X7))))))</f>
        <v>10.086853213264044</v>
      </c>
      <c r="BQ7" s="59">
        <f t="shared" ref="BQ7:BQ17" si="95">IF($T7&gt;10%,"SetPointError&gt;10%",IF($W7&gt;10%,"SetPointError&gt;10%",IF($AA7&gt;10%,"SetPointError&gt;10%",IF($AD7&gt;10%,"SetPointError&gt;10%",IF($AH7&gt;10%,"SetPointError&gt;10%",IF($AK7&gt;10%,"SetPointError&gt;10%",(AC7/AB7)*(Z7/Y7)*AE7))))))</f>
        <v>19.963493015024774</v>
      </c>
      <c r="BR7" s="59">
        <f t="shared" ref="BR7:BR17" si="96">IF($T7&gt;10%,"SetPointError&gt;10%",IF($W7&gt;10%,"SetPointError&gt;10%",IF($AA7&gt;10%,"SetPointError&gt;10%",IF($AD7&gt;10%,"SetPointError&gt;10%",IF($AH7&gt;10%,"SetPointError&gt;10%",IF($AK7&gt;10%,"SetPointError&gt;10%",(AJ7/AI7)*(AG7/AF7)*AL7))))))</f>
        <v>42.578387446107527</v>
      </c>
      <c r="BS7" s="59">
        <f t="shared" ref="BS7:BS17" si="97">IFERROR(0.25*(M7)+0.25*BR7+0.25*BQ7+0.25*BP7,"SetPointError&gt;10%")</f>
        <v>31.010771457164289</v>
      </c>
      <c r="BT7" s="77">
        <f t="shared" ref="BT7:BT17" si="98">IFERROR(BS7/BO7,"SetPointError&gt;10%")</f>
        <v>0.60601382987208041</v>
      </c>
      <c r="BU7" s="58">
        <f>VLOOKUP(AP7,Lookup!$N$27:$P$36,2,FALSE)</f>
        <v>129.63</v>
      </c>
      <c r="BV7" s="59">
        <f t="shared" ref="BV7:BV17" si="99">-0.85*(LN(K7))^2-0.38*LN(AQ7)*LN(K7)-11.48*(LN(AQ7))^2+17.8*LN(K7)+179.8*LN(AQ7)-(BU7+555.6)</f>
        <v>76.095633243152406</v>
      </c>
      <c r="BW7" s="59">
        <f t="shared" ref="BW7:BW17" si="100">AW7</f>
        <v>37.532477072610398</v>
      </c>
      <c r="BX7" s="59">
        <f t="shared" ref="BX7:BX17" si="101">AX7</f>
        <v>33.087843981004497</v>
      </c>
      <c r="BY7" s="59">
        <f t="shared" ref="BY7:BY17" si="102">AY7</f>
        <v>37.302014494094372</v>
      </c>
      <c r="BZ7" s="59">
        <f t="shared" ref="BZ7:BZ17" si="103">AW7/(BV7/100)</f>
        <v>49.32277382156856</v>
      </c>
      <c r="CA7" s="59">
        <f t="shared" ref="CA7:CA17" si="104">AX7/(BV7/100*0.947)</f>
        <v>45.915440461150567</v>
      </c>
      <c r="CB7" s="59">
        <f t="shared" ref="CB7:CB17" si="105">AY7/(BV7/100*0.985)</f>
        <v>49.766410846769247</v>
      </c>
      <c r="CC7" s="59">
        <f t="shared" ref="CC7:CC17" si="106">IF((BZ7/$H7)&gt;=1,1,(BZ7/$H7))</f>
        <v>0.98645547643137121</v>
      </c>
      <c r="CD7" s="59">
        <f t="shared" ref="CD7:CD17" si="107">IF((CA7/$H7)&gt;=1,1,(CA7/$H7))</f>
        <v>0.91830880922301139</v>
      </c>
      <c r="CE7" s="59">
        <f t="shared" ref="CE7:CE17" si="108">IF((CB7/$H7)&gt;=1,1,(CB7/$H7))</f>
        <v>0.99532821693538498</v>
      </c>
      <c r="CF7" s="59">
        <f t="shared" ref="CF7:CF17" si="109">-0.4508*CC7^3+1.2399*CC7^2+-0.4301*CC7+0.641</f>
        <v>0.9905358852744659</v>
      </c>
      <c r="CG7" s="59">
        <f t="shared" ref="CG7:CG17" si="110">-0.4508*CD7^3+1.2399*CD7^2+-0.4301*CD7+0.641</f>
        <v>0.94253172856132794</v>
      </c>
      <c r="CH7" s="59">
        <f t="shared" ref="CH7:CH17" si="111">-0.4508*CE7^3+1.2399*CE7^2+-0.4301*CE7+0.641</f>
        <v>0.99673995625937306</v>
      </c>
      <c r="CI7" s="59">
        <f t="shared" ref="CI7:CI17" si="112">CF7*AT7</f>
        <v>2.8825118354547965</v>
      </c>
      <c r="CJ7" s="59">
        <f t="shared" ref="CJ7:CJ17" si="113">CG7*AT7</f>
        <v>2.7428171995170931</v>
      </c>
      <c r="CK7" s="59">
        <f t="shared" ref="CK7:CK17" si="114">CH7*AT7</f>
        <v>2.9005660102786002</v>
      </c>
      <c r="CL7" s="59">
        <f t="shared" ref="CL7:CL17" si="115">CI7+BZ7</f>
        <v>52.20528565702336</v>
      </c>
      <c r="CM7" s="59">
        <f t="shared" ref="CM7:CM17" si="116">CJ7+CA7</f>
        <v>48.658257660667658</v>
      </c>
      <c r="CN7" s="59">
        <f t="shared" ref="CN7:CN17" si="117">CK7+CB7</f>
        <v>52.66697685704785</v>
      </c>
      <c r="CO7" s="59">
        <f t="shared" ref="CO7:CO17" si="118">0.3333*(BZ7+CI7)+0.3333*(CA7+CJ7)+0.3333*(CB7+CK7)</f>
        <v>51.17172237424046</v>
      </c>
      <c r="CP7" s="59">
        <f t="shared" ref="CP7:CP17" si="119">CO7/BO7</f>
        <v>1</v>
      </c>
      <c r="CQ7" s="64">
        <f t="shared" ref="CQ7:CQ17" si="120">IFERROR((CP7-BT7)*100,"SetPointError&gt;10%")</f>
        <v>39.398617012791959</v>
      </c>
    </row>
    <row r="8" spans="1:95" s="16" customFormat="1">
      <c r="D8" s="38" t="s">
        <v>74</v>
      </c>
      <c r="E8" s="38">
        <v>4</v>
      </c>
      <c r="F8" s="38">
        <v>3600</v>
      </c>
      <c r="G8" s="38" t="s">
        <v>571</v>
      </c>
      <c r="H8" s="62">
        <v>75</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f t="shared" si="1"/>
        <v>87.457627118644069</v>
      </c>
      <c r="T8" s="102">
        <f t="shared" si="61"/>
        <v>5.1937984496124016E-2</v>
      </c>
      <c r="U8" s="62">
        <v>100</v>
      </c>
      <c r="V8" s="59">
        <f t="shared" si="62"/>
        <v>106.10744039069232</v>
      </c>
      <c r="W8" s="102">
        <f t="shared" si="63"/>
        <v>5.7559021009313302E-2</v>
      </c>
      <c r="X8" s="62">
        <v>10</v>
      </c>
      <c r="Y8" s="62">
        <v>170</v>
      </c>
      <c r="Z8" s="59">
        <f t="shared" si="5"/>
        <v>174.91525423728814</v>
      </c>
      <c r="AA8" s="102">
        <f t="shared" si="64"/>
        <v>2.8100775193798465E-2</v>
      </c>
      <c r="AB8" s="62">
        <v>175</v>
      </c>
      <c r="AC8" s="59">
        <f t="shared" si="65"/>
        <v>169.77190462510771</v>
      </c>
      <c r="AD8" s="102">
        <f t="shared" si="66"/>
        <v>3.0794820771063575E-2</v>
      </c>
      <c r="AE8" s="62">
        <v>20</v>
      </c>
      <c r="AF8" s="62">
        <v>255</v>
      </c>
      <c r="AG8" s="59">
        <f t="shared" si="9"/>
        <v>262.37288135593224</v>
      </c>
      <c r="AH8" s="102">
        <f t="shared" si="67"/>
        <v>2.8100775193798572E-2</v>
      </c>
      <c r="AI8" s="62">
        <v>280</v>
      </c>
      <c r="AJ8" s="59">
        <f t="shared" si="68"/>
        <v>275.87934501580008</v>
      </c>
      <c r="AK8" s="102">
        <f t="shared" si="69"/>
        <v>1.4936438913047004E-2</v>
      </c>
      <c r="AL8" s="65">
        <v>42</v>
      </c>
      <c r="AM8" s="23"/>
      <c r="AN8" s="23"/>
      <c r="AP8" s="72" t="str">
        <f t="shared" si="70"/>
        <v>IL-3600</v>
      </c>
      <c r="AQ8" s="59">
        <f t="shared" si="71"/>
        <v>3741.6128749148484</v>
      </c>
      <c r="AR8" s="63" t="str">
        <f t="shared" si="72"/>
        <v>IL-75-3600</v>
      </c>
      <c r="AS8" s="39">
        <f>VLOOKUP(AR8,Lookup!$U$28:$V$227,2,FALSE)</f>
        <v>93.6</v>
      </c>
      <c r="AT8" s="63">
        <f t="shared" si="73"/>
        <v>5.1282051282051384</v>
      </c>
      <c r="AU8" s="73">
        <f>VLOOKUP(AP8,Lookup!$N$27:$P$36,3,FALSE)</f>
        <v>133.84</v>
      </c>
      <c r="AV8" s="76">
        <f t="shared" si="74"/>
        <v>69.552037427420942</v>
      </c>
      <c r="AW8" s="59">
        <f t="shared" si="75"/>
        <v>37.532477072610398</v>
      </c>
      <c r="AX8" s="59">
        <f t="shared" si="76"/>
        <v>33.087843981004497</v>
      </c>
      <c r="AY8" s="59">
        <f t="shared" si="77"/>
        <v>37.302014494094372</v>
      </c>
      <c r="AZ8" s="59">
        <f t="shared" si="78"/>
        <v>53.963159759016911</v>
      </c>
      <c r="BA8" s="59">
        <f t="shared" si="79"/>
        <v>50.235257610900931</v>
      </c>
      <c r="BB8" s="59">
        <f t="shared" si="80"/>
        <v>54.448535049395467</v>
      </c>
      <c r="BC8" s="59">
        <f t="shared" si="81"/>
        <v>0.71950879678689217</v>
      </c>
      <c r="BD8" s="59">
        <f t="shared" si="82"/>
        <v>0.66980343481201243</v>
      </c>
      <c r="BE8" s="59">
        <f t="shared" si="83"/>
        <v>0.72598046732527288</v>
      </c>
      <c r="BF8" s="59">
        <f t="shared" si="84"/>
        <v>0.80551064544551287</v>
      </c>
      <c r="BG8" s="59">
        <f t="shared" si="85"/>
        <v>0.7737174520350345</v>
      </c>
      <c r="BH8" s="59">
        <f t="shared" si="86"/>
        <v>0.80975423644098754</v>
      </c>
      <c r="BI8" s="59">
        <f t="shared" si="87"/>
        <v>4.1308238227975105</v>
      </c>
      <c r="BJ8" s="59">
        <f t="shared" si="88"/>
        <v>3.9677818053078773</v>
      </c>
      <c r="BK8" s="59">
        <f t="shared" si="89"/>
        <v>4.1525858279025085</v>
      </c>
      <c r="BL8" s="59">
        <f t="shared" si="90"/>
        <v>58.09398358181442</v>
      </c>
      <c r="BM8" s="59">
        <f t="shared" si="91"/>
        <v>54.20303941620881</v>
      </c>
      <c r="BN8" s="59">
        <f t="shared" si="92"/>
        <v>58.601120877297973</v>
      </c>
      <c r="BO8" s="77">
        <f t="shared" si="93"/>
        <v>56.960351353644555</v>
      </c>
      <c r="BP8" s="76">
        <f t="shared" si="94"/>
        <v>10.086853213264044</v>
      </c>
      <c r="BQ8" s="59">
        <f t="shared" si="95"/>
        <v>19.963493015024774</v>
      </c>
      <c r="BR8" s="59">
        <f t="shared" si="96"/>
        <v>42.578387446107527</v>
      </c>
      <c r="BS8" s="59">
        <f t="shared" si="97"/>
        <v>31.010771457164289</v>
      </c>
      <c r="BT8" s="77">
        <f t="shared" si="98"/>
        <v>0.54442732041153563</v>
      </c>
      <c r="BU8" s="58">
        <f>VLOOKUP(AP8,Lookup!$N$27:$P$36,2,FALSE)</f>
        <v>141.01</v>
      </c>
      <c r="BV8" s="59">
        <f t="shared" si="99"/>
        <v>62.382037427420983</v>
      </c>
      <c r="BW8" s="59">
        <f t="shared" si="100"/>
        <v>37.532477072610398</v>
      </c>
      <c r="BX8" s="59">
        <f t="shared" si="101"/>
        <v>33.087843981004497</v>
      </c>
      <c r="BY8" s="59">
        <f t="shared" si="102"/>
        <v>37.302014494094372</v>
      </c>
      <c r="BZ8" s="59">
        <f t="shared" si="103"/>
        <v>60.165519788092759</v>
      </c>
      <c r="CA8" s="59">
        <f t="shared" si="104"/>
        <v>56.00914400390662</v>
      </c>
      <c r="CB8" s="59">
        <f t="shared" si="105"/>
        <v>60.706682625264143</v>
      </c>
      <c r="CC8" s="59">
        <f t="shared" si="106"/>
        <v>0.80220693050790348</v>
      </c>
      <c r="CD8" s="59">
        <f t="shared" si="107"/>
        <v>0.74678858671875492</v>
      </c>
      <c r="CE8" s="59">
        <f t="shared" si="108"/>
        <v>0.80942243500352196</v>
      </c>
      <c r="CF8" s="59">
        <f t="shared" si="109"/>
        <v>0.86116598300590264</v>
      </c>
      <c r="CG8" s="59">
        <f t="shared" si="110"/>
        <v>0.823541325812291</v>
      </c>
      <c r="CH8" s="59">
        <f t="shared" si="111"/>
        <v>0.86614460616936839</v>
      </c>
      <c r="CI8" s="59">
        <f t="shared" si="112"/>
        <v>4.4162358102866888</v>
      </c>
      <c r="CJ8" s="59">
        <f t="shared" si="113"/>
        <v>4.2232888503194497</v>
      </c>
      <c r="CK8" s="59">
        <f t="shared" si="114"/>
        <v>4.4417672111249749</v>
      </c>
      <c r="CL8" s="59">
        <f t="shared" si="115"/>
        <v>64.581755598379445</v>
      </c>
      <c r="CM8" s="59">
        <f t="shared" si="116"/>
        <v>60.232432854226069</v>
      </c>
      <c r="CN8" s="59">
        <f t="shared" si="117"/>
        <v>65.148449836389119</v>
      </c>
      <c r="CO8" s="59">
        <f t="shared" si="118"/>
        <v>63.314547341721905</v>
      </c>
      <c r="CP8" s="59">
        <f t="shared" si="119"/>
        <v>1.1115547189768307</v>
      </c>
      <c r="CQ8" s="64">
        <f t="shared" si="120"/>
        <v>56.712739856529502</v>
      </c>
    </row>
    <row r="9" spans="1:95" ht="59.25" customHeight="1">
      <c r="D9" s="38" t="s">
        <v>77</v>
      </c>
      <c r="E9" s="38">
        <v>4</v>
      </c>
      <c r="F9" s="38">
        <v>1800</v>
      </c>
      <c r="G9" s="38" t="s">
        <v>571</v>
      </c>
      <c r="H9" s="62">
        <v>100</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f t="shared" si="1"/>
        <v>87.457627118644069</v>
      </c>
      <c r="T9" s="102">
        <f t="shared" si="61"/>
        <v>5.1937984496124016E-2</v>
      </c>
      <c r="U9" s="62">
        <v>100</v>
      </c>
      <c r="V9" s="59">
        <f t="shared" si="62"/>
        <v>106.10744039069232</v>
      </c>
      <c r="W9" s="102">
        <f t="shared" si="63"/>
        <v>5.7559021009313302E-2</v>
      </c>
      <c r="X9" s="62">
        <v>10</v>
      </c>
      <c r="Y9" s="62">
        <v>170</v>
      </c>
      <c r="Z9" s="59">
        <f t="shared" si="5"/>
        <v>174.91525423728814</v>
      </c>
      <c r="AA9" s="102">
        <f t="shared" si="64"/>
        <v>2.8100775193798465E-2</v>
      </c>
      <c r="AB9" s="62">
        <v>175</v>
      </c>
      <c r="AC9" s="59">
        <f t="shared" si="65"/>
        <v>169.77190462510771</v>
      </c>
      <c r="AD9" s="102">
        <f t="shared" si="66"/>
        <v>3.0794820771063575E-2</v>
      </c>
      <c r="AE9" s="62">
        <v>20</v>
      </c>
      <c r="AF9" s="62">
        <v>255</v>
      </c>
      <c r="AG9" s="59">
        <f t="shared" si="9"/>
        <v>262.37288135593224</v>
      </c>
      <c r="AH9" s="102">
        <f t="shared" si="67"/>
        <v>2.8100775193798572E-2</v>
      </c>
      <c r="AI9" s="62">
        <v>280</v>
      </c>
      <c r="AJ9" s="59">
        <f t="shared" si="68"/>
        <v>275.87934501580008</v>
      </c>
      <c r="AK9" s="102">
        <f t="shared" si="69"/>
        <v>1.4936438913047004E-2</v>
      </c>
      <c r="AL9" s="65">
        <v>42</v>
      </c>
      <c r="AP9" s="72" t="str">
        <f t="shared" si="70"/>
        <v>ESCC-1800</v>
      </c>
      <c r="AQ9" s="59">
        <f t="shared" si="71"/>
        <v>1870.8064374574242</v>
      </c>
      <c r="AR9" s="63" t="str">
        <f t="shared" si="72"/>
        <v>ESCC-100-1800</v>
      </c>
      <c r="AS9" s="39">
        <f>VLOOKUP(AR9,Lookup!$U$28:$V$227,2,FALSE)</f>
        <v>95.4</v>
      </c>
      <c r="AT9" s="63">
        <f t="shared" si="73"/>
        <v>4.8218029350104814</v>
      </c>
      <c r="AU9" s="73">
        <f>VLOOKUP(AP9,Lookup!$N$27:$P$36,3,FALSE)</f>
        <v>128.47</v>
      </c>
      <c r="AV9" s="76">
        <f t="shared" si="74"/>
        <v>77.255633243152374</v>
      </c>
      <c r="AW9" s="59">
        <f t="shared" si="75"/>
        <v>37.532477072610398</v>
      </c>
      <c r="AX9" s="59">
        <f t="shared" si="76"/>
        <v>33.087843981004497</v>
      </c>
      <c r="AY9" s="59">
        <f t="shared" si="77"/>
        <v>37.302014494094372</v>
      </c>
      <c r="AZ9" s="59">
        <f t="shared" si="78"/>
        <v>48.582188116278395</v>
      </c>
      <c r="BA9" s="59">
        <f t="shared" si="79"/>
        <v>45.226016160306401</v>
      </c>
      <c r="BB9" s="59">
        <f t="shared" si="80"/>
        <v>49.019163893261585</v>
      </c>
      <c r="BC9" s="59">
        <f t="shared" si="81"/>
        <v>0.48582188116278396</v>
      </c>
      <c r="BD9" s="59">
        <f t="shared" si="82"/>
        <v>0.45226016160306398</v>
      </c>
      <c r="BE9" s="59">
        <f t="shared" si="83"/>
        <v>0.49019163893261586</v>
      </c>
      <c r="BF9" s="59">
        <f t="shared" si="84"/>
        <v>0.67300178059756344</v>
      </c>
      <c r="BG9" s="59">
        <f t="shared" si="85"/>
        <v>0.65838989109863411</v>
      </c>
      <c r="BH9" s="59">
        <f t="shared" si="86"/>
        <v>0.67500305162559537</v>
      </c>
      <c r="BI9" s="59">
        <f t="shared" si="87"/>
        <v>3.2450819609526116</v>
      </c>
      <c r="BJ9" s="59">
        <f t="shared" si="88"/>
        <v>3.1746263092806251</v>
      </c>
      <c r="BK9" s="59">
        <f t="shared" si="89"/>
        <v>3.2547316954693271</v>
      </c>
      <c r="BL9" s="59">
        <f t="shared" si="90"/>
        <v>51.827270077231006</v>
      </c>
      <c r="BM9" s="59">
        <f t="shared" si="91"/>
        <v>48.400642469587027</v>
      </c>
      <c r="BN9" s="59">
        <f t="shared" si="92"/>
        <v>52.273895588730909</v>
      </c>
      <c r="BO9" s="77">
        <f t="shared" si="93"/>
        <v>50.828852651578458</v>
      </c>
      <c r="BP9" s="76">
        <f t="shared" si="94"/>
        <v>10.086853213264044</v>
      </c>
      <c r="BQ9" s="59">
        <f t="shared" si="95"/>
        <v>19.963493015024774</v>
      </c>
      <c r="BR9" s="59">
        <f t="shared" si="96"/>
        <v>42.578387446107527</v>
      </c>
      <c r="BS9" s="59">
        <f t="shared" si="97"/>
        <v>31.010771457164289</v>
      </c>
      <c r="BT9" s="77">
        <f t="shared" si="98"/>
        <v>0.61010174024066366</v>
      </c>
      <c r="BU9" s="58">
        <f>VLOOKUP(AP9,Lookup!$N$27:$P$36,2,FALSE)</f>
        <v>134.43</v>
      </c>
      <c r="BV9" s="59">
        <f t="shared" si="99"/>
        <v>71.295633243152452</v>
      </c>
      <c r="BW9" s="59">
        <f t="shared" si="100"/>
        <v>37.532477072610398</v>
      </c>
      <c r="BX9" s="59">
        <f t="shared" si="101"/>
        <v>33.087843981004497</v>
      </c>
      <c r="BY9" s="59">
        <f t="shared" si="102"/>
        <v>37.302014494094372</v>
      </c>
      <c r="BZ9" s="59">
        <f t="shared" si="103"/>
        <v>52.643444437342424</v>
      </c>
      <c r="CA9" s="59">
        <f t="shared" si="104"/>
        <v>49.006711331301489</v>
      </c>
      <c r="CB9" s="59">
        <f t="shared" si="105"/>
        <v>53.116949458998107</v>
      </c>
      <c r="CC9" s="59">
        <f t="shared" si="106"/>
        <v>0.52643444437342424</v>
      </c>
      <c r="CD9" s="59">
        <f t="shared" si="107"/>
        <v>0.49006711331301489</v>
      </c>
      <c r="CE9" s="59">
        <f t="shared" si="108"/>
        <v>0.53116949458998108</v>
      </c>
      <c r="CF9" s="59">
        <f t="shared" si="109"/>
        <v>0.69242970249885138</v>
      </c>
      <c r="CG9" s="59">
        <f t="shared" si="110"/>
        <v>0.674945715037648</v>
      </c>
      <c r="CH9" s="59">
        <f t="shared" si="111"/>
        <v>0.69481165495237995</v>
      </c>
      <c r="CI9" s="59">
        <f t="shared" si="112"/>
        <v>3.3387595717973961</v>
      </c>
      <c r="CJ9" s="59">
        <f t="shared" si="113"/>
        <v>3.254455229741279</v>
      </c>
      <c r="CK9" s="59">
        <f t="shared" si="114"/>
        <v>3.3502448771288758</v>
      </c>
      <c r="CL9" s="59">
        <f t="shared" si="115"/>
        <v>55.982204009139821</v>
      </c>
      <c r="CM9" s="59">
        <f t="shared" si="116"/>
        <v>52.261166561042771</v>
      </c>
      <c r="CN9" s="59">
        <f t="shared" si="117"/>
        <v>56.46719433612698</v>
      </c>
      <c r="CO9" s="59">
        <f t="shared" si="118"/>
        <v>54.898031283272985</v>
      </c>
      <c r="CP9" s="59">
        <f t="shared" si="119"/>
        <v>1.0800564722479165</v>
      </c>
      <c r="CQ9" s="64">
        <f t="shared" si="120"/>
        <v>46.995473200725279</v>
      </c>
    </row>
    <row r="10" spans="1:95" ht="30.75" customHeight="1">
      <c r="D10" s="38" t="s">
        <v>78</v>
      </c>
      <c r="E10" s="38">
        <v>4</v>
      </c>
      <c r="F10" s="38">
        <v>3600</v>
      </c>
      <c r="G10" s="38" t="s">
        <v>571</v>
      </c>
      <c r="H10" s="62">
        <v>125</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f t="shared" si="1"/>
        <v>87.457627118644069</v>
      </c>
      <c r="T10" s="102">
        <f t="shared" si="61"/>
        <v>5.1937984496124016E-2</v>
      </c>
      <c r="U10" s="62">
        <v>100</v>
      </c>
      <c r="V10" s="59">
        <f t="shared" si="62"/>
        <v>106.10744039069232</v>
      </c>
      <c r="W10" s="102">
        <f t="shared" si="63"/>
        <v>5.7559021009313302E-2</v>
      </c>
      <c r="X10" s="62">
        <v>10</v>
      </c>
      <c r="Y10" s="62">
        <v>170</v>
      </c>
      <c r="Z10" s="59">
        <f t="shared" si="5"/>
        <v>174.91525423728814</v>
      </c>
      <c r="AA10" s="102">
        <f t="shared" si="64"/>
        <v>2.8100775193798465E-2</v>
      </c>
      <c r="AB10" s="62">
        <v>175</v>
      </c>
      <c r="AC10" s="59">
        <f t="shared" si="65"/>
        <v>169.77190462510771</v>
      </c>
      <c r="AD10" s="102">
        <f t="shared" si="66"/>
        <v>3.0794820771063575E-2</v>
      </c>
      <c r="AE10" s="62">
        <v>20</v>
      </c>
      <c r="AF10" s="62">
        <v>255</v>
      </c>
      <c r="AG10" s="59">
        <f t="shared" si="9"/>
        <v>262.37288135593224</v>
      </c>
      <c r="AH10" s="102">
        <f t="shared" si="67"/>
        <v>2.8100775193798572E-2</v>
      </c>
      <c r="AI10" s="62">
        <v>280</v>
      </c>
      <c r="AJ10" s="59">
        <f t="shared" si="68"/>
        <v>275.87934501580008</v>
      </c>
      <c r="AK10" s="102">
        <f t="shared" si="69"/>
        <v>1.4936438913047004E-2</v>
      </c>
      <c r="AL10" s="65">
        <v>42</v>
      </c>
      <c r="AP10" s="72" t="str">
        <f t="shared" si="70"/>
        <v>ESFM-3600</v>
      </c>
      <c r="AQ10" s="59">
        <f t="shared" si="71"/>
        <v>3741.6128749148484</v>
      </c>
      <c r="AR10" s="63" t="str">
        <f t="shared" si="72"/>
        <v>ESFM-125-3600</v>
      </c>
      <c r="AS10" s="39">
        <f>VLOOKUP(AR10,Lookup!$U$28:$V$227,2,FALSE)</f>
        <v>94.1</v>
      </c>
      <c r="AT10" s="63">
        <f t="shared" si="73"/>
        <v>7.8374070138150955</v>
      </c>
      <c r="AU10" s="73">
        <f>VLOOKUP(AP10,Lookup!$N$27:$P$36,3,FALSE)</f>
        <v>130.99</v>
      </c>
      <c r="AV10" s="76">
        <f t="shared" si="74"/>
        <v>72.402037427420964</v>
      </c>
      <c r="AW10" s="59">
        <f t="shared" si="75"/>
        <v>37.532477072610398</v>
      </c>
      <c r="AX10" s="59">
        <f t="shared" si="76"/>
        <v>33.087843981004497</v>
      </c>
      <c r="AY10" s="59">
        <f t="shared" si="77"/>
        <v>37.302014494094372</v>
      </c>
      <c r="AZ10" s="59">
        <f t="shared" si="78"/>
        <v>51.838979131263578</v>
      </c>
      <c r="BA10" s="59">
        <f t="shared" si="79"/>
        <v>48.257820382914225</v>
      </c>
      <c r="BB10" s="59">
        <f t="shared" si="80"/>
        <v>52.305248335311816</v>
      </c>
      <c r="BC10" s="59">
        <f t="shared" si="81"/>
        <v>0.41471183305010861</v>
      </c>
      <c r="BD10" s="59">
        <f t="shared" si="82"/>
        <v>0.38606256306331382</v>
      </c>
      <c r="BE10" s="59">
        <f t="shared" si="83"/>
        <v>0.41844198668249455</v>
      </c>
      <c r="BF10" s="59">
        <f t="shared" si="84"/>
        <v>0.64372463852192496</v>
      </c>
      <c r="BG10" s="59">
        <f t="shared" si="85"/>
        <v>0.63381529861649855</v>
      </c>
      <c r="BH10" s="59">
        <f t="shared" si="86"/>
        <v>0.64509821288064162</v>
      </c>
      <c r="BI10" s="59">
        <f t="shared" si="87"/>
        <v>5.0451319969173216</v>
      </c>
      <c r="BJ10" s="59">
        <f t="shared" si="88"/>
        <v>4.9674684668402547</v>
      </c>
      <c r="BK10" s="59">
        <f t="shared" si="89"/>
        <v>5.0558972582303241</v>
      </c>
      <c r="BL10" s="59">
        <f t="shared" si="90"/>
        <v>56.884111128180898</v>
      </c>
      <c r="BM10" s="59">
        <f t="shared" si="91"/>
        <v>53.225288849754477</v>
      </c>
      <c r="BN10" s="59">
        <f t="shared" si="92"/>
        <v>57.36114559354214</v>
      </c>
      <c r="BO10" s="77">
        <f t="shared" si="93"/>
        <v>55.817932838973462</v>
      </c>
      <c r="BP10" s="76">
        <f t="shared" si="94"/>
        <v>10.086853213264044</v>
      </c>
      <c r="BQ10" s="59">
        <f t="shared" si="95"/>
        <v>19.963493015024774</v>
      </c>
      <c r="BR10" s="59">
        <f t="shared" si="96"/>
        <v>42.578387446107527</v>
      </c>
      <c r="BS10" s="59">
        <f t="shared" si="97"/>
        <v>31.010771457164289</v>
      </c>
      <c r="BT10" s="77">
        <f t="shared" si="98"/>
        <v>0.55557004496432727</v>
      </c>
      <c r="BU10" s="58">
        <f>VLOOKUP(AP10,Lookup!$N$27:$P$36,2,FALSE)</f>
        <v>136.59</v>
      </c>
      <c r="BV10" s="59">
        <f t="shared" si="99"/>
        <v>66.802037427420942</v>
      </c>
      <c r="BW10" s="59">
        <f t="shared" si="100"/>
        <v>37.532477072610398</v>
      </c>
      <c r="BX10" s="59">
        <f t="shared" si="101"/>
        <v>33.087843981004497</v>
      </c>
      <c r="BY10" s="59">
        <f t="shared" si="102"/>
        <v>37.302014494094372</v>
      </c>
      <c r="BZ10" s="59">
        <f t="shared" si="103"/>
        <v>56.184629268813353</v>
      </c>
      <c r="CA10" s="59">
        <f t="shared" si="104"/>
        <v>52.303262775864219</v>
      </c>
      <c r="CB10" s="59">
        <f t="shared" si="105"/>
        <v>56.689985716952116</v>
      </c>
      <c r="CC10" s="59">
        <f t="shared" si="106"/>
        <v>0.44947703415050683</v>
      </c>
      <c r="CD10" s="59">
        <f t="shared" si="107"/>
        <v>0.41842610220691373</v>
      </c>
      <c r="CE10" s="59">
        <f t="shared" si="108"/>
        <v>0.45351988573561691</v>
      </c>
      <c r="CF10" s="59">
        <f t="shared" si="109"/>
        <v>0.65724033746752142</v>
      </c>
      <c r="CG10" s="59">
        <f t="shared" si="110"/>
        <v>0.64509232379046322</v>
      </c>
      <c r="CH10" s="59">
        <f t="shared" si="111"/>
        <v>0.65891341554902039</v>
      </c>
      <c r="CI10" s="59">
        <f t="shared" si="112"/>
        <v>5.1510600306301528</v>
      </c>
      <c r="CJ10" s="59">
        <f t="shared" si="113"/>
        <v>5.055851103033655</v>
      </c>
      <c r="CK10" s="59">
        <f t="shared" si="114"/>
        <v>5.1641726245207531</v>
      </c>
      <c r="CL10" s="59">
        <f t="shared" si="115"/>
        <v>61.335689299443509</v>
      </c>
      <c r="CM10" s="59">
        <f t="shared" si="116"/>
        <v>57.359113878897872</v>
      </c>
      <c r="CN10" s="59">
        <f t="shared" si="117"/>
        <v>61.854158341472868</v>
      </c>
      <c r="CO10" s="59">
        <f t="shared" si="118"/>
        <v>60.176968874554092</v>
      </c>
      <c r="CP10" s="59">
        <f t="shared" si="119"/>
        <v>1.0780938278054082</v>
      </c>
      <c r="CQ10" s="64">
        <f t="shared" si="120"/>
        <v>52.25237828410809</v>
      </c>
    </row>
    <row r="11" spans="1:95">
      <c r="D11" s="38" t="s">
        <v>76</v>
      </c>
      <c r="E11" s="38">
        <v>4</v>
      </c>
      <c r="F11" s="38">
        <v>1800</v>
      </c>
      <c r="G11" s="38" t="s">
        <v>571</v>
      </c>
      <c r="H11" s="62">
        <v>150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f t="shared" si="1"/>
        <v>87.457627118644069</v>
      </c>
      <c r="T11" s="102">
        <f t="shared" si="61"/>
        <v>5.1937984496124016E-2</v>
      </c>
      <c r="U11" s="62">
        <v>100</v>
      </c>
      <c r="V11" s="59">
        <f t="shared" si="62"/>
        <v>106.10744039069232</v>
      </c>
      <c r="W11" s="102">
        <f t="shared" si="63"/>
        <v>5.7559021009313302E-2</v>
      </c>
      <c r="X11" s="62">
        <v>10</v>
      </c>
      <c r="Y11" s="62">
        <v>170</v>
      </c>
      <c r="Z11" s="59">
        <f t="shared" si="5"/>
        <v>174.91525423728814</v>
      </c>
      <c r="AA11" s="102">
        <f t="shared" si="64"/>
        <v>2.8100775193798465E-2</v>
      </c>
      <c r="AB11" s="62">
        <v>175</v>
      </c>
      <c r="AC11" s="59">
        <f t="shared" si="65"/>
        <v>169.77190462510771</v>
      </c>
      <c r="AD11" s="102">
        <f t="shared" si="66"/>
        <v>3.0794820771063575E-2</v>
      </c>
      <c r="AE11" s="62">
        <v>20</v>
      </c>
      <c r="AF11" s="62">
        <v>255</v>
      </c>
      <c r="AG11" s="59">
        <f t="shared" si="9"/>
        <v>262.37288135593224</v>
      </c>
      <c r="AH11" s="102">
        <f t="shared" si="67"/>
        <v>2.8100775193798572E-2</v>
      </c>
      <c r="AI11" s="62">
        <v>280</v>
      </c>
      <c r="AJ11" s="59">
        <f t="shared" si="68"/>
        <v>275.87934501580008</v>
      </c>
      <c r="AK11" s="102">
        <f t="shared" si="69"/>
        <v>1.4936438913047004E-2</v>
      </c>
      <c r="AL11" s="65">
        <v>42</v>
      </c>
      <c r="AP11" s="72" t="str">
        <f t="shared" si="70"/>
        <v>ST-1800</v>
      </c>
      <c r="AQ11" s="59">
        <f t="shared" si="71"/>
        <v>1870.8064374574242</v>
      </c>
      <c r="AR11" s="63" t="str">
        <f t="shared" si="72"/>
        <v>ST-150-1800</v>
      </c>
      <c r="AS11" s="39">
        <f>VLOOKUP(AR11,Lookup!$U$28:$V$227,2,FALSE)</f>
        <v>85.5</v>
      </c>
      <c r="AT11" s="63">
        <f t="shared" si="73"/>
        <v>25.438596491228083</v>
      </c>
      <c r="AU11" s="73">
        <f>VLOOKUP(AP11,Lookup!$N$27:$P$36,3,FALSE)</f>
        <v>138.78</v>
      </c>
      <c r="AV11" s="76">
        <f t="shared" si="74"/>
        <v>66.945633243152429</v>
      </c>
      <c r="AW11" s="59">
        <f t="shared" si="75"/>
        <v>37.532477072610398</v>
      </c>
      <c r="AX11" s="59">
        <f t="shared" si="76"/>
        <v>33.087843981004497</v>
      </c>
      <c r="AY11" s="59">
        <f t="shared" si="77"/>
        <v>37.302014494094372</v>
      </c>
      <c r="AZ11" s="59">
        <f t="shared" si="78"/>
        <v>56.064115393888564</v>
      </c>
      <c r="BA11" s="59">
        <f t="shared" si="79"/>
        <v>52.191074283204223</v>
      </c>
      <c r="BB11" s="59">
        <f t="shared" si="80"/>
        <v>56.568387871828079</v>
      </c>
      <c r="BC11" s="59">
        <f t="shared" si="81"/>
        <v>0.37376076929259044</v>
      </c>
      <c r="BD11" s="59">
        <f t="shared" si="82"/>
        <v>0.3479404952213615</v>
      </c>
      <c r="BE11" s="59">
        <f t="shared" si="83"/>
        <v>0.37712258581218722</v>
      </c>
      <c r="BF11" s="59">
        <f t="shared" si="84"/>
        <v>0.62991818734340976</v>
      </c>
      <c r="BG11" s="59">
        <f t="shared" si="85"/>
        <v>0.6224674384680926</v>
      </c>
      <c r="BH11" s="59">
        <f t="shared" si="86"/>
        <v>0.63096132367982194</v>
      </c>
      <c r="BI11" s="59">
        <f t="shared" si="87"/>
        <v>16.024234590314819</v>
      </c>
      <c r="BJ11" s="59">
        <f t="shared" si="88"/>
        <v>15.834697996118154</v>
      </c>
      <c r="BK11" s="59">
        <f t="shared" si="89"/>
        <v>16.050770514662144</v>
      </c>
      <c r="BL11" s="59">
        <f t="shared" si="90"/>
        <v>72.088349984203376</v>
      </c>
      <c r="BM11" s="59">
        <f t="shared" si="91"/>
        <v>68.025772279322382</v>
      </c>
      <c r="BN11" s="59">
        <f t="shared" si="92"/>
        <v>72.619158386490227</v>
      </c>
      <c r="BO11" s="77">
        <f t="shared" si="93"/>
        <v>70.904002440650316</v>
      </c>
      <c r="BP11" s="76">
        <f t="shared" si="94"/>
        <v>10.086853213264044</v>
      </c>
      <c r="BQ11" s="59">
        <f t="shared" si="95"/>
        <v>19.963493015024774</v>
      </c>
      <c r="BR11" s="59">
        <f t="shared" si="96"/>
        <v>42.578387446107527</v>
      </c>
      <c r="BS11" s="59">
        <f t="shared" si="97"/>
        <v>31.010771457164289</v>
      </c>
      <c r="BT11" s="77">
        <f t="shared" si="98"/>
        <v>0.43736277769540066</v>
      </c>
      <c r="BU11" s="58">
        <f>VLOOKUP(AP11,Lookup!$N$27:$P$36,2,FALSE)</f>
        <v>138.78</v>
      </c>
      <c r="BV11" s="59">
        <f t="shared" si="99"/>
        <v>66.945633243152429</v>
      </c>
      <c r="BW11" s="59">
        <f t="shared" si="100"/>
        <v>37.532477072610398</v>
      </c>
      <c r="BX11" s="59">
        <f t="shared" si="101"/>
        <v>33.087843981004497</v>
      </c>
      <c r="BY11" s="59">
        <f t="shared" si="102"/>
        <v>37.302014494094372</v>
      </c>
      <c r="BZ11" s="59">
        <f t="shared" si="103"/>
        <v>56.064115393888564</v>
      </c>
      <c r="CA11" s="59">
        <f t="shared" si="104"/>
        <v>52.191074283204223</v>
      </c>
      <c r="CB11" s="59">
        <f t="shared" si="105"/>
        <v>56.568387871828079</v>
      </c>
      <c r="CC11" s="59">
        <f t="shared" si="106"/>
        <v>0.37376076929259044</v>
      </c>
      <c r="CD11" s="59">
        <f t="shared" si="107"/>
        <v>0.3479404952213615</v>
      </c>
      <c r="CE11" s="59">
        <f t="shared" si="108"/>
        <v>0.37712258581218722</v>
      </c>
      <c r="CF11" s="59">
        <f t="shared" si="109"/>
        <v>0.62991818734340976</v>
      </c>
      <c r="CG11" s="59">
        <f t="shared" si="110"/>
        <v>0.6224674384680926</v>
      </c>
      <c r="CH11" s="59">
        <f t="shared" si="111"/>
        <v>0.63096132367982194</v>
      </c>
      <c r="CI11" s="59">
        <f t="shared" si="112"/>
        <v>16.024234590314819</v>
      </c>
      <c r="CJ11" s="59">
        <f t="shared" si="113"/>
        <v>15.834697996118154</v>
      </c>
      <c r="CK11" s="59">
        <f t="shared" si="114"/>
        <v>16.050770514662144</v>
      </c>
      <c r="CL11" s="59">
        <f t="shared" si="115"/>
        <v>72.088349984203376</v>
      </c>
      <c r="CM11" s="59">
        <f t="shared" si="116"/>
        <v>68.025772279322382</v>
      </c>
      <c r="CN11" s="59">
        <f t="shared" si="117"/>
        <v>72.619158386490227</v>
      </c>
      <c r="CO11" s="59">
        <f t="shared" si="118"/>
        <v>70.904002440650316</v>
      </c>
      <c r="CP11" s="59">
        <f t="shared" si="119"/>
        <v>1</v>
      </c>
      <c r="CQ11" s="64">
        <f t="shared" si="120"/>
        <v>56.263722230459933</v>
      </c>
    </row>
    <row r="12" spans="1:95" ht="61.5" customHeight="1">
      <c r="D12" s="38" t="s">
        <v>75</v>
      </c>
      <c r="E12" s="38">
        <v>4</v>
      </c>
      <c r="F12" s="38">
        <v>3600</v>
      </c>
      <c r="G12" s="38" t="s">
        <v>571</v>
      </c>
      <c r="H12" s="62">
        <v>200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f t="shared" si="1"/>
        <v>87.457627118644069</v>
      </c>
      <c r="T12" s="102">
        <f t="shared" si="61"/>
        <v>5.1937984496124016E-2</v>
      </c>
      <c r="U12" s="62">
        <v>100</v>
      </c>
      <c r="V12" s="59">
        <f t="shared" si="62"/>
        <v>106.10744039069232</v>
      </c>
      <c r="W12" s="102">
        <f t="shared" si="63"/>
        <v>5.7559021009313302E-2</v>
      </c>
      <c r="X12" s="62">
        <v>10</v>
      </c>
      <c r="Y12" s="62">
        <v>170</v>
      </c>
      <c r="Z12" s="59">
        <f t="shared" si="5"/>
        <v>174.91525423728814</v>
      </c>
      <c r="AA12" s="102">
        <f t="shared" si="64"/>
        <v>2.8100775193798465E-2</v>
      </c>
      <c r="AB12" s="62">
        <v>175</v>
      </c>
      <c r="AC12" s="59">
        <f t="shared" si="65"/>
        <v>169.77190462510771</v>
      </c>
      <c r="AD12" s="102">
        <f t="shared" si="66"/>
        <v>3.0794820771063575E-2</v>
      </c>
      <c r="AE12" s="62">
        <v>20</v>
      </c>
      <c r="AF12" s="62">
        <v>255</v>
      </c>
      <c r="AG12" s="59">
        <f t="shared" si="9"/>
        <v>262.37288135593224</v>
      </c>
      <c r="AH12" s="102">
        <f t="shared" si="67"/>
        <v>2.8100775193798572E-2</v>
      </c>
      <c r="AI12" s="62">
        <v>280</v>
      </c>
      <c r="AJ12" s="59">
        <f t="shared" si="68"/>
        <v>275.87934501580008</v>
      </c>
      <c r="AK12" s="102">
        <f t="shared" si="69"/>
        <v>1.4936438913047004E-2</v>
      </c>
      <c r="AL12" s="65">
        <v>42</v>
      </c>
      <c r="AP12" s="72" t="str">
        <f t="shared" si="70"/>
        <v>RSV-3600</v>
      </c>
      <c r="AQ12" s="59">
        <f t="shared" si="71"/>
        <v>3741.6128749148484</v>
      </c>
      <c r="AR12" s="63" t="str">
        <f t="shared" si="72"/>
        <v>RSV-200-3600</v>
      </c>
      <c r="AS12" s="39">
        <f>VLOOKUP(AR12,Lookup!$U$28:$V$227,2,FALSE)</f>
        <v>95</v>
      </c>
      <c r="AT12" s="63">
        <f t="shared" si="73"/>
        <v>10.526315789473699</v>
      </c>
      <c r="AU12" s="73">
        <f>VLOOKUP(AP12,Lookup!$N$27:$P$36,3,FALSE)</f>
        <v>133.19999999999999</v>
      </c>
      <c r="AV12" s="76">
        <f t="shared" si="74"/>
        <v>70.192037427421042</v>
      </c>
      <c r="AW12" s="59">
        <f t="shared" si="75"/>
        <v>37.532477072610398</v>
      </c>
      <c r="AX12" s="59">
        <f t="shared" si="76"/>
        <v>33.087843981004497</v>
      </c>
      <c r="AY12" s="59">
        <f t="shared" si="77"/>
        <v>37.302014494094372</v>
      </c>
      <c r="AZ12" s="59">
        <f t="shared" si="78"/>
        <v>53.471132122955098</v>
      </c>
      <c r="BA12" s="59">
        <f t="shared" si="79"/>
        <v>49.777220402560516</v>
      </c>
      <c r="BB12" s="59">
        <f t="shared" si="80"/>
        <v>53.952081837481643</v>
      </c>
      <c r="BC12" s="59">
        <f t="shared" si="81"/>
        <v>0.2673556606147755</v>
      </c>
      <c r="BD12" s="59">
        <f t="shared" si="82"/>
        <v>0.24888610201280259</v>
      </c>
      <c r="BE12" s="59">
        <f t="shared" si="83"/>
        <v>0.26976040918740823</v>
      </c>
      <c r="BF12" s="59">
        <f t="shared" si="84"/>
        <v>0.60602226749164334</v>
      </c>
      <c r="BG12" s="59">
        <f t="shared" si="85"/>
        <v>0.60380879824278155</v>
      </c>
      <c r="BH12" s="59">
        <f t="shared" si="86"/>
        <v>0.60635491600716962</v>
      </c>
      <c r="BI12" s="59">
        <f t="shared" si="87"/>
        <v>6.3791817630699388</v>
      </c>
      <c r="BJ12" s="59">
        <f t="shared" si="88"/>
        <v>6.3558820867661305</v>
      </c>
      <c r="BK12" s="59">
        <f t="shared" si="89"/>
        <v>6.3826833263912679</v>
      </c>
      <c r="BL12" s="59">
        <f t="shared" si="90"/>
        <v>59.850313886025035</v>
      </c>
      <c r="BM12" s="59">
        <f t="shared" si="91"/>
        <v>56.133102489326646</v>
      </c>
      <c r="BN12" s="59">
        <f t="shared" si="92"/>
        <v>60.334765163872909</v>
      </c>
      <c r="BO12" s="77">
        <f t="shared" si="93"/>
        <v>58.766849907023555</v>
      </c>
      <c r="BP12" s="76">
        <f t="shared" si="94"/>
        <v>10.086853213264044</v>
      </c>
      <c r="BQ12" s="59">
        <f t="shared" si="95"/>
        <v>19.963493015024774</v>
      </c>
      <c r="BR12" s="59">
        <f t="shared" si="96"/>
        <v>42.578387446107527</v>
      </c>
      <c r="BS12" s="59">
        <f t="shared" si="97"/>
        <v>31.010771457164289</v>
      </c>
      <c r="BT12" s="77">
        <f t="shared" si="98"/>
        <v>0.52769157282085355</v>
      </c>
      <c r="BU12" s="58">
        <f>VLOOKUP(AP12,Lookup!$N$27:$P$36,2,FALSE)</f>
        <v>133.19999999999999</v>
      </c>
      <c r="BV12" s="59">
        <f t="shared" si="99"/>
        <v>70.192037427421042</v>
      </c>
      <c r="BW12" s="59">
        <f t="shared" si="100"/>
        <v>37.532477072610398</v>
      </c>
      <c r="BX12" s="59">
        <f t="shared" si="101"/>
        <v>33.087843981004497</v>
      </c>
      <c r="BY12" s="59">
        <f t="shared" si="102"/>
        <v>37.302014494094372</v>
      </c>
      <c r="BZ12" s="59">
        <f t="shared" si="103"/>
        <v>53.471132122955098</v>
      </c>
      <c r="CA12" s="59">
        <f t="shared" si="104"/>
        <v>49.777220402560516</v>
      </c>
      <c r="CB12" s="59">
        <f t="shared" si="105"/>
        <v>53.952081837481643</v>
      </c>
      <c r="CC12" s="59">
        <f t="shared" si="106"/>
        <v>0.2673556606147755</v>
      </c>
      <c r="CD12" s="59">
        <f t="shared" si="107"/>
        <v>0.24888610201280259</v>
      </c>
      <c r="CE12" s="59">
        <f t="shared" si="108"/>
        <v>0.26976040918740823</v>
      </c>
      <c r="CF12" s="59">
        <f t="shared" si="109"/>
        <v>0.60602226749164334</v>
      </c>
      <c r="CG12" s="59">
        <f t="shared" si="110"/>
        <v>0.60380879824278155</v>
      </c>
      <c r="CH12" s="59">
        <f t="shared" si="111"/>
        <v>0.60635491600716962</v>
      </c>
      <c r="CI12" s="59">
        <f t="shared" si="112"/>
        <v>6.3791817630699388</v>
      </c>
      <c r="CJ12" s="59">
        <f t="shared" si="113"/>
        <v>6.3558820867661305</v>
      </c>
      <c r="CK12" s="59">
        <f t="shared" si="114"/>
        <v>6.3826833263912679</v>
      </c>
      <c r="CL12" s="59">
        <f t="shared" si="115"/>
        <v>59.850313886025035</v>
      </c>
      <c r="CM12" s="59">
        <f t="shared" si="116"/>
        <v>56.133102489326646</v>
      </c>
      <c r="CN12" s="59">
        <f t="shared" si="117"/>
        <v>60.334765163872909</v>
      </c>
      <c r="CO12" s="59">
        <f t="shared" si="118"/>
        <v>58.766849907023555</v>
      </c>
      <c r="CP12" s="59">
        <f t="shared" si="119"/>
        <v>1</v>
      </c>
      <c r="CQ12" s="64">
        <f t="shared" si="120"/>
        <v>47.230842717914648</v>
      </c>
    </row>
    <row r="13" spans="1:95">
      <c r="D13" s="38" t="s">
        <v>74</v>
      </c>
      <c r="E13" s="38">
        <v>4</v>
      </c>
      <c r="F13" s="38">
        <v>3600</v>
      </c>
      <c r="G13" s="38" t="s">
        <v>571</v>
      </c>
      <c r="H13" s="62">
        <v>20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f t="shared" si="1"/>
        <v>87.457627118644069</v>
      </c>
      <c r="T13" s="102">
        <f t="shared" si="61"/>
        <v>5.1937984496124016E-2</v>
      </c>
      <c r="U13" s="62">
        <v>100</v>
      </c>
      <c r="V13" s="59">
        <f t="shared" si="62"/>
        <v>106.10744039069232</v>
      </c>
      <c r="W13" s="102">
        <f t="shared" si="63"/>
        <v>5.7559021009313302E-2</v>
      </c>
      <c r="X13" s="62">
        <v>10</v>
      </c>
      <c r="Y13" s="62">
        <v>170</v>
      </c>
      <c r="Z13" s="59">
        <f t="shared" si="5"/>
        <v>174.91525423728814</v>
      </c>
      <c r="AA13" s="102">
        <f t="shared" si="64"/>
        <v>2.8100775193798465E-2</v>
      </c>
      <c r="AB13" s="62">
        <v>175</v>
      </c>
      <c r="AC13" s="59">
        <f t="shared" si="65"/>
        <v>169.77190462510771</v>
      </c>
      <c r="AD13" s="102">
        <f t="shared" si="66"/>
        <v>3.0794820771063575E-2</v>
      </c>
      <c r="AE13" s="62">
        <v>20</v>
      </c>
      <c r="AF13" s="62">
        <v>255</v>
      </c>
      <c r="AG13" s="59">
        <f t="shared" si="9"/>
        <v>262.37288135593224</v>
      </c>
      <c r="AH13" s="102">
        <f t="shared" si="67"/>
        <v>2.8100775193798572E-2</v>
      </c>
      <c r="AI13" s="62">
        <v>280</v>
      </c>
      <c r="AJ13" s="59">
        <f t="shared" si="68"/>
        <v>275.87934501580008</v>
      </c>
      <c r="AK13" s="102">
        <f t="shared" si="69"/>
        <v>1.4936438913047004E-2</v>
      </c>
      <c r="AL13" s="65">
        <v>42</v>
      </c>
      <c r="AM13" s="32"/>
      <c r="AN13" s="32"/>
      <c r="AO13" s="32"/>
      <c r="AP13" s="72" t="str">
        <f t="shared" si="70"/>
        <v>IL-3600</v>
      </c>
      <c r="AQ13" s="59">
        <f t="shared" si="71"/>
        <v>3741.6128749148484</v>
      </c>
      <c r="AR13" s="63" t="str">
        <f t="shared" si="72"/>
        <v>IL-20-3600</v>
      </c>
      <c r="AS13" s="39">
        <f>VLOOKUP(AR13,Lookup!$U$28:$V$227,2,FALSE)</f>
        <v>91</v>
      </c>
      <c r="AT13" s="63">
        <f t="shared" si="73"/>
        <v>1.9780219780219781</v>
      </c>
      <c r="AU13" s="73">
        <f>VLOOKUP(AP13,Lookup!$N$27:$P$36,3,FALSE)</f>
        <v>133.84</v>
      </c>
      <c r="AV13" s="76">
        <f t="shared" si="74"/>
        <v>69.552037427420942</v>
      </c>
      <c r="AW13" s="59">
        <f t="shared" si="75"/>
        <v>37.532477072610398</v>
      </c>
      <c r="AX13" s="59">
        <f t="shared" si="76"/>
        <v>33.087843981004497</v>
      </c>
      <c r="AY13" s="59">
        <f t="shared" si="77"/>
        <v>37.302014494094372</v>
      </c>
      <c r="AZ13" s="59">
        <f t="shared" si="78"/>
        <v>53.963159759016911</v>
      </c>
      <c r="BA13" s="59">
        <f t="shared" si="79"/>
        <v>50.235257610900931</v>
      </c>
      <c r="BB13" s="59">
        <f t="shared" si="80"/>
        <v>54.448535049395467</v>
      </c>
      <c r="BC13" s="59">
        <f t="shared" si="81"/>
        <v>1</v>
      </c>
      <c r="BD13" s="59">
        <f t="shared" si="82"/>
        <v>1</v>
      </c>
      <c r="BE13" s="59">
        <f t="shared" si="83"/>
        <v>1</v>
      </c>
      <c r="BF13" s="59">
        <f t="shared" si="84"/>
        <v>1</v>
      </c>
      <c r="BG13" s="59">
        <f t="shared" si="85"/>
        <v>1</v>
      </c>
      <c r="BH13" s="59">
        <f t="shared" si="86"/>
        <v>1</v>
      </c>
      <c r="BI13" s="59">
        <f t="shared" si="87"/>
        <v>1.9780219780219781</v>
      </c>
      <c r="BJ13" s="59">
        <f t="shared" si="88"/>
        <v>1.9780219780219781</v>
      </c>
      <c r="BK13" s="59">
        <f t="shared" si="89"/>
        <v>1.9780219780219781</v>
      </c>
      <c r="BL13" s="59">
        <f t="shared" si="90"/>
        <v>55.941181737038889</v>
      </c>
      <c r="BM13" s="59">
        <f t="shared" si="91"/>
        <v>52.213279588922909</v>
      </c>
      <c r="BN13" s="59">
        <f t="shared" si="92"/>
        <v>56.426557027417445</v>
      </c>
      <c r="BO13" s="77">
        <f t="shared" si="93"/>
        <v>54.854853417181303</v>
      </c>
      <c r="BP13" s="76">
        <f t="shared" si="94"/>
        <v>10.086853213264044</v>
      </c>
      <c r="BQ13" s="59">
        <f t="shared" si="95"/>
        <v>19.963493015024774</v>
      </c>
      <c r="BR13" s="59">
        <f t="shared" si="96"/>
        <v>42.578387446107527</v>
      </c>
      <c r="BS13" s="59">
        <f t="shared" si="97"/>
        <v>31.010771457164289</v>
      </c>
      <c r="BT13" s="77">
        <f t="shared" si="98"/>
        <v>0.56532411492054568</v>
      </c>
      <c r="BU13" s="58">
        <f>VLOOKUP(AP13,Lookup!$N$27:$P$36,2,FALSE)</f>
        <v>141.01</v>
      </c>
      <c r="BV13" s="59">
        <f t="shared" si="99"/>
        <v>62.382037427420983</v>
      </c>
      <c r="BW13" s="59">
        <f t="shared" si="100"/>
        <v>37.532477072610398</v>
      </c>
      <c r="BX13" s="59">
        <f t="shared" si="101"/>
        <v>33.087843981004497</v>
      </c>
      <c r="BY13" s="59">
        <f t="shared" si="102"/>
        <v>37.302014494094372</v>
      </c>
      <c r="BZ13" s="59">
        <f t="shared" si="103"/>
        <v>60.165519788092759</v>
      </c>
      <c r="CA13" s="59">
        <f t="shared" si="104"/>
        <v>56.00914400390662</v>
      </c>
      <c r="CB13" s="59">
        <f t="shared" si="105"/>
        <v>60.706682625264143</v>
      </c>
      <c r="CC13" s="59">
        <f t="shared" si="106"/>
        <v>1</v>
      </c>
      <c r="CD13" s="59">
        <f t="shared" si="107"/>
        <v>1</v>
      </c>
      <c r="CE13" s="59">
        <f t="shared" si="108"/>
        <v>1</v>
      </c>
      <c r="CF13" s="59">
        <f t="shared" si="109"/>
        <v>1</v>
      </c>
      <c r="CG13" s="59">
        <f t="shared" si="110"/>
        <v>1</v>
      </c>
      <c r="CH13" s="59">
        <f t="shared" si="111"/>
        <v>1</v>
      </c>
      <c r="CI13" s="59">
        <f t="shared" si="112"/>
        <v>1.9780219780219781</v>
      </c>
      <c r="CJ13" s="59">
        <f t="shared" si="113"/>
        <v>1.9780219780219781</v>
      </c>
      <c r="CK13" s="59">
        <f t="shared" si="114"/>
        <v>1.9780219780219781</v>
      </c>
      <c r="CL13" s="59">
        <f t="shared" si="115"/>
        <v>62.143541766114737</v>
      </c>
      <c r="CM13" s="59">
        <f t="shared" si="116"/>
        <v>57.987165981928598</v>
      </c>
      <c r="CN13" s="59">
        <f t="shared" si="117"/>
        <v>62.684704603286121</v>
      </c>
      <c r="CO13" s="59">
        <f t="shared" si="118"/>
        <v>60.932376936698105</v>
      </c>
      <c r="CP13" s="59">
        <f t="shared" si="119"/>
        <v>1.1107928130496696</v>
      </c>
      <c r="CQ13" s="64">
        <f t="shared" si="120"/>
        <v>54.546869812912391</v>
      </c>
    </row>
    <row r="14" spans="1:95">
      <c r="D14" s="38" t="s">
        <v>77</v>
      </c>
      <c r="E14" s="38">
        <v>4</v>
      </c>
      <c r="F14" s="38">
        <v>3600</v>
      </c>
      <c r="G14" s="38" t="s">
        <v>571</v>
      </c>
      <c r="H14" s="62">
        <v>30</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f t="shared" si="1"/>
        <v>87.457627118644069</v>
      </c>
      <c r="T14" s="102">
        <f t="shared" si="61"/>
        <v>5.1937984496124016E-2</v>
      </c>
      <c r="U14" s="62">
        <v>100</v>
      </c>
      <c r="V14" s="59">
        <f t="shared" si="62"/>
        <v>106.10744039069232</v>
      </c>
      <c r="W14" s="102">
        <f t="shared" si="63"/>
        <v>5.7559021009313302E-2</v>
      </c>
      <c r="X14" s="62">
        <v>10</v>
      </c>
      <c r="Y14" s="62">
        <v>170</v>
      </c>
      <c r="Z14" s="59">
        <f t="shared" si="5"/>
        <v>174.91525423728814</v>
      </c>
      <c r="AA14" s="102">
        <f t="shared" si="64"/>
        <v>2.8100775193798465E-2</v>
      </c>
      <c r="AB14" s="62">
        <v>175</v>
      </c>
      <c r="AC14" s="59">
        <f t="shared" si="65"/>
        <v>169.77190462510771</v>
      </c>
      <c r="AD14" s="102">
        <f t="shared" si="66"/>
        <v>3.0794820771063575E-2</v>
      </c>
      <c r="AE14" s="62">
        <v>20</v>
      </c>
      <c r="AF14" s="62">
        <v>255</v>
      </c>
      <c r="AG14" s="59">
        <f t="shared" si="9"/>
        <v>262.37288135593224</v>
      </c>
      <c r="AH14" s="102">
        <f t="shared" si="67"/>
        <v>2.8100775193798572E-2</v>
      </c>
      <c r="AI14" s="62">
        <v>280</v>
      </c>
      <c r="AJ14" s="59">
        <f t="shared" si="68"/>
        <v>275.87934501580008</v>
      </c>
      <c r="AK14" s="102">
        <f t="shared" si="69"/>
        <v>1.4936438913047004E-2</v>
      </c>
      <c r="AL14" s="65">
        <v>42</v>
      </c>
      <c r="AP14" s="72" t="str">
        <f t="shared" si="70"/>
        <v>ESCC-3600</v>
      </c>
      <c r="AQ14" s="59">
        <f t="shared" si="71"/>
        <v>3741.6128749148484</v>
      </c>
      <c r="AR14" s="63" t="str">
        <f t="shared" si="72"/>
        <v>ESCC-30-3600</v>
      </c>
      <c r="AS14" s="39">
        <f>VLOOKUP(AR14,Lookup!$U$28:$V$227,2,FALSE)</f>
        <v>91.7</v>
      </c>
      <c r="AT14" s="63">
        <f t="shared" si="73"/>
        <v>2.7153762268266064</v>
      </c>
      <c r="AU14" s="73">
        <f>VLOOKUP(AP14,Lookup!$N$27:$P$36,3,FALSE)</f>
        <v>130.41999999999999</v>
      </c>
      <c r="AV14" s="76">
        <f t="shared" si="74"/>
        <v>72.972037427421014</v>
      </c>
      <c r="AW14" s="59">
        <f t="shared" si="75"/>
        <v>37.532477072610398</v>
      </c>
      <c r="AX14" s="59">
        <f t="shared" si="76"/>
        <v>33.087843981004497</v>
      </c>
      <c r="AY14" s="59">
        <f t="shared" si="77"/>
        <v>37.302014494094372</v>
      </c>
      <c r="AZ14" s="59">
        <f t="shared" si="78"/>
        <v>51.434053914063611</v>
      </c>
      <c r="BA14" s="59">
        <f t="shared" si="79"/>
        <v>47.880868353232685</v>
      </c>
      <c r="BB14" s="59">
        <f t="shared" si="80"/>
        <v>51.896680990857668</v>
      </c>
      <c r="BC14" s="59">
        <f t="shared" si="81"/>
        <v>1</v>
      </c>
      <c r="BD14" s="59">
        <f t="shared" si="82"/>
        <v>1</v>
      </c>
      <c r="BE14" s="59">
        <f t="shared" si="83"/>
        <v>1</v>
      </c>
      <c r="BF14" s="59">
        <f t="shared" si="84"/>
        <v>1</v>
      </c>
      <c r="BG14" s="59">
        <f t="shared" si="85"/>
        <v>1</v>
      </c>
      <c r="BH14" s="59">
        <f t="shared" si="86"/>
        <v>1</v>
      </c>
      <c r="BI14" s="59">
        <f t="shared" si="87"/>
        <v>2.7153762268266064</v>
      </c>
      <c r="BJ14" s="59">
        <f t="shared" si="88"/>
        <v>2.7153762268266064</v>
      </c>
      <c r="BK14" s="59">
        <f t="shared" si="89"/>
        <v>2.7153762268266064</v>
      </c>
      <c r="BL14" s="59">
        <f t="shared" si="90"/>
        <v>54.149430140890217</v>
      </c>
      <c r="BM14" s="59">
        <f t="shared" si="91"/>
        <v>50.596244580059292</v>
      </c>
      <c r="BN14" s="59">
        <f t="shared" si="92"/>
        <v>54.612057217684274</v>
      </c>
      <c r="BO14" s="77">
        <f t="shared" si="93"/>
        <v>53.113932055146634</v>
      </c>
      <c r="BP14" s="76">
        <f t="shared" si="94"/>
        <v>10.086853213264044</v>
      </c>
      <c r="BQ14" s="59">
        <f t="shared" si="95"/>
        <v>19.963493015024774</v>
      </c>
      <c r="BR14" s="59">
        <f t="shared" si="96"/>
        <v>42.578387446107527</v>
      </c>
      <c r="BS14" s="59">
        <f t="shared" si="97"/>
        <v>31.010771457164289</v>
      </c>
      <c r="BT14" s="77">
        <f t="shared" si="98"/>
        <v>0.58385380741472348</v>
      </c>
      <c r="BU14" s="58">
        <f>VLOOKUP(AP14,Lookup!$N$27:$P$36,2,FALSE)</f>
        <v>135.94</v>
      </c>
      <c r="BV14" s="59">
        <f t="shared" si="99"/>
        <v>67.452037427421033</v>
      </c>
      <c r="BW14" s="59">
        <f t="shared" si="100"/>
        <v>37.532477072610398</v>
      </c>
      <c r="BX14" s="59">
        <f t="shared" si="101"/>
        <v>33.087843981004497</v>
      </c>
      <c r="BY14" s="59">
        <f t="shared" si="102"/>
        <v>37.302014494094372</v>
      </c>
      <c r="BZ14" s="59">
        <f t="shared" si="103"/>
        <v>55.643207387168495</v>
      </c>
      <c r="CA14" s="59">
        <f t="shared" si="104"/>
        <v>51.799243592738762</v>
      </c>
      <c r="CB14" s="59">
        <f t="shared" si="105"/>
        <v>56.143693979572454</v>
      </c>
      <c r="CC14" s="59">
        <f t="shared" si="106"/>
        <v>1</v>
      </c>
      <c r="CD14" s="59">
        <f t="shared" si="107"/>
        <v>1</v>
      </c>
      <c r="CE14" s="59">
        <f t="shared" si="108"/>
        <v>1</v>
      </c>
      <c r="CF14" s="59">
        <f t="shared" si="109"/>
        <v>1</v>
      </c>
      <c r="CG14" s="59">
        <f t="shared" si="110"/>
        <v>1</v>
      </c>
      <c r="CH14" s="59">
        <f t="shared" si="111"/>
        <v>1</v>
      </c>
      <c r="CI14" s="59">
        <f t="shared" si="112"/>
        <v>2.7153762268266064</v>
      </c>
      <c r="CJ14" s="59">
        <f t="shared" si="113"/>
        <v>2.7153762268266064</v>
      </c>
      <c r="CK14" s="59">
        <f t="shared" si="114"/>
        <v>2.7153762268266064</v>
      </c>
      <c r="CL14" s="59">
        <f t="shared" si="115"/>
        <v>58.358583613995101</v>
      </c>
      <c r="CM14" s="59">
        <f t="shared" si="116"/>
        <v>54.514619819565368</v>
      </c>
      <c r="CN14" s="59">
        <f t="shared" si="117"/>
        <v>58.859070206399061</v>
      </c>
      <c r="CO14" s="59">
        <f t="shared" si="118"/>
        <v>57.238366804198513</v>
      </c>
      <c r="CP14" s="59">
        <f t="shared" si="119"/>
        <v>1.0776525967757311</v>
      </c>
      <c r="CQ14" s="64">
        <f t="shared" si="120"/>
        <v>49.379878936100766</v>
      </c>
    </row>
    <row r="15" spans="1:95">
      <c r="D15" s="38" t="s">
        <v>78</v>
      </c>
      <c r="E15" s="38">
        <v>4</v>
      </c>
      <c r="F15" s="38">
        <v>1800</v>
      </c>
      <c r="G15" s="38" t="s">
        <v>571</v>
      </c>
      <c r="H15" s="62">
        <v>40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f t="shared" si="1"/>
        <v>87.457627118644069</v>
      </c>
      <c r="T15" s="102">
        <f t="shared" si="61"/>
        <v>5.1937984496124016E-2</v>
      </c>
      <c r="U15" s="62">
        <v>100</v>
      </c>
      <c r="V15" s="59">
        <f t="shared" si="62"/>
        <v>106.10744039069232</v>
      </c>
      <c r="W15" s="102">
        <f t="shared" si="63"/>
        <v>5.7559021009313302E-2</v>
      </c>
      <c r="X15" s="62">
        <v>10</v>
      </c>
      <c r="Y15" s="62">
        <v>170</v>
      </c>
      <c r="Z15" s="59">
        <f t="shared" si="5"/>
        <v>174.91525423728814</v>
      </c>
      <c r="AA15" s="102">
        <f t="shared" si="64"/>
        <v>2.8100775193798465E-2</v>
      </c>
      <c r="AB15" s="62">
        <v>175</v>
      </c>
      <c r="AC15" s="59">
        <f t="shared" si="65"/>
        <v>169.77190462510771</v>
      </c>
      <c r="AD15" s="102">
        <f t="shared" si="66"/>
        <v>3.0794820771063575E-2</v>
      </c>
      <c r="AE15" s="62">
        <v>20</v>
      </c>
      <c r="AF15" s="62">
        <v>255</v>
      </c>
      <c r="AG15" s="59">
        <f t="shared" si="9"/>
        <v>262.37288135593224</v>
      </c>
      <c r="AH15" s="102">
        <f t="shared" si="67"/>
        <v>2.8100775193798572E-2</v>
      </c>
      <c r="AI15" s="62">
        <v>280</v>
      </c>
      <c r="AJ15" s="59">
        <f t="shared" si="68"/>
        <v>275.87934501580008</v>
      </c>
      <c r="AK15" s="102">
        <f t="shared" si="69"/>
        <v>1.4936438913047004E-2</v>
      </c>
      <c r="AL15" s="65">
        <v>42</v>
      </c>
      <c r="AP15" s="72" t="str">
        <f t="shared" si="70"/>
        <v>ESFM-1800</v>
      </c>
      <c r="AQ15" s="59">
        <f t="shared" si="71"/>
        <v>1870.8064374574242</v>
      </c>
      <c r="AR15" s="63" t="str">
        <f t="shared" si="72"/>
        <v>ESFM-40-1800</v>
      </c>
      <c r="AS15" s="39">
        <f>VLOOKUP(AR15,Lookup!$U$28:$V$227,2,FALSE)</f>
        <v>94.1</v>
      </c>
      <c r="AT15" s="63">
        <f t="shared" si="73"/>
        <v>2.5079702444208323</v>
      </c>
      <c r="AU15" s="73">
        <f>VLOOKUP(AP15,Lookup!$N$27:$P$36,3,FALSE)</f>
        <v>128.85</v>
      </c>
      <c r="AV15" s="76">
        <f t="shared" si="74"/>
        <v>76.875633243152379</v>
      </c>
      <c r="AW15" s="59">
        <f t="shared" si="75"/>
        <v>37.532477072610398</v>
      </c>
      <c r="AX15" s="59">
        <f t="shared" si="76"/>
        <v>33.087843981004497</v>
      </c>
      <c r="AY15" s="59">
        <f t="shared" si="77"/>
        <v>37.302014494094372</v>
      </c>
      <c r="AZ15" s="59">
        <f t="shared" si="78"/>
        <v>48.822332238744281</v>
      </c>
      <c r="BA15" s="59">
        <f t="shared" si="79"/>
        <v>45.449570561303126</v>
      </c>
      <c r="BB15" s="59">
        <f t="shared" si="80"/>
        <v>49.261468008279707</v>
      </c>
      <c r="BC15" s="59">
        <f t="shared" si="81"/>
        <v>1</v>
      </c>
      <c r="BD15" s="59">
        <f t="shared" si="82"/>
        <v>1</v>
      </c>
      <c r="BE15" s="59">
        <f t="shared" si="83"/>
        <v>1</v>
      </c>
      <c r="BF15" s="59">
        <f t="shared" si="84"/>
        <v>1</v>
      </c>
      <c r="BG15" s="59">
        <f t="shared" si="85"/>
        <v>1</v>
      </c>
      <c r="BH15" s="59">
        <f t="shared" si="86"/>
        <v>1</v>
      </c>
      <c r="BI15" s="59">
        <f t="shared" si="87"/>
        <v>2.5079702444208323</v>
      </c>
      <c r="BJ15" s="59">
        <f t="shared" si="88"/>
        <v>2.5079702444208323</v>
      </c>
      <c r="BK15" s="59">
        <f t="shared" si="89"/>
        <v>2.5079702444208323</v>
      </c>
      <c r="BL15" s="59">
        <f t="shared" si="90"/>
        <v>51.330302483165113</v>
      </c>
      <c r="BM15" s="59">
        <f t="shared" si="91"/>
        <v>47.957540805723958</v>
      </c>
      <c r="BN15" s="59">
        <f t="shared" si="92"/>
        <v>51.769438252700539</v>
      </c>
      <c r="BO15" s="77">
        <f t="shared" si="93"/>
        <v>50.347391937811814</v>
      </c>
      <c r="BP15" s="76">
        <f t="shared" si="94"/>
        <v>10.086853213264044</v>
      </c>
      <c r="BQ15" s="59">
        <f t="shared" si="95"/>
        <v>19.963493015024774</v>
      </c>
      <c r="BR15" s="59">
        <f t="shared" si="96"/>
        <v>42.578387446107527</v>
      </c>
      <c r="BS15" s="59">
        <f t="shared" si="97"/>
        <v>31.010771457164289</v>
      </c>
      <c r="BT15" s="77">
        <f t="shared" si="98"/>
        <v>0.61593600509572033</v>
      </c>
      <c r="BU15" s="58">
        <f>VLOOKUP(AP15,Lookup!$N$27:$P$36,2,FALSE)</f>
        <v>134.99</v>
      </c>
      <c r="BV15" s="59">
        <f t="shared" si="99"/>
        <v>70.735633243152392</v>
      </c>
      <c r="BW15" s="59">
        <f t="shared" si="100"/>
        <v>37.532477072610398</v>
      </c>
      <c r="BX15" s="59">
        <f t="shared" si="101"/>
        <v>33.087843981004497</v>
      </c>
      <c r="BY15" s="59">
        <f t="shared" si="102"/>
        <v>37.302014494094372</v>
      </c>
      <c r="BZ15" s="59">
        <f t="shared" si="103"/>
        <v>53.060212161518677</v>
      </c>
      <c r="CA15" s="59">
        <f t="shared" si="104"/>
        <v>49.394687759690754</v>
      </c>
      <c r="CB15" s="59">
        <f t="shared" si="105"/>
        <v>53.537465828658533</v>
      </c>
      <c r="CC15" s="59">
        <f t="shared" si="106"/>
        <v>1</v>
      </c>
      <c r="CD15" s="59">
        <f t="shared" si="107"/>
        <v>1</v>
      </c>
      <c r="CE15" s="59">
        <f t="shared" si="108"/>
        <v>1</v>
      </c>
      <c r="CF15" s="59">
        <f t="shared" si="109"/>
        <v>1</v>
      </c>
      <c r="CG15" s="59">
        <f t="shared" si="110"/>
        <v>1</v>
      </c>
      <c r="CH15" s="59">
        <f t="shared" si="111"/>
        <v>1</v>
      </c>
      <c r="CI15" s="59">
        <f t="shared" si="112"/>
        <v>2.5079702444208323</v>
      </c>
      <c r="CJ15" s="59">
        <f t="shared" si="113"/>
        <v>2.5079702444208323</v>
      </c>
      <c r="CK15" s="59">
        <f t="shared" si="114"/>
        <v>2.5079702444208323</v>
      </c>
      <c r="CL15" s="59">
        <f t="shared" si="115"/>
        <v>55.56818240593951</v>
      </c>
      <c r="CM15" s="59">
        <f t="shared" si="116"/>
        <v>51.902658004111586</v>
      </c>
      <c r="CN15" s="59">
        <f t="shared" si="117"/>
        <v>56.045436073079365</v>
      </c>
      <c r="CO15" s="59">
        <f t="shared" si="118"/>
        <v>54.499974951827383</v>
      </c>
      <c r="CP15" s="59">
        <f t="shared" si="119"/>
        <v>1.0824786121820325</v>
      </c>
      <c r="CQ15" s="64">
        <f t="shared" si="120"/>
        <v>46.654260708631213</v>
      </c>
    </row>
    <row r="16" spans="1:95">
      <c r="D16" s="38" t="s">
        <v>76</v>
      </c>
      <c r="E16" s="38">
        <v>4</v>
      </c>
      <c r="F16" s="38">
        <v>3600</v>
      </c>
      <c r="G16" s="38" t="s">
        <v>571</v>
      </c>
      <c r="H16" s="62">
        <v>3</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f t="shared" si="1"/>
        <v>87.457627118644069</v>
      </c>
      <c r="T16" s="102">
        <f t="shared" si="61"/>
        <v>5.1937984496124016E-2</v>
      </c>
      <c r="U16" s="62">
        <v>100</v>
      </c>
      <c r="V16" s="59">
        <f t="shared" si="62"/>
        <v>106.10744039069232</v>
      </c>
      <c r="W16" s="102">
        <f t="shared" si="63"/>
        <v>5.7559021009313302E-2</v>
      </c>
      <c r="X16" s="62">
        <v>10</v>
      </c>
      <c r="Y16" s="62">
        <v>170</v>
      </c>
      <c r="Z16" s="59">
        <f t="shared" si="5"/>
        <v>174.91525423728814</v>
      </c>
      <c r="AA16" s="102">
        <f t="shared" si="64"/>
        <v>2.8100775193798465E-2</v>
      </c>
      <c r="AB16" s="62">
        <v>175</v>
      </c>
      <c r="AC16" s="59">
        <f t="shared" si="65"/>
        <v>169.77190462510771</v>
      </c>
      <c r="AD16" s="102">
        <f t="shared" si="66"/>
        <v>3.0794820771063575E-2</v>
      </c>
      <c r="AE16" s="62">
        <v>20</v>
      </c>
      <c r="AF16" s="62">
        <v>255</v>
      </c>
      <c r="AG16" s="59">
        <f t="shared" si="9"/>
        <v>262.37288135593224</v>
      </c>
      <c r="AH16" s="102">
        <f t="shared" si="67"/>
        <v>2.8100775193798572E-2</v>
      </c>
      <c r="AI16" s="62">
        <v>280</v>
      </c>
      <c r="AJ16" s="59">
        <f t="shared" si="68"/>
        <v>275.87934501580008</v>
      </c>
      <c r="AK16" s="102">
        <f t="shared" si="69"/>
        <v>1.4936438913047004E-2</v>
      </c>
      <c r="AL16" s="65">
        <v>42</v>
      </c>
      <c r="AP16" s="72" t="str">
        <f t="shared" si="70"/>
        <v>ST-3600</v>
      </c>
      <c r="AQ16" s="59">
        <f t="shared" si="71"/>
        <v>3741.6128749148484</v>
      </c>
      <c r="AR16" s="63" t="str">
        <f t="shared" si="72"/>
        <v>ST-3-3600</v>
      </c>
      <c r="AS16" s="39">
        <f>VLOOKUP(AR16,Lookup!$U$28:$V$227,2,FALSE)</f>
        <v>70</v>
      </c>
      <c r="AT16" s="63">
        <f t="shared" si="73"/>
        <v>1.2857142857142856</v>
      </c>
      <c r="AU16" s="73">
        <f>VLOOKUP(AP16,Lookup!$N$27:$P$36,3,FALSE)</f>
        <v>134.85</v>
      </c>
      <c r="AV16" s="76">
        <f t="shared" si="74"/>
        <v>68.542037427420951</v>
      </c>
      <c r="AW16" s="59">
        <f t="shared" si="75"/>
        <v>37.532477072610398</v>
      </c>
      <c r="AX16" s="59">
        <f t="shared" si="76"/>
        <v>33.087843981004497</v>
      </c>
      <c r="AY16" s="59">
        <f t="shared" si="77"/>
        <v>37.302014494094372</v>
      </c>
      <c r="AZ16" s="59">
        <f t="shared" si="78"/>
        <v>54.758332960781146</v>
      </c>
      <c r="BA16" s="59">
        <f t="shared" si="79"/>
        <v>50.975498375420592</v>
      </c>
      <c r="BB16" s="59">
        <f t="shared" si="80"/>
        <v>55.250860490306387</v>
      </c>
      <c r="BC16" s="59">
        <f t="shared" si="81"/>
        <v>1</v>
      </c>
      <c r="BD16" s="59">
        <f t="shared" si="82"/>
        <v>1</v>
      </c>
      <c r="BE16" s="59">
        <f t="shared" si="83"/>
        <v>1</v>
      </c>
      <c r="BF16" s="59">
        <f t="shared" si="84"/>
        <v>1</v>
      </c>
      <c r="BG16" s="59">
        <f t="shared" si="85"/>
        <v>1</v>
      </c>
      <c r="BH16" s="59">
        <f t="shared" si="86"/>
        <v>1</v>
      </c>
      <c r="BI16" s="59">
        <f t="shared" si="87"/>
        <v>1.2857142857142856</v>
      </c>
      <c r="BJ16" s="59">
        <f t="shared" si="88"/>
        <v>1.2857142857142856</v>
      </c>
      <c r="BK16" s="59">
        <f t="shared" si="89"/>
        <v>1.2857142857142856</v>
      </c>
      <c r="BL16" s="59">
        <f t="shared" si="90"/>
        <v>56.044047246495431</v>
      </c>
      <c r="BM16" s="59">
        <f t="shared" si="91"/>
        <v>52.261212661134877</v>
      </c>
      <c r="BN16" s="59">
        <f t="shared" si="92"/>
        <v>56.536574776020672</v>
      </c>
      <c r="BO16" s="77">
        <f t="shared" si="93"/>
        <v>54.941783500060865</v>
      </c>
      <c r="BP16" s="76">
        <f t="shared" si="94"/>
        <v>10.086853213264044</v>
      </c>
      <c r="BQ16" s="59">
        <f t="shared" si="95"/>
        <v>19.963493015024774</v>
      </c>
      <c r="BR16" s="59">
        <f t="shared" si="96"/>
        <v>42.578387446107527</v>
      </c>
      <c r="BS16" s="59">
        <f t="shared" si="97"/>
        <v>31.010771457164289</v>
      </c>
      <c r="BT16" s="77">
        <f t="shared" si="98"/>
        <v>0.56442964683026597</v>
      </c>
      <c r="BU16" s="58">
        <f>VLOOKUP(AP16,Lookup!$N$27:$P$36,2,FALSE)</f>
        <v>138.78</v>
      </c>
      <c r="BV16" s="59">
        <f t="shared" si="99"/>
        <v>64.612037427421001</v>
      </c>
      <c r="BW16" s="59">
        <f t="shared" si="100"/>
        <v>37.532477072610398</v>
      </c>
      <c r="BX16" s="59">
        <f t="shared" si="101"/>
        <v>33.087843981004497</v>
      </c>
      <c r="BY16" s="59">
        <f t="shared" si="102"/>
        <v>37.302014494094372</v>
      </c>
      <c r="BZ16" s="59">
        <f t="shared" si="103"/>
        <v>58.088985531172582</v>
      </c>
      <c r="CA16" s="59">
        <f t="shared" si="104"/>
        <v>54.076061623258681</v>
      </c>
      <c r="CB16" s="59">
        <f t="shared" si="105"/>
        <v>58.611470840518791</v>
      </c>
      <c r="CC16" s="59">
        <f t="shared" si="106"/>
        <v>1</v>
      </c>
      <c r="CD16" s="59">
        <f t="shared" si="107"/>
        <v>1</v>
      </c>
      <c r="CE16" s="59">
        <f t="shared" si="108"/>
        <v>1</v>
      </c>
      <c r="CF16" s="59">
        <f t="shared" si="109"/>
        <v>1</v>
      </c>
      <c r="CG16" s="59">
        <f t="shared" si="110"/>
        <v>1</v>
      </c>
      <c r="CH16" s="59">
        <f t="shared" si="111"/>
        <v>1</v>
      </c>
      <c r="CI16" s="59">
        <f t="shared" si="112"/>
        <v>1.2857142857142856</v>
      </c>
      <c r="CJ16" s="59">
        <f t="shared" si="113"/>
        <v>1.2857142857142856</v>
      </c>
      <c r="CK16" s="59">
        <f t="shared" si="114"/>
        <v>1.2857142857142856</v>
      </c>
      <c r="CL16" s="59">
        <f t="shared" si="115"/>
        <v>59.374699816886867</v>
      </c>
      <c r="CM16" s="59">
        <f t="shared" si="116"/>
        <v>55.361775908972966</v>
      </c>
      <c r="CN16" s="59">
        <f t="shared" si="117"/>
        <v>59.897185126233076</v>
      </c>
      <c r="CO16" s="59">
        <f t="shared" si="118"/>
        <v>58.205399162002564</v>
      </c>
      <c r="CP16" s="59">
        <f t="shared" si="119"/>
        <v>1.0594013418209856</v>
      </c>
      <c r="CQ16" s="64">
        <f t="shared" si="120"/>
        <v>49.497169499071958</v>
      </c>
    </row>
    <row r="17" spans="4:95">
      <c r="D17" s="38" t="s">
        <v>76</v>
      </c>
      <c r="E17" s="38">
        <v>4</v>
      </c>
      <c r="F17" s="38">
        <v>3600</v>
      </c>
      <c r="G17" s="38" t="s">
        <v>571</v>
      </c>
      <c r="H17" s="62">
        <v>1.5</v>
      </c>
      <c r="I17" s="62" t="s">
        <v>581</v>
      </c>
      <c r="J17" s="145">
        <v>9</v>
      </c>
      <c r="K17" s="62">
        <v>349.83050847457628</v>
      </c>
      <c r="L17" s="62">
        <v>424.42976156276927</v>
      </c>
      <c r="M17" s="62">
        <v>51.414352154260818</v>
      </c>
      <c r="N17" s="62">
        <v>262.37290000000002</v>
      </c>
      <c r="O17" s="62">
        <v>498.89112324044811</v>
      </c>
      <c r="P17" s="62">
        <v>384.81355932203388</v>
      </c>
      <c r="Q17" s="62">
        <v>383.47601264004595</v>
      </c>
      <c r="R17" s="62">
        <v>92</v>
      </c>
      <c r="S17" s="59">
        <f t="shared" si="1"/>
        <v>87.457627118644069</v>
      </c>
      <c r="T17" s="102">
        <f t="shared" si="61"/>
        <v>5.1937984496124016E-2</v>
      </c>
      <c r="U17" s="62">
        <v>100</v>
      </c>
      <c r="V17" s="59">
        <f t="shared" si="62"/>
        <v>106.10744039069232</v>
      </c>
      <c r="W17" s="102">
        <f t="shared" si="63"/>
        <v>5.7559021009313302E-2</v>
      </c>
      <c r="X17" s="62">
        <v>10</v>
      </c>
      <c r="Y17" s="62">
        <v>170</v>
      </c>
      <c r="Z17" s="59">
        <f t="shared" si="5"/>
        <v>174.91525423728814</v>
      </c>
      <c r="AA17" s="102">
        <f t="shared" si="64"/>
        <v>2.8100775193798465E-2</v>
      </c>
      <c r="AB17" s="62">
        <v>175</v>
      </c>
      <c r="AC17" s="59">
        <f t="shared" si="65"/>
        <v>169.77190462510771</v>
      </c>
      <c r="AD17" s="102">
        <f t="shared" si="66"/>
        <v>3.0794820771063575E-2</v>
      </c>
      <c r="AE17" s="62">
        <v>20</v>
      </c>
      <c r="AF17" s="62">
        <v>255</v>
      </c>
      <c r="AG17" s="59">
        <f t="shared" si="9"/>
        <v>262.37288135593224</v>
      </c>
      <c r="AH17" s="102">
        <f t="shared" si="67"/>
        <v>2.8100775193798572E-2</v>
      </c>
      <c r="AI17" s="62">
        <v>280</v>
      </c>
      <c r="AJ17" s="59">
        <f t="shared" si="68"/>
        <v>275.87934501580008</v>
      </c>
      <c r="AK17" s="102">
        <f t="shared" si="69"/>
        <v>1.4936438913047004E-2</v>
      </c>
      <c r="AL17" s="65">
        <v>42</v>
      </c>
      <c r="AP17" s="72" t="str">
        <f t="shared" si="70"/>
        <v>ST-3600</v>
      </c>
      <c r="AQ17" s="59">
        <f t="shared" si="71"/>
        <v>3741.6128749148484</v>
      </c>
      <c r="AR17" s="63" t="str">
        <f t="shared" si="72"/>
        <v>ST-1.5-3600</v>
      </c>
      <c r="AS17" s="39">
        <f>VLOOKUP(AR17,Lookup!$U$28:$V$227,2,FALSE)</f>
        <v>66</v>
      </c>
      <c r="AT17" s="63">
        <f t="shared" si="73"/>
        <v>0.77272727272727249</v>
      </c>
      <c r="AU17" s="73">
        <f>VLOOKUP(AP17,Lookup!$N$27:$P$36,3,FALSE)</f>
        <v>134.85</v>
      </c>
      <c r="AV17" s="76">
        <f t="shared" si="74"/>
        <v>68.542037427420951</v>
      </c>
      <c r="AW17" s="59">
        <f t="shared" si="75"/>
        <v>37.532477072610398</v>
      </c>
      <c r="AX17" s="59">
        <f t="shared" si="76"/>
        <v>33.087843981004497</v>
      </c>
      <c r="AY17" s="59">
        <f t="shared" si="77"/>
        <v>37.302014494094372</v>
      </c>
      <c r="AZ17" s="59">
        <f t="shared" si="78"/>
        <v>54.758332960781146</v>
      </c>
      <c r="BA17" s="59">
        <f t="shared" si="79"/>
        <v>50.975498375420592</v>
      </c>
      <c r="BB17" s="59">
        <f t="shared" si="80"/>
        <v>55.250860490306387</v>
      </c>
      <c r="BC17" s="59">
        <f t="shared" si="81"/>
        <v>1</v>
      </c>
      <c r="BD17" s="59">
        <f t="shared" si="82"/>
        <v>1</v>
      </c>
      <c r="BE17" s="59">
        <f t="shared" si="83"/>
        <v>1</v>
      </c>
      <c r="BF17" s="59">
        <f t="shared" si="84"/>
        <v>1</v>
      </c>
      <c r="BG17" s="59">
        <f t="shared" si="85"/>
        <v>1</v>
      </c>
      <c r="BH17" s="59">
        <f t="shared" si="86"/>
        <v>1</v>
      </c>
      <c r="BI17" s="59">
        <f t="shared" si="87"/>
        <v>0.77272727272727249</v>
      </c>
      <c r="BJ17" s="59">
        <f t="shared" si="88"/>
        <v>0.77272727272727249</v>
      </c>
      <c r="BK17" s="59">
        <f t="shared" si="89"/>
        <v>0.77272727272727249</v>
      </c>
      <c r="BL17" s="59">
        <f t="shared" si="90"/>
        <v>55.53106023350842</v>
      </c>
      <c r="BM17" s="59">
        <f t="shared" si="91"/>
        <v>51.748225648147866</v>
      </c>
      <c r="BN17" s="59">
        <f t="shared" si="92"/>
        <v>56.02358776303366</v>
      </c>
      <c r="BO17" s="77">
        <f t="shared" si="93"/>
        <v>54.428847785775154</v>
      </c>
      <c r="BP17" s="76">
        <f t="shared" si="94"/>
        <v>10.086853213264044</v>
      </c>
      <c r="BQ17" s="59">
        <f t="shared" si="95"/>
        <v>19.963493015024774</v>
      </c>
      <c r="BR17" s="59">
        <f t="shared" si="96"/>
        <v>42.578387446107527</v>
      </c>
      <c r="BS17" s="59">
        <f t="shared" si="97"/>
        <v>31.010771457164289</v>
      </c>
      <c r="BT17" s="77">
        <f t="shared" si="98"/>
        <v>0.56974881370295838</v>
      </c>
      <c r="BU17" s="58">
        <f>VLOOKUP(AP17,Lookup!$N$27:$P$36,2,FALSE)</f>
        <v>138.78</v>
      </c>
      <c r="BV17" s="59">
        <f t="shared" si="99"/>
        <v>64.612037427421001</v>
      </c>
      <c r="BW17" s="59">
        <f t="shared" si="100"/>
        <v>37.532477072610398</v>
      </c>
      <c r="BX17" s="59">
        <f t="shared" si="101"/>
        <v>33.087843981004497</v>
      </c>
      <c r="BY17" s="59">
        <f t="shared" si="102"/>
        <v>37.302014494094372</v>
      </c>
      <c r="BZ17" s="59">
        <f t="shared" si="103"/>
        <v>58.088985531172582</v>
      </c>
      <c r="CA17" s="59">
        <f t="shared" si="104"/>
        <v>54.076061623258681</v>
      </c>
      <c r="CB17" s="59">
        <f t="shared" si="105"/>
        <v>58.611470840518791</v>
      </c>
      <c r="CC17" s="59">
        <f t="shared" si="106"/>
        <v>1</v>
      </c>
      <c r="CD17" s="59">
        <f t="shared" si="107"/>
        <v>1</v>
      </c>
      <c r="CE17" s="59">
        <f t="shared" si="108"/>
        <v>1</v>
      </c>
      <c r="CF17" s="59">
        <f t="shared" si="109"/>
        <v>1</v>
      </c>
      <c r="CG17" s="59">
        <f t="shared" si="110"/>
        <v>1</v>
      </c>
      <c r="CH17" s="59">
        <f t="shared" si="111"/>
        <v>1</v>
      </c>
      <c r="CI17" s="59">
        <f t="shared" si="112"/>
        <v>0.77272727272727249</v>
      </c>
      <c r="CJ17" s="59">
        <f t="shared" si="113"/>
        <v>0.77272727272727249</v>
      </c>
      <c r="CK17" s="59">
        <f t="shared" si="114"/>
        <v>0.77272727272727249</v>
      </c>
      <c r="CL17" s="59">
        <f t="shared" si="115"/>
        <v>58.861712803899856</v>
      </c>
      <c r="CM17" s="59">
        <f t="shared" si="116"/>
        <v>54.848788895985955</v>
      </c>
      <c r="CN17" s="59">
        <f t="shared" si="117"/>
        <v>59.384198113246065</v>
      </c>
      <c r="CO17" s="59">
        <f t="shared" si="118"/>
        <v>57.692463447716854</v>
      </c>
      <c r="CP17" s="59">
        <f t="shared" si="119"/>
        <v>1.0599611381594345</v>
      </c>
      <c r="CQ17" s="64">
        <f t="shared" si="120"/>
        <v>49.021232445647613</v>
      </c>
    </row>
  </sheetData>
  <mergeCells count="7">
    <mergeCell ref="BP3:BT3"/>
    <mergeCell ref="AV3:BO3"/>
    <mergeCell ref="AP3:AU3"/>
    <mergeCell ref="A3:AO3"/>
    <mergeCell ref="BU2:CQ2"/>
    <mergeCell ref="A2:BT2"/>
    <mergeCell ref="BU3:CQ3"/>
  </mergeCells>
  <conditionalFormatting sqref="AA7:AA17">
    <cfRule type="cellIs" dxfId="29" priority="41" operator="greaterThan">
      <formula>0.1</formula>
    </cfRule>
  </conditionalFormatting>
  <conditionalFormatting sqref="W7:W17">
    <cfRule type="cellIs" dxfId="28" priority="34" operator="greaterThan">
      <formula>0.1</formula>
    </cfRule>
  </conditionalFormatting>
  <conditionalFormatting sqref="T7:T17">
    <cfRule type="cellIs" dxfId="27" priority="33" operator="greaterThan">
      <formula>0.1</formula>
    </cfRule>
  </conditionalFormatting>
  <conditionalFormatting sqref="AD7:AD17">
    <cfRule type="cellIs" dxfId="26" priority="32" operator="greaterThan">
      <formula>0.1</formula>
    </cfRule>
  </conditionalFormatting>
  <conditionalFormatting sqref="AH7:AH17">
    <cfRule type="cellIs" dxfId="25" priority="31" operator="greaterThan">
      <formula>0.1</formula>
    </cfRule>
  </conditionalFormatting>
  <conditionalFormatting sqref="AK7:AK17">
    <cfRule type="cellIs" dxfId="24" priority="30" operator="greaterThan">
      <formula>0.1</formula>
    </cfRule>
  </conditionalFormatting>
  <conditionalFormatting sqref="BP7:BP17">
    <cfRule type="cellIs" dxfId="23" priority="24" operator="equal">
      <formula>"SetPointError&gt;10%"</formula>
    </cfRule>
  </conditionalFormatting>
  <conditionalFormatting sqref="BQ7:BR17">
    <cfRule type="cellIs" dxfId="22" priority="23" operator="equal">
      <formula>"SetPointError&gt;10%"</formula>
    </cfRule>
  </conditionalFormatting>
  <conditionalFormatting sqref="BS7:BT17">
    <cfRule type="cellIs" dxfId="21" priority="22" operator="equal">
      <formula>"SetPointError&gt;10%"</formula>
    </cfRule>
  </conditionalFormatting>
  <conditionalFormatting sqref="CQ7:CQ17">
    <cfRule type="cellIs" dxfId="20" priority="21" operator="equal">
      <formula>"SetPointError&gt;10%"</formula>
    </cfRule>
  </conditionalFormatting>
  <conditionalFormatting sqref="AA6">
    <cfRule type="cellIs" dxfId="19" priority="10" operator="greaterThan">
      <formula>0.1</formula>
    </cfRule>
  </conditionalFormatting>
  <conditionalFormatting sqref="W6">
    <cfRule type="cellIs" dxfId="18" priority="9" operator="greaterThan">
      <formula>0.1</formula>
    </cfRule>
  </conditionalFormatting>
  <conditionalFormatting sqref="T6">
    <cfRule type="cellIs" dxfId="17" priority="8" operator="greaterThan">
      <formula>0.1</formula>
    </cfRule>
  </conditionalFormatting>
  <conditionalFormatting sqref="AD6">
    <cfRule type="cellIs" dxfId="16" priority="7" operator="greaterThan">
      <formula>0.1</formula>
    </cfRule>
  </conditionalFormatting>
  <conditionalFormatting sqref="AH6">
    <cfRule type="cellIs" dxfId="15" priority="6" operator="greaterThan">
      <formula>0.1</formula>
    </cfRule>
  </conditionalFormatting>
  <conditionalFormatting sqref="AK6">
    <cfRule type="cellIs" dxfId="14" priority="5" operator="greaterThan">
      <formula>0.1</formula>
    </cfRule>
  </conditionalFormatting>
  <conditionalFormatting sqref="BP6">
    <cfRule type="cellIs" dxfId="13" priority="4" operator="equal">
      <formula>"SetPointError&gt;10%"</formula>
    </cfRule>
  </conditionalFormatting>
  <conditionalFormatting sqref="BQ6:BR6">
    <cfRule type="cellIs" dxfId="12" priority="3" operator="equal">
      <formula>"SetPointError&gt;10%"</formula>
    </cfRule>
  </conditionalFormatting>
  <conditionalFormatting sqref="BS6:BT6">
    <cfRule type="cellIs" dxfId="11" priority="2" operator="equal">
      <formula>"SetPointError&gt;10%"</formula>
    </cfRule>
  </conditionalFormatting>
  <conditionalFormatting sqref="CQ6">
    <cfRule type="cellIs" dxfId="10" priority="1" operator="equal">
      <formula>"SetPointError&gt;10%"</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7"/>
  <sheetViews>
    <sheetView topLeftCell="D4" zoomScale="125" zoomScaleNormal="125" zoomScalePageLayoutView="125" workbookViewId="0">
      <selection activeCell="D17" sqref="D1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0" t="s">
        <v>505</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2"/>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88" t="s">
        <v>329</v>
      </c>
      <c r="B5" s="41" t="s">
        <v>12</v>
      </c>
      <c r="C5" s="88" t="s">
        <v>27</v>
      </c>
      <c r="D5" s="88" t="s">
        <v>89</v>
      </c>
      <c r="E5" s="88" t="s">
        <v>348</v>
      </c>
      <c r="F5" s="88" t="s">
        <v>4</v>
      </c>
      <c r="G5" s="103" t="s">
        <v>569</v>
      </c>
      <c r="H5" s="88" t="s">
        <v>372</v>
      </c>
      <c r="I5" s="132" t="s">
        <v>582</v>
      </c>
      <c r="J5" s="88" t="s">
        <v>15</v>
      </c>
      <c r="K5" s="88" t="s">
        <v>13</v>
      </c>
      <c r="L5" s="88" t="s">
        <v>24</v>
      </c>
      <c r="M5" s="88" t="s">
        <v>458</v>
      </c>
      <c r="N5" s="88" t="s">
        <v>49</v>
      </c>
      <c r="O5" s="88" t="s">
        <v>50</v>
      </c>
      <c r="P5" s="88" t="s">
        <v>51</v>
      </c>
      <c r="Q5" s="88" t="s">
        <v>52</v>
      </c>
      <c r="R5" s="88" t="s">
        <v>494</v>
      </c>
      <c r="S5" s="88" t="s">
        <v>485</v>
      </c>
      <c r="T5" s="88" t="s">
        <v>495</v>
      </c>
      <c r="U5" s="88" t="s">
        <v>462</v>
      </c>
      <c r="V5" s="88" t="s">
        <v>486</v>
      </c>
      <c r="W5" s="88" t="s">
        <v>583</v>
      </c>
      <c r="X5" s="88" t="s">
        <v>463</v>
      </c>
      <c r="Y5" s="88" t="s">
        <v>468</v>
      </c>
      <c r="Z5" s="88" t="s">
        <v>488</v>
      </c>
      <c r="AA5" s="88" t="s">
        <v>497</v>
      </c>
      <c r="AB5" s="88" t="s">
        <v>467</v>
      </c>
      <c r="AC5" s="88" t="s">
        <v>489</v>
      </c>
      <c r="AD5" s="88" t="s">
        <v>584</v>
      </c>
      <c r="AE5" s="88" t="s">
        <v>469</v>
      </c>
      <c r="AF5" s="88" t="s">
        <v>475</v>
      </c>
      <c r="AG5" s="88" t="s">
        <v>491</v>
      </c>
      <c r="AH5" s="88" t="s">
        <v>499</v>
      </c>
      <c r="AI5" s="88" t="s">
        <v>474</v>
      </c>
      <c r="AJ5" s="88" t="s">
        <v>492</v>
      </c>
      <c r="AK5" s="88" t="s">
        <v>585</v>
      </c>
      <c r="AL5" s="47" t="s">
        <v>473</v>
      </c>
      <c r="AM5" s="88" t="s">
        <v>3</v>
      </c>
      <c r="AN5" s="88" t="s">
        <v>14</v>
      </c>
      <c r="AO5" s="88" t="s">
        <v>349</v>
      </c>
      <c r="AP5" s="41" t="s">
        <v>2</v>
      </c>
      <c r="AQ5" s="88" t="s">
        <v>435</v>
      </c>
      <c r="AR5" s="88" t="s">
        <v>96</v>
      </c>
      <c r="AS5" s="88" t="s">
        <v>297</v>
      </c>
      <c r="AT5" s="57" t="s">
        <v>298</v>
      </c>
      <c r="AU5" s="47" t="s">
        <v>54</v>
      </c>
      <c r="AV5" s="41" t="s">
        <v>436</v>
      </c>
      <c r="AW5" s="88" t="s">
        <v>56</v>
      </c>
      <c r="AX5" s="88" t="s">
        <v>57</v>
      </c>
      <c r="AY5" s="88" t="s">
        <v>58</v>
      </c>
      <c r="AZ5" s="88" t="s">
        <v>60</v>
      </c>
      <c r="BA5" s="88" t="s">
        <v>61</v>
      </c>
      <c r="BB5" s="88" t="s">
        <v>62</v>
      </c>
      <c r="BC5" s="88" t="s">
        <v>302</v>
      </c>
      <c r="BD5" s="88" t="s">
        <v>301</v>
      </c>
      <c r="BE5" s="88" t="s">
        <v>300</v>
      </c>
      <c r="BF5" s="88" t="s">
        <v>306</v>
      </c>
      <c r="BG5" s="88" t="s">
        <v>307</v>
      </c>
      <c r="BH5" s="88" t="s">
        <v>308</v>
      </c>
      <c r="BI5" s="88" t="s">
        <v>316</v>
      </c>
      <c r="BJ5" s="88" t="s">
        <v>317</v>
      </c>
      <c r="BK5" s="88" t="s">
        <v>318</v>
      </c>
      <c r="BL5" s="88" t="s">
        <v>362</v>
      </c>
      <c r="BM5" s="88" t="s">
        <v>363</v>
      </c>
      <c r="BN5" s="88" t="s">
        <v>363</v>
      </c>
      <c r="BO5" s="47" t="s">
        <v>437</v>
      </c>
      <c r="BP5" s="41" t="s">
        <v>487</v>
      </c>
      <c r="BQ5" s="88" t="s">
        <v>490</v>
      </c>
      <c r="BR5" s="88" t="s">
        <v>493</v>
      </c>
      <c r="BS5" s="88" t="s">
        <v>502</v>
      </c>
      <c r="BT5" s="47" t="s">
        <v>587</v>
      </c>
      <c r="BU5" s="41" t="s">
        <v>53</v>
      </c>
      <c r="BV5" s="88" t="s">
        <v>59</v>
      </c>
      <c r="BW5" s="88" t="str">
        <f t="shared" ref="BW5:BY5" si="0">AW5</f>
        <v>Calculate hydraulic power at 100% BEP</v>
      </c>
      <c r="BX5" s="88" t="str">
        <f t="shared" si="0"/>
        <v>Calculate hydraulic power at 75% BEP</v>
      </c>
      <c r="BY5" s="88" t="str">
        <f t="shared" si="0"/>
        <v>Calculate hydraulic power at 110% BEP</v>
      </c>
      <c r="BZ5" s="88" t="s">
        <v>67</v>
      </c>
      <c r="CA5" s="88" t="s">
        <v>66</v>
      </c>
      <c r="CB5" s="88" t="s">
        <v>65</v>
      </c>
      <c r="CC5" s="88" t="s">
        <v>303</v>
      </c>
      <c r="CD5" s="88" t="s">
        <v>304</v>
      </c>
      <c r="CE5" s="88" t="s">
        <v>305</v>
      </c>
      <c r="CF5" s="88" t="s">
        <v>309</v>
      </c>
      <c r="CG5" s="88" t="s">
        <v>310</v>
      </c>
      <c r="CH5" s="88" t="s">
        <v>311</v>
      </c>
      <c r="CI5" s="88" t="s">
        <v>319</v>
      </c>
      <c r="CJ5" s="88" t="s">
        <v>320</v>
      </c>
      <c r="CK5" s="88" t="s">
        <v>321</v>
      </c>
      <c r="CL5" s="88" t="s">
        <v>364</v>
      </c>
      <c r="CM5" s="88" t="s">
        <v>365</v>
      </c>
      <c r="CN5" s="88" t="s">
        <v>366</v>
      </c>
      <c r="CO5" s="88" t="s">
        <v>445</v>
      </c>
      <c r="CP5" s="88" t="s">
        <v>314</v>
      </c>
      <c r="CQ5" s="47" t="s">
        <v>315</v>
      </c>
    </row>
    <row r="6" spans="1:95" s="18" customFormat="1">
      <c r="A6"/>
      <c r="B6"/>
      <c r="C6" s="1"/>
      <c r="D6" s="38" t="s">
        <v>77</v>
      </c>
      <c r="E6" s="38">
        <v>4</v>
      </c>
      <c r="F6" s="38">
        <v>3600</v>
      </c>
      <c r="G6" s="38" t="s">
        <v>571</v>
      </c>
      <c r="H6" s="62">
        <v>150</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v>87.457627118644069</v>
      </c>
      <c r="T6" s="102">
        <v>5.1937984496124016E-2</v>
      </c>
      <c r="U6" s="62">
        <v>100</v>
      </c>
      <c r="V6" s="59">
        <f t="shared" ref="V6:V16" si="1">(0.8*(S6^2/$K6^2)+0.2)*$L6</f>
        <v>106.10744039069232</v>
      </c>
      <c r="W6" s="102">
        <f t="shared" ref="W6:W16" si="2">IF((U6-V6)/V6&lt;(-10%),"SetPointError&lt;-10%",(U6-V6)/V6)</f>
        <v>-5.7559021009313302E-2</v>
      </c>
      <c r="X6" s="62">
        <v>10</v>
      </c>
      <c r="Y6" s="62">
        <v>170</v>
      </c>
      <c r="Z6" s="59">
        <f>0.5*$K6</f>
        <v>174.91525423728814</v>
      </c>
      <c r="AA6" s="102">
        <f>IF(ABS(Y6-Z6)/Z6&gt;10%,"SetPointError&gt;10%",ABS(Y6-Z6)/Z6)</f>
        <v>2.8100775193798465E-2</v>
      </c>
      <c r="AB6" s="62">
        <v>175</v>
      </c>
      <c r="AC6" s="59">
        <f t="shared" ref="AC6:AC16" si="3">(0.8*(Z6^2/$K6^2)+0.2)*$L6</f>
        <v>169.77190462510771</v>
      </c>
      <c r="AD6" s="102">
        <f t="shared" ref="AD6:AD16" si="4">IF((AB6-AC6)/AC6&lt;(-10%),"SetPointError&lt;-10%",(AB6-AC6)/AC6)</f>
        <v>3.0794820771063575E-2</v>
      </c>
      <c r="AE6" s="62">
        <v>20</v>
      </c>
      <c r="AF6" s="62">
        <v>255</v>
      </c>
      <c r="AG6" s="59">
        <f t="shared" ref="AG6:AG16" si="5">0.75*$K6</f>
        <v>262.37288135593224</v>
      </c>
      <c r="AH6" s="102">
        <f t="shared" ref="AH6:AH16" si="6">IF(ABS(AF6-AG6)/AG6&gt;10%,"SetPointError&gt;10%",ABS(AF6-AG6)/AG6)</f>
        <v>2.8100775193798572E-2</v>
      </c>
      <c r="AI6" s="62">
        <v>260</v>
      </c>
      <c r="AJ6" s="59">
        <f t="shared" ref="AJ6:AJ16" si="7">(0.8*(AG6^2/$K6^2)+0.2)*$L6</f>
        <v>275.87934501580008</v>
      </c>
      <c r="AK6" s="102">
        <f t="shared" ref="AK6:AK16" si="8">IF((AI6-AJ6)/AJ6&lt;(-10%),"SetPointError&lt;-10%",(AI6-AJ6)/AJ6)</f>
        <v>-5.7559021009313496E-2</v>
      </c>
      <c r="AL6" s="65">
        <v>42</v>
      </c>
      <c r="AM6" s="61" t="e">
        <f>#REF!</f>
        <v>#REF!</v>
      </c>
      <c r="AN6" s="61" t="e">
        <f>#REF!</f>
        <v>#REF!</v>
      </c>
      <c r="AO6" s="61" t="e">
        <f>#REF!</f>
        <v>#REF!</v>
      </c>
      <c r="AP6" s="72" t="str">
        <f t="shared" ref="AP6:AP16" si="9">D6&amp;-F6</f>
        <v>ESCC-3600</v>
      </c>
      <c r="AQ6" s="59">
        <f t="shared" ref="AQ6:AQ16" si="10">((F6*SQRT(K6)/(L6/J6)^0.75))</f>
        <v>3741.6128749148484</v>
      </c>
      <c r="AR6" s="63" t="str">
        <f t="shared" ref="AR6:AR16" si="11">D6&amp;-H6&amp;-F6</f>
        <v>ESCC-150-3600</v>
      </c>
      <c r="AS6" s="39">
        <f>VLOOKUP(AR6,Lookup!$U$28:$V$227,2,FALSE)</f>
        <v>94.1</v>
      </c>
      <c r="AT6" s="63">
        <f t="shared" ref="AT6:AT16" si="12">H6/(AS6/100)-H6</f>
        <v>9.4048884165781033</v>
      </c>
      <c r="AU6" s="73">
        <f>VLOOKUP(AP6,Lookup!$N$27:$P$36,3,FALSE)</f>
        <v>130.41999999999999</v>
      </c>
      <c r="AV6" s="76">
        <f t="shared" ref="AV6:AV16" si="13">-0.85*(LN(K6))^2-0.38*LN(AQ6)*LN(K6)-11.48*(LN(AQ6))^2+17.8*LN(K6)+179.8*LN(AQ6)-(AU6+555.6)</f>
        <v>72.972037427421014</v>
      </c>
      <c r="AW6" s="59">
        <f t="shared" ref="AW6:AW16" si="14">K6*L6/3956</f>
        <v>37.532477072610398</v>
      </c>
      <c r="AX6" s="59">
        <f t="shared" ref="AX6:AX16" si="15">N6*O6/3956</f>
        <v>33.087843981004497</v>
      </c>
      <c r="AY6" s="59">
        <f t="shared" ref="AY6:AY16" si="16">P6*Q6/3956</f>
        <v>37.302014494094372</v>
      </c>
      <c r="AZ6" s="59">
        <f t="shared" ref="AZ6:AZ16" si="17">AW6/(AV6/100)</f>
        <v>51.434053914063611</v>
      </c>
      <c r="BA6" s="59">
        <f t="shared" ref="BA6:BA16" si="18">AX6/(AV6/100*0.947)</f>
        <v>47.880868353232685</v>
      </c>
      <c r="BB6" s="59">
        <f t="shared" ref="BB6:BB16" si="19">AY6/(AV6/100*0.985)</f>
        <v>51.896680990857668</v>
      </c>
      <c r="BC6" s="59">
        <f t="shared" ref="BC6:BC16" si="20">IF((AZ6/H6)&gt;=1,1,(AZ6/H6))</f>
        <v>0.34289369276042408</v>
      </c>
      <c r="BD6" s="59">
        <f t="shared" ref="BD6:BD16" si="21">IF((BA6/H6)&gt;=1,1,(BA6/H6))</f>
        <v>0.31920578902155122</v>
      </c>
      <c r="BE6" s="59">
        <f t="shared" ref="BE6:BE16" si="22">IF((BB6/H6)&gt;=1,1,(BB6/H6))</f>
        <v>0.34597787327238444</v>
      </c>
      <c r="BF6" s="59">
        <f t="shared" ref="BF6:BF16" si="23">-0.4508*BC6^3+1.2399*BC6^2+-0.4301*BC6+0.641</f>
        <v>0.62112951306737973</v>
      </c>
      <c r="BG6" s="59">
        <f t="shared" ref="BG6:BG16" si="24">-0.4508*BD6^3+1.2399*BD6^2+-0.4301*BD6+0.641</f>
        <v>0.61538379699114443</v>
      </c>
      <c r="BH6" s="59">
        <f t="shared" ref="BH6:BH16" si="25">-0.4508*BE6^3+1.2399*BE6^2+-0.4301*BE6+0.641</f>
        <v>0.62194246432734213</v>
      </c>
      <c r="BI6" s="59">
        <f t="shared" ref="BI6:BI16" si="26">BF6*AT6</f>
        <v>5.8416537626421974</v>
      </c>
      <c r="BJ6" s="59">
        <f t="shared" ref="BJ6:BJ16" si="27">BG6*AT6</f>
        <v>5.7876159440718649</v>
      </c>
      <c r="BK6" s="59">
        <f t="shared" ref="BK6:BK16" si="28">BH6*AT6</f>
        <v>5.8492994785302601</v>
      </c>
      <c r="BL6" s="59">
        <f t="shared" ref="BL6:BL16" si="29">BI6+AZ6</f>
        <v>57.275707676705807</v>
      </c>
      <c r="BM6" s="59">
        <f t="shared" ref="BM6:BM16" si="30">BJ6+BA6</f>
        <v>53.668484297304552</v>
      </c>
      <c r="BN6" s="59">
        <f t="shared" ref="BN6:BN16" si="31">BK6+BB6</f>
        <v>57.745980469387931</v>
      </c>
      <c r="BO6" s="77">
        <f t="shared" ref="BO6:BO16" si="32">0.3333*(BL6)+0.3333*(BM6)+0.3333*(BN6)</f>
        <v>56.224434475384641</v>
      </c>
      <c r="BP6" s="76">
        <f t="shared" ref="BP6:BP16" si="33">IF(T6&gt;10%,"SetPointError&gt;10%",IF(W6="SetPointError&lt;-10%","SetPointError&lt;-10%",IF(W6&gt;0,(1*(S6/R6)*X6),(V6/U6)*(S6/R6)*X6)))</f>
        <v>10.086853213264044</v>
      </c>
      <c r="BQ6" s="76">
        <f t="shared" ref="BQ6:BQ16" si="34">IF(AA6&gt;10%,"SetPointError&gt;10%",IF(AD6="SetPointError&lt;-10%","SetPointError&lt;-10%",IF(AD6&gt;0,(1*(Z6/Y6)*AE6),(AC6/AB6)*(Z6/Y6)*AE6)))</f>
        <v>20.578265204386842</v>
      </c>
      <c r="BR6" s="76">
        <f t="shared" ref="BR6:BR16" si="35">IF(AH6&gt;10%,"SetPointError&gt;10%",IF(AK6="SetPointError&lt;-10%","SetPointError&lt;-10%",IF(AK6&gt;0,(1*(AG6/AF6)*AL6),(AJ6/AI6)*(AG6/AF6)*AL6)))</f>
        <v>45.853648018885032</v>
      </c>
      <c r="BS6" s="59">
        <f t="shared" ref="BS6:BS16" si="36">IFERROR(0.25*(M6)+0.25*BR6+0.25*BQ6+0.25*BP6,"SetPointError&gt;10%")</f>
        <v>31.983279647699185</v>
      </c>
      <c r="BT6" s="77">
        <f t="shared" ref="BT6:BT16" si="37">IFERROR(BS6/BO6,"SetPointError&gt;10%")</f>
        <v>0.56885017957275563</v>
      </c>
      <c r="BU6" s="58">
        <f>VLOOKUP(AP6,Lookup!$N$27:$P$36,2,FALSE)</f>
        <v>135.94</v>
      </c>
      <c r="BV6" s="59">
        <f t="shared" ref="BV6:BV16" si="38">-0.85*(LN(K6))^2-0.38*LN(AQ6)*LN(K6)-11.48*(LN(AQ6))^2+17.8*LN(K6)+179.8*LN(AQ6)-(BU6+555.6)</f>
        <v>67.452037427421033</v>
      </c>
      <c r="BW6" s="59">
        <f t="shared" ref="BW6:BW16" si="39">AW6</f>
        <v>37.532477072610398</v>
      </c>
      <c r="BX6" s="59">
        <f t="shared" ref="BX6:BX16" si="40">AX6</f>
        <v>33.087843981004497</v>
      </c>
      <c r="BY6" s="59">
        <f t="shared" ref="BY6:BY16" si="41">AY6</f>
        <v>37.302014494094372</v>
      </c>
      <c r="BZ6" s="59">
        <f t="shared" ref="BZ6:BZ16" si="42">AW6/(BV6/100)</f>
        <v>55.643207387168495</v>
      </c>
      <c r="CA6" s="59">
        <f t="shared" ref="CA6:CA16" si="43">AX6/(BV6/100*0.947)</f>
        <v>51.799243592738762</v>
      </c>
      <c r="CB6" s="59">
        <f t="shared" ref="CB6:CB16" si="44">AY6/(BV6/100*0.985)</f>
        <v>56.143693979572454</v>
      </c>
      <c r="CC6" s="59">
        <f t="shared" ref="CC6:CC16" si="45">IF((BZ6/$H6)&gt;=1,1,(BZ6/$H6))</f>
        <v>0.37095471591445661</v>
      </c>
      <c r="CD6" s="59">
        <f t="shared" ref="CD6:CD16" si="46">IF((CA6/$H6)&gt;=1,1,(CA6/$H6))</f>
        <v>0.34532829061825843</v>
      </c>
      <c r="CE6" s="59">
        <f t="shared" ref="CE6:CE16" si="47">IF((CB6/$H6)&gt;=1,1,(CB6/$H6))</f>
        <v>0.37429129319714971</v>
      </c>
      <c r="CF6" s="59">
        <f t="shared" ref="CF6:CF16" si="48">-0.4508*CC6^3+1.2399*CC6^2+-0.4301*CC6+0.641</f>
        <v>0.6290602051160693</v>
      </c>
      <c r="CG6" s="59">
        <f t="shared" ref="CG6:CG16" si="49">-0.4508*CD6^3+1.2399*CD6^2+-0.4301*CD6+0.641</f>
        <v>0.62177001893750661</v>
      </c>
      <c r="CH6" s="59">
        <f t="shared" ref="CH6:CH16" si="50">-0.4508*CE6^3+1.2399*CE6^2+-0.4301*CE6+0.641</f>
        <v>0.63008170281330345</v>
      </c>
      <c r="CI6" s="59">
        <f t="shared" ref="CI6:CI16" si="51">CF6*AT6</f>
        <v>5.9162410364263662</v>
      </c>
      <c r="CJ6" s="59">
        <f t="shared" ref="CJ6:CJ16" si="52">CG6*AT6</f>
        <v>5.8476776488809037</v>
      </c>
      <c r="CK6" s="59">
        <f t="shared" ref="CK6:CK16" si="53">CH6*AT6</f>
        <v>5.9258481082866448</v>
      </c>
      <c r="CL6" s="59">
        <f t="shared" ref="CL6:CL16" si="54">CI6+BZ6</f>
        <v>61.559448423594858</v>
      </c>
      <c r="CM6" s="59">
        <f t="shared" ref="CM6:CM16" si="55">CJ6+CA6</f>
        <v>57.646921241619665</v>
      </c>
      <c r="CN6" s="59">
        <f t="shared" ref="CN6:CN16" si="56">CK6+CB6</f>
        <v>62.069542087859098</v>
      </c>
      <c r="CO6" s="59">
        <f t="shared" ref="CO6:CO16" si="57">0.3333*(BZ6+CI6)+0.3333*(CA6+CJ6)+0.3333*(CB6+CK6)</f>
        <v>60.419261387299429</v>
      </c>
      <c r="CP6" s="59">
        <f t="shared" ref="CP6:CP16" si="58">CO6/BO6</f>
        <v>1.0746086101364223</v>
      </c>
      <c r="CQ6" s="64">
        <f t="shared" ref="CQ6:CQ16" si="59">IFERROR((CP6-BT6)*100,"SetPointError&gt;10%")</f>
        <v>50.575843056366665</v>
      </c>
    </row>
    <row r="7" spans="1:95" s="16" customFormat="1">
      <c r="D7" s="38" t="s">
        <v>75</v>
      </c>
      <c r="E7" s="38">
        <v>4</v>
      </c>
      <c r="F7" s="38">
        <v>3600</v>
      </c>
      <c r="G7" s="38" t="s">
        <v>571</v>
      </c>
      <c r="H7" s="62">
        <v>125</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v>87.457627118644069</v>
      </c>
      <c r="T7" s="102">
        <v>5.1937984496124016E-2</v>
      </c>
      <c r="U7" s="62">
        <v>100</v>
      </c>
      <c r="V7" s="59">
        <f t="shared" si="1"/>
        <v>106.10744039069232</v>
      </c>
      <c r="W7" s="102">
        <f t="shared" si="2"/>
        <v>-5.7559021009313302E-2</v>
      </c>
      <c r="X7" s="62">
        <v>10</v>
      </c>
      <c r="Y7" s="62">
        <v>170</v>
      </c>
      <c r="Z7" s="59">
        <f t="shared" ref="Z7:Z16" si="60">0.5*$K7</f>
        <v>174.91525423728814</v>
      </c>
      <c r="AA7" s="102">
        <f t="shared" ref="AA7:AA16" si="61">IF(ABS(Y7-Z7)/Z7&gt;10%,"SetPointError&gt;10%",ABS(Y7-Z7)/Z7)</f>
        <v>2.8100775193798465E-2</v>
      </c>
      <c r="AB7" s="62">
        <v>175</v>
      </c>
      <c r="AC7" s="59">
        <f t="shared" si="3"/>
        <v>169.77190462510771</v>
      </c>
      <c r="AD7" s="102">
        <f t="shared" si="4"/>
        <v>3.0794820771063575E-2</v>
      </c>
      <c r="AE7" s="62">
        <v>20</v>
      </c>
      <c r="AF7" s="62">
        <v>255</v>
      </c>
      <c r="AG7" s="59">
        <f t="shared" si="5"/>
        <v>262.37288135593224</v>
      </c>
      <c r="AH7" s="102">
        <f t="shared" si="6"/>
        <v>2.8100775193798572E-2</v>
      </c>
      <c r="AI7" s="62">
        <v>260</v>
      </c>
      <c r="AJ7" s="59">
        <f t="shared" si="7"/>
        <v>275.87934501580008</v>
      </c>
      <c r="AK7" s="102">
        <f t="shared" si="8"/>
        <v>-5.7559021009313496E-2</v>
      </c>
      <c r="AL7" s="65">
        <v>42</v>
      </c>
      <c r="AM7" s="61" t="e">
        <f>#REF!</f>
        <v>#REF!</v>
      </c>
      <c r="AN7" s="61" t="e">
        <f>#REF!</f>
        <v>#REF!</v>
      </c>
      <c r="AO7" s="61" t="e">
        <f>#REF!</f>
        <v>#REF!</v>
      </c>
      <c r="AP7" s="72" t="str">
        <f t="shared" si="9"/>
        <v>RSV-3600</v>
      </c>
      <c r="AQ7" s="59">
        <f t="shared" si="10"/>
        <v>3741.6128749148484</v>
      </c>
      <c r="AR7" s="63" t="str">
        <f t="shared" si="11"/>
        <v>RSV-125-3600</v>
      </c>
      <c r="AS7" s="39">
        <f>VLOOKUP(AR7,Lookup!$U$28:$V$227,2,FALSE)</f>
        <v>94.1</v>
      </c>
      <c r="AT7" s="63">
        <f t="shared" si="12"/>
        <v>7.8374070138150955</v>
      </c>
      <c r="AU7" s="73">
        <f>VLOOKUP(AP7,Lookup!$N$27:$P$36,3,FALSE)</f>
        <v>133.19999999999999</v>
      </c>
      <c r="AV7" s="76">
        <f t="shared" si="13"/>
        <v>70.192037427421042</v>
      </c>
      <c r="AW7" s="59">
        <f t="shared" si="14"/>
        <v>37.532477072610398</v>
      </c>
      <c r="AX7" s="59">
        <f t="shared" si="15"/>
        <v>33.087843981004497</v>
      </c>
      <c r="AY7" s="59">
        <f t="shared" si="16"/>
        <v>37.302014494094372</v>
      </c>
      <c r="AZ7" s="59">
        <f t="shared" si="17"/>
        <v>53.471132122955098</v>
      </c>
      <c r="BA7" s="59">
        <f t="shared" si="18"/>
        <v>49.777220402560516</v>
      </c>
      <c r="BB7" s="59">
        <f t="shared" si="19"/>
        <v>53.952081837481643</v>
      </c>
      <c r="BC7" s="59">
        <f t="shared" si="20"/>
        <v>0.42776905698364076</v>
      </c>
      <c r="BD7" s="59">
        <f t="shared" si="21"/>
        <v>0.39821776322048413</v>
      </c>
      <c r="BE7" s="59">
        <f t="shared" si="22"/>
        <v>0.43161665469985316</v>
      </c>
      <c r="BF7" s="59">
        <f t="shared" si="23"/>
        <v>0.64861454583742484</v>
      </c>
      <c r="BG7" s="59">
        <f t="shared" si="24"/>
        <v>0.63787937389843474</v>
      </c>
      <c r="BH7" s="59">
        <f t="shared" si="25"/>
        <v>0.6500987528713249</v>
      </c>
      <c r="BI7" s="59">
        <f t="shared" si="26"/>
        <v>5.0834561908087261</v>
      </c>
      <c r="BJ7" s="59">
        <f t="shared" si="27"/>
        <v>4.9993202789595745</v>
      </c>
      <c r="BK7" s="59">
        <f t="shared" si="28"/>
        <v>5.095088525426168</v>
      </c>
      <c r="BL7" s="59">
        <f t="shared" si="29"/>
        <v>58.554588313763823</v>
      </c>
      <c r="BM7" s="59">
        <f t="shared" si="30"/>
        <v>54.776540681520089</v>
      </c>
      <c r="BN7" s="59">
        <f t="shared" si="31"/>
        <v>59.047170362907814</v>
      </c>
      <c r="BO7" s="77">
        <f t="shared" si="32"/>
        <v>57.453687176085296</v>
      </c>
      <c r="BP7" s="76">
        <f t="shared" si="33"/>
        <v>10.086853213264044</v>
      </c>
      <c r="BQ7" s="76">
        <f t="shared" si="34"/>
        <v>20.578265204386842</v>
      </c>
      <c r="BR7" s="76">
        <f t="shared" si="35"/>
        <v>45.853648018885032</v>
      </c>
      <c r="BS7" s="59">
        <f t="shared" si="36"/>
        <v>31.983279647699185</v>
      </c>
      <c r="BT7" s="77">
        <f t="shared" si="37"/>
        <v>0.55667932241974549</v>
      </c>
      <c r="BU7" s="58">
        <f>VLOOKUP(AP7,Lookup!$N$27:$P$36,2,FALSE)</f>
        <v>133.19999999999999</v>
      </c>
      <c r="BV7" s="59">
        <f t="shared" si="38"/>
        <v>70.192037427421042</v>
      </c>
      <c r="BW7" s="59">
        <f t="shared" si="39"/>
        <v>37.532477072610398</v>
      </c>
      <c r="BX7" s="59">
        <f t="shared" si="40"/>
        <v>33.087843981004497</v>
      </c>
      <c r="BY7" s="59">
        <f t="shared" si="41"/>
        <v>37.302014494094372</v>
      </c>
      <c r="BZ7" s="59">
        <f t="shared" si="42"/>
        <v>53.471132122955098</v>
      </c>
      <c r="CA7" s="59">
        <f t="shared" si="43"/>
        <v>49.777220402560516</v>
      </c>
      <c r="CB7" s="59">
        <f t="shared" si="44"/>
        <v>53.952081837481643</v>
      </c>
      <c r="CC7" s="59">
        <f t="shared" si="45"/>
        <v>0.42776905698364076</v>
      </c>
      <c r="CD7" s="59">
        <f t="shared" si="46"/>
        <v>0.39821776322048413</v>
      </c>
      <c r="CE7" s="59">
        <f t="shared" si="47"/>
        <v>0.43161665469985316</v>
      </c>
      <c r="CF7" s="59">
        <f t="shared" si="48"/>
        <v>0.64861454583742484</v>
      </c>
      <c r="CG7" s="59">
        <f t="shared" si="49"/>
        <v>0.63787937389843474</v>
      </c>
      <c r="CH7" s="59">
        <f t="shared" si="50"/>
        <v>0.6500987528713249</v>
      </c>
      <c r="CI7" s="59">
        <f t="shared" si="51"/>
        <v>5.0834561908087261</v>
      </c>
      <c r="CJ7" s="59">
        <f t="shared" si="52"/>
        <v>4.9993202789595745</v>
      </c>
      <c r="CK7" s="59">
        <f t="shared" si="53"/>
        <v>5.095088525426168</v>
      </c>
      <c r="CL7" s="59">
        <f t="shared" si="54"/>
        <v>58.554588313763823</v>
      </c>
      <c r="CM7" s="59">
        <f t="shared" si="55"/>
        <v>54.776540681520089</v>
      </c>
      <c r="CN7" s="59">
        <f t="shared" si="56"/>
        <v>59.047170362907814</v>
      </c>
      <c r="CO7" s="59">
        <f t="shared" si="57"/>
        <v>57.453687176085296</v>
      </c>
      <c r="CP7" s="59">
        <f t="shared" si="58"/>
        <v>1</v>
      </c>
      <c r="CQ7" s="64">
        <f t="shared" si="59"/>
        <v>44.332067758025453</v>
      </c>
    </row>
    <row r="8" spans="1:95" ht="59.25" customHeight="1">
      <c r="D8" s="38" t="s">
        <v>74</v>
      </c>
      <c r="E8" s="38">
        <v>4</v>
      </c>
      <c r="F8" s="38">
        <v>3600</v>
      </c>
      <c r="G8" s="38" t="s">
        <v>571</v>
      </c>
      <c r="H8" s="62">
        <v>100</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v>87.457627118644069</v>
      </c>
      <c r="T8" s="102">
        <v>5.1937984496124016E-2</v>
      </c>
      <c r="U8" s="62">
        <v>100</v>
      </c>
      <c r="V8" s="59">
        <f t="shared" si="1"/>
        <v>106.10744039069232</v>
      </c>
      <c r="W8" s="102">
        <f t="shared" si="2"/>
        <v>-5.7559021009313302E-2</v>
      </c>
      <c r="X8" s="62">
        <v>10</v>
      </c>
      <c r="Y8" s="62">
        <v>170</v>
      </c>
      <c r="Z8" s="59">
        <f t="shared" si="60"/>
        <v>174.91525423728814</v>
      </c>
      <c r="AA8" s="102">
        <f t="shared" si="61"/>
        <v>2.8100775193798465E-2</v>
      </c>
      <c r="AB8" s="62">
        <v>175</v>
      </c>
      <c r="AC8" s="59">
        <f t="shared" si="3"/>
        <v>169.77190462510771</v>
      </c>
      <c r="AD8" s="102">
        <f t="shared" si="4"/>
        <v>3.0794820771063575E-2</v>
      </c>
      <c r="AE8" s="62">
        <v>20</v>
      </c>
      <c r="AF8" s="62">
        <v>255</v>
      </c>
      <c r="AG8" s="59">
        <f t="shared" si="5"/>
        <v>262.37288135593224</v>
      </c>
      <c r="AH8" s="102">
        <f t="shared" si="6"/>
        <v>2.8100775193798572E-2</v>
      </c>
      <c r="AI8" s="62">
        <v>260</v>
      </c>
      <c r="AJ8" s="59">
        <f t="shared" si="7"/>
        <v>275.87934501580008</v>
      </c>
      <c r="AK8" s="102">
        <f t="shared" si="8"/>
        <v>-5.7559021009313496E-2</v>
      </c>
      <c r="AL8" s="65">
        <v>42</v>
      </c>
      <c r="AM8" s="61" t="e">
        <f>#REF!</f>
        <v>#REF!</v>
      </c>
      <c r="AN8" s="61" t="e">
        <f>#REF!</f>
        <v>#REF!</v>
      </c>
      <c r="AO8" s="61" t="e">
        <f>#REF!</f>
        <v>#REF!</v>
      </c>
      <c r="AP8" s="72" t="str">
        <f t="shared" si="9"/>
        <v>IL-3600</v>
      </c>
      <c r="AQ8" s="59">
        <f t="shared" si="10"/>
        <v>3741.6128749148484</v>
      </c>
      <c r="AR8" s="63" t="str">
        <f t="shared" si="11"/>
        <v>IL-100-3600</v>
      </c>
      <c r="AS8" s="39">
        <f>VLOOKUP(AR8,Lookup!$U$28:$V$227,2,FALSE)</f>
        <v>93.6</v>
      </c>
      <c r="AT8" s="63">
        <f t="shared" si="12"/>
        <v>6.8376068376068417</v>
      </c>
      <c r="AU8" s="73">
        <f>VLOOKUP(AP8,Lookup!$N$27:$P$36,3,FALSE)</f>
        <v>133.84</v>
      </c>
      <c r="AV8" s="76">
        <f t="shared" si="13"/>
        <v>69.552037427420942</v>
      </c>
      <c r="AW8" s="59">
        <f t="shared" si="14"/>
        <v>37.532477072610398</v>
      </c>
      <c r="AX8" s="59">
        <f t="shared" si="15"/>
        <v>33.087843981004497</v>
      </c>
      <c r="AY8" s="59">
        <f t="shared" si="16"/>
        <v>37.302014494094372</v>
      </c>
      <c r="AZ8" s="59">
        <f t="shared" si="17"/>
        <v>53.963159759016911</v>
      </c>
      <c r="BA8" s="59">
        <f t="shared" si="18"/>
        <v>50.235257610900931</v>
      </c>
      <c r="BB8" s="59">
        <f t="shared" si="19"/>
        <v>54.448535049395467</v>
      </c>
      <c r="BC8" s="59">
        <f t="shared" si="20"/>
        <v>0.5396315975901691</v>
      </c>
      <c r="BD8" s="59">
        <f t="shared" si="21"/>
        <v>0.5023525761090093</v>
      </c>
      <c r="BE8" s="59">
        <f t="shared" si="22"/>
        <v>0.54448535049395463</v>
      </c>
      <c r="BF8" s="59">
        <f t="shared" si="23"/>
        <v>0.69912654625824522</v>
      </c>
      <c r="BG8" s="59">
        <f t="shared" si="24"/>
        <v>0.68068782414304096</v>
      </c>
      <c r="BH8" s="59">
        <f t="shared" si="25"/>
        <v>0.7016345861351424</v>
      </c>
      <c r="BI8" s="59">
        <f t="shared" si="26"/>
        <v>4.7803524530478336</v>
      </c>
      <c r="BJ8" s="59">
        <f t="shared" si="27"/>
        <v>4.6542757206361802</v>
      </c>
      <c r="BK8" s="59">
        <f t="shared" si="28"/>
        <v>4.7975014436590966</v>
      </c>
      <c r="BL8" s="59">
        <f t="shared" si="29"/>
        <v>58.743512212064743</v>
      </c>
      <c r="BM8" s="59">
        <f t="shared" si="30"/>
        <v>54.889533331537109</v>
      </c>
      <c r="BN8" s="59">
        <f t="shared" si="31"/>
        <v>59.246036493054561</v>
      </c>
      <c r="BO8" s="77">
        <f t="shared" si="32"/>
        <v>57.620598042817583</v>
      </c>
      <c r="BP8" s="76">
        <f t="shared" si="33"/>
        <v>10.086853213264044</v>
      </c>
      <c r="BQ8" s="76">
        <f t="shared" si="34"/>
        <v>20.578265204386842</v>
      </c>
      <c r="BR8" s="76">
        <f t="shared" si="35"/>
        <v>45.853648018885032</v>
      </c>
      <c r="BS8" s="59">
        <f t="shared" si="36"/>
        <v>31.983279647699185</v>
      </c>
      <c r="BT8" s="77">
        <f t="shared" si="37"/>
        <v>0.55506677705657559</v>
      </c>
      <c r="BU8" s="58">
        <f>VLOOKUP(AP8,Lookup!$N$27:$P$36,2,FALSE)</f>
        <v>141.01</v>
      </c>
      <c r="BV8" s="59">
        <f t="shared" si="38"/>
        <v>62.382037427420983</v>
      </c>
      <c r="BW8" s="59">
        <f t="shared" si="39"/>
        <v>37.532477072610398</v>
      </c>
      <c r="BX8" s="59">
        <f t="shared" si="40"/>
        <v>33.087843981004497</v>
      </c>
      <c r="BY8" s="59">
        <f t="shared" si="41"/>
        <v>37.302014494094372</v>
      </c>
      <c r="BZ8" s="59">
        <f t="shared" si="42"/>
        <v>60.165519788092759</v>
      </c>
      <c r="CA8" s="59">
        <f t="shared" si="43"/>
        <v>56.00914400390662</v>
      </c>
      <c r="CB8" s="59">
        <f t="shared" si="44"/>
        <v>60.706682625264143</v>
      </c>
      <c r="CC8" s="59">
        <f t="shared" si="45"/>
        <v>0.60165519788092758</v>
      </c>
      <c r="CD8" s="59">
        <f t="shared" si="46"/>
        <v>0.56009144003906619</v>
      </c>
      <c r="CE8" s="59">
        <f t="shared" si="47"/>
        <v>0.60706682625264141</v>
      </c>
      <c r="CF8" s="59">
        <f t="shared" si="48"/>
        <v>0.73287735075244276</v>
      </c>
      <c r="CG8" s="59">
        <f t="shared" si="49"/>
        <v>0.70985782368223993</v>
      </c>
      <c r="CH8" s="59">
        <f t="shared" si="50"/>
        <v>0.73598700238828807</v>
      </c>
      <c r="CI8" s="59">
        <f t="shared" si="51"/>
        <v>5.0111271846320902</v>
      </c>
      <c r="CJ8" s="59">
        <f t="shared" si="52"/>
        <v>4.8537287089383954</v>
      </c>
      <c r="CK8" s="59">
        <f t="shared" si="53"/>
        <v>5.0323897599199219</v>
      </c>
      <c r="CL8" s="59">
        <f t="shared" si="54"/>
        <v>65.176646972724853</v>
      </c>
      <c r="CM8" s="59">
        <f t="shared" si="55"/>
        <v>60.862872712845018</v>
      </c>
      <c r="CN8" s="59">
        <f t="shared" si="56"/>
        <v>65.739072385184059</v>
      </c>
      <c r="CO8" s="59">
        <f t="shared" si="57"/>
        <v>63.919804737182275</v>
      </c>
      <c r="CP8" s="59">
        <f t="shared" si="58"/>
        <v>1.1093221332011129</v>
      </c>
      <c r="CQ8" s="64">
        <f t="shared" si="59"/>
        <v>55.425535614453736</v>
      </c>
    </row>
    <row r="9" spans="1:95" ht="30.75" customHeight="1">
      <c r="D9" s="38" t="s">
        <v>77</v>
      </c>
      <c r="E9" s="38">
        <v>4</v>
      </c>
      <c r="F9" s="38">
        <v>3600</v>
      </c>
      <c r="G9" s="38" t="s">
        <v>571</v>
      </c>
      <c r="H9" s="62">
        <v>75</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v>87.457627118644069</v>
      </c>
      <c r="T9" s="102">
        <v>5.1937984496124016E-2</v>
      </c>
      <c r="U9" s="62">
        <v>100</v>
      </c>
      <c r="V9" s="59">
        <f t="shared" si="1"/>
        <v>106.10744039069232</v>
      </c>
      <c r="W9" s="102">
        <f t="shared" si="2"/>
        <v>-5.7559021009313302E-2</v>
      </c>
      <c r="X9" s="62">
        <v>10</v>
      </c>
      <c r="Y9" s="62">
        <v>170</v>
      </c>
      <c r="Z9" s="59">
        <f t="shared" si="60"/>
        <v>174.91525423728814</v>
      </c>
      <c r="AA9" s="102">
        <f t="shared" si="61"/>
        <v>2.8100775193798465E-2</v>
      </c>
      <c r="AB9" s="62">
        <v>175</v>
      </c>
      <c r="AC9" s="59">
        <f t="shared" si="3"/>
        <v>169.77190462510771</v>
      </c>
      <c r="AD9" s="102">
        <f t="shared" si="4"/>
        <v>3.0794820771063575E-2</v>
      </c>
      <c r="AE9" s="62">
        <v>20</v>
      </c>
      <c r="AF9" s="62">
        <v>255</v>
      </c>
      <c r="AG9" s="59">
        <f t="shared" si="5"/>
        <v>262.37288135593224</v>
      </c>
      <c r="AH9" s="102">
        <f t="shared" si="6"/>
        <v>2.8100775193798572E-2</v>
      </c>
      <c r="AI9" s="62">
        <v>260</v>
      </c>
      <c r="AJ9" s="59">
        <f t="shared" si="7"/>
        <v>275.87934501580008</v>
      </c>
      <c r="AK9" s="102">
        <f t="shared" si="8"/>
        <v>-5.7559021009313496E-2</v>
      </c>
      <c r="AL9" s="65">
        <v>42</v>
      </c>
      <c r="AM9" s="61" t="e">
        <f>#REF!</f>
        <v>#REF!</v>
      </c>
      <c r="AN9" s="61" t="e">
        <f>#REF!</f>
        <v>#REF!</v>
      </c>
      <c r="AO9" s="61" t="e">
        <f>#REF!</f>
        <v>#REF!</v>
      </c>
      <c r="AP9" s="72" t="str">
        <f t="shared" si="9"/>
        <v>ESCC-3600</v>
      </c>
      <c r="AQ9" s="59">
        <f t="shared" si="10"/>
        <v>3741.6128749148484</v>
      </c>
      <c r="AR9" s="63" t="str">
        <f t="shared" si="11"/>
        <v>ESCC-75-3600</v>
      </c>
      <c r="AS9" s="39">
        <f>VLOOKUP(AR9,Lookup!$U$28:$V$227,2,FALSE)</f>
        <v>93.6</v>
      </c>
      <c r="AT9" s="63">
        <f t="shared" si="12"/>
        <v>5.1282051282051384</v>
      </c>
      <c r="AU9" s="73">
        <f>VLOOKUP(AP9,Lookup!$N$27:$P$36,3,FALSE)</f>
        <v>130.41999999999999</v>
      </c>
      <c r="AV9" s="76">
        <f t="shared" si="13"/>
        <v>72.972037427421014</v>
      </c>
      <c r="AW9" s="59">
        <f t="shared" si="14"/>
        <v>37.532477072610398</v>
      </c>
      <c r="AX9" s="59">
        <f t="shared" si="15"/>
        <v>33.087843981004497</v>
      </c>
      <c r="AY9" s="59">
        <f t="shared" si="16"/>
        <v>37.302014494094372</v>
      </c>
      <c r="AZ9" s="59">
        <f t="shared" si="17"/>
        <v>51.434053914063611</v>
      </c>
      <c r="BA9" s="59">
        <f t="shared" si="18"/>
        <v>47.880868353232685</v>
      </c>
      <c r="BB9" s="59">
        <f t="shared" si="19"/>
        <v>51.896680990857668</v>
      </c>
      <c r="BC9" s="59">
        <f t="shared" si="20"/>
        <v>0.68578738552084817</v>
      </c>
      <c r="BD9" s="59">
        <f t="shared" si="21"/>
        <v>0.63841157804310245</v>
      </c>
      <c r="BE9" s="59">
        <f t="shared" si="22"/>
        <v>0.69195574654476888</v>
      </c>
      <c r="BF9" s="59">
        <f t="shared" si="23"/>
        <v>0.78377721921739651</v>
      </c>
      <c r="BG9" s="59">
        <f t="shared" si="24"/>
        <v>0.75446760671790802</v>
      </c>
      <c r="BH9" s="59">
        <f t="shared" si="25"/>
        <v>0.78770267824232221</v>
      </c>
      <c r="BI9" s="59">
        <f t="shared" si="26"/>
        <v>4.0193703549610156</v>
      </c>
      <c r="BJ9" s="59">
        <f t="shared" si="27"/>
        <v>3.8690646498354333</v>
      </c>
      <c r="BK9" s="59">
        <f t="shared" si="28"/>
        <v>4.0395009140631988</v>
      </c>
      <c r="BL9" s="59">
        <f t="shared" si="29"/>
        <v>55.453424269024623</v>
      </c>
      <c r="BM9" s="59">
        <f t="shared" si="30"/>
        <v>51.749933003068122</v>
      </c>
      <c r="BN9" s="59">
        <f t="shared" si="31"/>
        <v>55.936181904920865</v>
      </c>
      <c r="BO9" s="77">
        <f t="shared" si="32"/>
        <v>54.374408407698638</v>
      </c>
      <c r="BP9" s="76">
        <f t="shared" si="33"/>
        <v>10.086853213264044</v>
      </c>
      <c r="BQ9" s="76">
        <f t="shared" si="34"/>
        <v>20.578265204386842</v>
      </c>
      <c r="BR9" s="76">
        <f t="shared" si="35"/>
        <v>45.853648018885032</v>
      </c>
      <c r="BS9" s="59">
        <f t="shared" si="36"/>
        <v>31.983279647699185</v>
      </c>
      <c r="BT9" s="77">
        <f t="shared" si="37"/>
        <v>0.58820464597773559</v>
      </c>
      <c r="BU9" s="58">
        <f>VLOOKUP(AP9,Lookup!$N$27:$P$36,2,FALSE)</f>
        <v>135.94</v>
      </c>
      <c r="BV9" s="59">
        <f t="shared" si="38"/>
        <v>67.452037427421033</v>
      </c>
      <c r="BW9" s="59">
        <f t="shared" si="39"/>
        <v>37.532477072610398</v>
      </c>
      <c r="BX9" s="59">
        <f t="shared" si="40"/>
        <v>33.087843981004497</v>
      </c>
      <c r="BY9" s="59">
        <f t="shared" si="41"/>
        <v>37.302014494094372</v>
      </c>
      <c r="BZ9" s="59">
        <f t="shared" si="42"/>
        <v>55.643207387168495</v>
      </c>
      <c r="CA9" s="59">
        <f t="shared" si="43"/>
        <v>51.799243592738762</v>
      </c>
      <c r="CB9" s="59">
        <f t="shared" si="44"/>
        <v>56.143693979572454</v>
      </c>
      <c r="CC9" s="59">
        <f t="shared" si="45"/>
        <v>0.74190943182891322</v>
      </c>
      <c r="CD9" s="59">
        <f t="shared" si="46"/>
        <v>0.69065658123651685</v>
      </c>
      <c r="CE9" s="59">
        <f t="shared" si="47"/>
        <v>0.74858258639429942</v>
      </c>
      <c r="CF9" s="59">
        <f t="shared" si="48"/>
        <v>0.82028971353239588</v>
      </c>
      <c r="CG9" s="59">
        <f t="shared" si="49"/>
        <v>0.78687396254626196</v>
      </c>
      <c r="CH9" s="59">
        <f t="shared" si="50"/>
        <v>0.8247396693904121</v>
      </c>
      <c r="CI9" s="59">
        <f t="shared" si="51"/>
        <v>4.206613915550756</v>
      </c>
      <c r="CJ9" s="59">
        <f t="shared" si="52"/>
        <v>4.0352510899808385</v>
      </c>
      <c r="CK9" s="59">
        <f t="shared" si="53"/>
        <v>4.2294342020021221</v>
      </c>
      <c r="CL9" s="59">
        <f t="shared" si="54"/>
        <v>59.849821302719249</v>
      </c>
      <c r="CM9" s="59">
        <f t="shared" si="55"/>
        <v>55.834494682719601</v>
      </c>
      <c r="CN9" s="59">
        <f t="shared" si="56"/>
        <v>60.373128181574579</v>
      </c>
      <c r="CO9" s="59">
        <f t="shared" si="57"/>
        <v>58.679946140865574</v>
      </c>
      <c r="CP9" s="59">
        <f t="shared" si="58"/>
        <v>1.0791831646403225</v>
      </c>
      <c r="CQ9" s="64">
        <f t="shared" si="59"/>
        <v>49.097851866258694</v>
      </c>
    </row>
    <row r="10" spans="1:95">
      <c r="D10" s="38" t="s">
        <v>78</v>
      </c>
      <c r="E10" s="38">
        <v>4</v>
      </c>
      <c r="F10" s="38">
        <v>3600</v>
      </c>
      <c r="G10" s="38" t="s">
        <v>571</v>
      </c>
      <c r="H10" s="62">
        <v>60</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v>87.457627118644069</v>
      </c>
      <c r="T10" s="102">
        <v>5.1937984496124016E-2</v>
      </c>
      <c r="U10" s="62">
        <v>100</v>
      </c>
      <c r="V10" s="59">
        <f t="shared" si="1"/>
        <v>106.10744039069232</v>
      </c>
      <c r="W10" s="102">
        <f t="shared" si="2"/>
        <v>-5.7559021009313302E-2</v>
      </c>
      <c r="X10" s="62">
        <v>10</v>
      </c>
      <c r="Y10" s="62">
        <v>170</v>
      </c>
      <c r="Z10" s="59">
        <f t="shared" si="60"/>
        <v>174.91525423728814</v>
      </c>
      <c r="AA10" s="102">
        <f t="shared" si="61"/>
        <v>2.8100775193798465E-2</v>
      </c>
      <c r="AB10" s="62">
        <v>175</v>
      </c>
      <c r="AC10" s="59">
        <f t="shared" si="3"/>
        <v>169.77190462510771</v>
      </c>
      <c r="AD10" s="102">
        <f t="shared" si="4"/>
        <v>3.0794820771063575E-2</v>
      </c>
      <c r="AE10" s="62">
        <v>20</v>
      </c>
      <c r="AF10" s="62">
        <v>255</v>
      </c>
      <c r="AG10" s="59">
        <f t="shared" si="5"/>
        <v>262.37288135593224</v>
      </c>
      <c r="AH10" s="102">
        <f t="shared" si="6"/>
        <v>2.8100775193798572E-2</v>
      </c>
      <c r="AI10" s="62">
        <v>260</v>
      </c>
      <c r="AJ10" s="59">
        <f t="shared" si="7"/>
        <v>275.87934501580008</v>
      </c>
      <c r="AK10" s="102">
        <f t="shared" si="8"/>
        <v>-5.7559021009313496E-2</v>
      </c>
      <c r="AL10" s="65">
        <v>42</v>
      </c>
      <c r="AM10" s="61" t="e">
        <f>#REF!</f>
        <v>#REF!</v>
      </c>
      <c r="AN10" s="61" t="e">
        <f>#REF!</f>
        <v>#REF!</v>
      </c>
      <c r="AO10" s="61" t="e">
        <f>#REF!</f>
        <v>#REF!</v>
      </c>
      <c r="AP10" s="72" t="str">
        <f t="shared" si="9"/>
        <v>ESFM-3600</v>
      </c>
      <c r="AQ10" s="59">
        <f t="shared" si="10"/>
        <v>3741.6128749148484</v>
      </c>
      <c r="AR10" s="63" t="str">
        <f t="shared" si="11"/>
        <v>ESFM-60-3600</v>
      </c>
      <c r="AS10" s="39">
        <f>VLOOKUP(AR10,Lookup!$U$28:$V$227,2,FALSE)</f>
        <v>93.6</v>
      </c>
      <c r="AT10" s="63">
        <f t="shared" si="12"/>
        <v>4.1025641025641022</v>
      </c>
      <c r="AU10" s="73">
        <f>VLOOKUP(AP10,Lookup!$N$27:$P$36,3,FALSE)</f>
        <v>130.99</v>
      </c>
      <c r="AV10" s="76">
        <f t="shared" si="13"/>
        <v>72.402037427420964</v>
      </c>
      <c r="AW10" s="59">
        <f t="shared" si="14"/>
        <v>37.532477072610398</v>
      </c>
      <c r="AX10" s="59">
        <f t="shared" si="15"/>
        <v>33.087843981004497</v>
      </c>
      <c r="AY10" s="59">
        <f t="shared" si="16"/>
        <v>37.302014494094372</v>
      </c>
      <c r="AZ10" s="59">
        <f t="shared" si="17"/>
        <v>51.838979131263578</v>
      </c>
      <c r="BA10" s="59">
        <f t="shared" si="18"/>
        <v>48.257820382914225</v>
      </c>
      <c r="BB10" s="59">
        <f t="shared" si="19"/>
        <v>52.305248335311816</v>
      </c>
      <c r="BC10" s="59">
        <f t="shared" si="20"/>
        <v>0.86398298552105968</v>
      </c>
      <c r="BD10" s="59">
        <f t="shared" si="21"/>
        <v>0.80429700638190371</v>
      </c>
      <c r="BE10" s="59">
        <f t="shared" si="22"/>
        <v>0.8717541389218636</v>
      </c>
      <c r="BF10" s="59">
        <f t="shared" si="23"/>
        <v>0.90420840834627181</v>
      </c>
      <c r="BG10" s="59">
        <f t="shared" si="24"/>
        <v>0.86260649819750457</v>
      </c>
      <c r="BH10" s="59">
        <f t="shared" si="25"/>
        <v>0.90967472778435055</v>
      </c>
      <c r="BI10" s="59">
        <f t="shared" si="26"/>
        <v>3.7095729573180378</v>
      </c>
      <c r="BJ10" s="59">
        <f t="shared" si="27"/>
        <v>3.5388984541436082</v>
      </c>
      <c r="BK10" s="59">
        <f t="shared" si="28"/>
        <v>3.7319988832178481</v>
      </c>
      <c r="BL10" s="59">
        <f t="shared" si="29"/>
        <v>55.548552088581616</v>
      </c>
      <c r="BM10" s="59">
        <f t="shared" si="30"/>
        <v>51.796718837057831</v>
      </c>
      <c r="BN10" s="59">
        <f t="shared" si="31"/>
        <v>56.037247218529664</v>
      </c>
      <c r="BO10" s="77">
        <f t="shared" si="32"/>
        <v>54.455393297451565</v>
      </c>
      <c r="BP10" s="76">
        <f t="shared" si="33"/>
        <v>10.086853213264044</v>
      </c>
      <c r="BQ10" s="76">
        <f t="shared" si="34"/>
        <v>20.578265204386842</v>
      </c>
      <c r="BR10" s="76">
        <f t="shared" si="35"/>
        <v>45.853648018885032</v>
      </c>
      <c r="BS10" s="59">
        <f t="shared" si="36"/>
        <v>31.983279647699185</v>
      </c>
      <c r="BT10" s="77">
        <f t="shared" si="37"/>
        <v>0.58732988067861325</v>
      </c>
      <c r="BU10" s="58">
        <f>VLOOKUP(AP10,Lookup!$N$27:$P$36,2,FALSE)</f>
        <v>136.59</v>
      </c>
      <c r="BV10" s="59">
        <f t="shared" si="38"/>
        <v>66.802037427420942</v>
      </c>
      <c r="BW10" s="59">
        <f t="shared" si="39"/>
        <v>37.532477072610398</v>
      </c>
      <c r="BX10" s="59">
        <f t="shared" si="40"/>
        <v>33.087843981004497</v>
      </c>
      <c r="BY10" s="59">
        <f t="shared" si="41"/>
        <v>37.302014494094372</v>
      </c>
      <c r="BZ10" s="59">
        <f t="shared" si="42"/>
        <v>56.184629268813353</v>
      </c>
      <c r="CA10" s="59">
        <f t="shared" si="43"/>
        <v>52.303262775864219</v>
      </c>
      <c r="CB10" s="59">
        <f t="shared" si="44"/>
        <v>56.689985716952116</v>
      </c>
      <c r="CC10" s="59">
        <f t="shared" si="45"/>
        <v>0.93641048781355585</v>
      </c>
      <c r="CD10" s="59">
        <f t="shared" si="46"/>
        <v>0.87172104626440361</v>
      </c>
      <c r="CE10" s="59">
        <f t="shared" si="47"/>
        <v>0.94483309528253523</v>
      </c>
      <c r="CF10" s="59">
        <f t="shared" si="48"/>
        <v>0.95532004042027907</v>
      </c>
      <c r="CG10" s="59">
        <f t="shared" si="49"/>
        <v>0.90965143351934208</v>
      </c>
      <c r="CH10" s="59">
        <f t="shared" si="50"/>
        <v>0.9612654229937373</v>
      </c>
      <c r="CI10" s="59">
        <f t="shared" si="51"/>
        <v>3.9192617042883242</v>
      </c>
      <c r="CJ10" s="59">
        <f t="shared" si="52"/>
        <v>3.7319033170024287</v>
      </c>
      <c r="CK10" s="59">
        <f t="shared" si="53"/>
        <v>3.9436530174102038</v>
      </c>
      <c r="CL10" s="59">
        <f t="shared" si="54"/>
        <v>60.103890973101677</v>
      </c>
      <c r="CM10" s="59">
        <f t="shared" si="55"/>
        <v>56.035166092866646</v>
      </c>
      <c r="CN10" s="59">
        <f t="shared" si="56"/>
        <v>60.633638734362322</v>
      </c>
      <c r="CO10" s="59">
        <f t="shared" si="57"/>
        <v>58.918339510250206</v>
      </c>
      <c r="CP10" s="59">
        <f t="shared" si="58"/>
        <v>1.0819559999947241</v>
      </c>
      <c r="CQ10" s="64">
        <f t="shared" si="59"/>
        <v>49.462611931611086</v>
      </c>
    </row>
    <row r="11" spans="1:95" ht="61.5" customHeight="1">
      <c r="D11" s="38" t="s">
        <v>76</v>
      </c>
      <c r="E11" s="38">
        <v>4</v>
      </c>
      <c r="F11" s="38">
        <v>3600</v>
      </c>
      <c r="G11" s="38" t="s">
        <v>571</v>
      </c>
      <c r="H11" s="62">
        <v>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v>87.457627118644069</v>
      </c>
      <c r="T11" s="102">
        <v>5.1937984496124016E-2</v>
      </c>
      <c r="U11" s="62">
        <v>100</v>
      </c>
      <c r="V11" s="59">
        <f t="shared" si="1"/>
        <v>106.10744039069232</v>
      </c>
      <c r="W11" s="102">
        <f t="shared" si="2"/>
        <v>-5.7559021009313302E-2</v>
      </c>
      <c r="X11" s="62">
        <v>10</v>
      </c>
      <c r="Y11" s="62">
        <v>170</v>
      </c>
      <c r="Z11" s="59">
        <f t="shared" si="60"/>
        <v>174.91525423728814</v>
      </c>
      <c r="AA11" s="102">
        <f t="shared" si="61"/>
        <v>2.8100775193798465E-2</v>
      </c>
      <c r="AB11" s="62">
        <v>175</v>
      </c>
      <c r="AC11" s="59">
        <f t="shared" si="3"/>
        <v>169.77190462510771</v>
      </c>
      <c r="AD11" s="102">
        <f t="shared" si="4"/>
        <v>3.0794820771063575E-2</v>
      </c>
      <c r="AE11" s="62">
        <v>20</v>
      </c>
      <c r="AF11" s="62">
        <v>255</v>
      </c>
      <c r="AG11" s="59">
        <f t="shared" si="5"/>
        <v>262.37288135593224</v>
      </c>
      <c r="AH11" s="102">
        <f t="shared" si="6"/>
        <v>2.8100775193798572E-2</v>
      </c>
      <c r="AI11" s="62">
        <v>260</v>
      </c>
      <c r="AJ11" s="59">
        <f t="shared" si="7"/>
        <v>275.87934501580008</v>
      </c>
      <c r="AK11" s="102">
        <f t="shared" si="8"/>
        <v>-5.7559021009313496E-2</v>
      </c>
      <c r="AL11" s="65">
        <v>42</v>
      </c>
      <c r="AM11" s="61" t="e">
        <f>#REF!</f>
        <v>#REF!</v>
      </c>
      <c r="AN11" s="61" t="e">
        <f>#REF!</f>
        <v>#REF!</v>
      </c>
      <c r="AO11" s="61" t="e">
        <f>#REF!</f>
        <v>#REF!</v>
      </c>
      <c r="AP11" s="72" t="str">
        <f t="shared" si="9"/>
        <v>ST-3600</v>
      </c>
      <c r="AQ11" s="59">
        <f t="shared" si="10"/>
        <v>3741.6128749148484</v>
      </c>
      <c r="AR11" s="63" t="str">
        <f t="shared" si="11"/>
        <v>ST-50-3600</v>
      </c>
      <c r="AS11" s="39">
        <f>VLOOKUP(AR11,Lookup!$U$28:$V$227,2,FALSE)</f>
        <v>80</v>
      </c>
      <c r="AT11" s="63">
        <f t="shared" si="12"/>
        <v>12.5</v>
      </c>
      <c r="AU11" s="73">
        <f>VLOOKUP(AP11,Lookup!$N$27:$P$36,3,FALSE)</f>
        <v>134.85</v>
      </c>
      <c r="AV11" s="76">
        <f t="shared" si="13"/>
        <v>68.542037427420951</v>
      </c>
      <c r="AW11" s="59">
        <f t="shared" si="14"/>
        <v>37.532477072610398</v>
      </c>
      <c r="AX11" s="59">
        <f t="shared" si="15"/>
        <v>33.087843981004497</v>
      </c>
      <c r="AY11" s="59">
        <f t="shared" si="16"/>
        <v>37.302014494094372</v>
      </c>
      <c r="AZ11" s="59">
        <f t="shared" si="17"/>
        <v>54.758332960781146</v>
      </c>
      <c r="BA11" s="59">
        <f t="shared" si="18"/>
        <v>50.975498375420592</v>
      </c>
      <c r="BB11" s="59">
        <f t="shared" si="19"/>
        <v>55.250860490306387</v>
      </c>
      <c r="BC11" s="59">
        <f t="shared" si="20"/>
        <v>1</v>
      </c>
      <c r="BD11" s="59">
        <f t="shared" si="21"/>
        <v>1</v>
      </c>
      <c r="BE11" s="59">
        <f t="shared" si="22"/>
        <v>1</v>
      </c>
      <c r="BF11" s="59">
        <f t="shared" si="23"/>
        <v>1</v>
      </c>
      <c r="BG11" s="59">
        <f t="shared" si="24"/>
        <v>1</v>
      </c>
      <c r="BH11" s="59">
        <f t="shared" si="25"/>
        <v>1</v>
      </c>
      <c r="BI11" s="59">
        <f t="shared" si="26"/>
        <v>12.5</v>
      </c>
      <c r="BJ11" s="59">
        <f t="shared" si="27"/>
        <v>12.5</v>
      </c>
      <c r="BK11" s="59">
        <f t="shared" si="28"/>
        <v>12.5</v>
      </c>
      <c r="BL11" s="59">
        <f t="shared" si="29"/>
        <v>67.258332960781146</v>
      </c>
      <c r="BM11" s="59">
        <f t="shared" si="30"/>
        <v>63.475498375420592</v>
      </c>
      <c r="BN11" s="59">
        <f t="shared" si="31"/>
        <v>67.750860490306394</v>
      </c>
      <c r="BO11" s="77">
        <f t="shared" si="32"/>
        <v>66.154947785775164</v>
      </c>
      <c r="BP11" s="76">
        <f t="shared" si="33"/>
        <v>10.086853213264044</v>
      </c>
      <c r="BQ11" s="76">
        <f t="shared" si="34"/>
        <v>20.578265204386842</v>
      </c>
      <c r="BR11" s="76">
        <f t="shared" si="35"/>
        <v>45.853648018885032</v>
      </c>
      <c r="BS11" s="59">
        <f t="shared" si="36"/>
        <v>31.983279647699185</v>
      </c>
      <c r="BT11" s="77">
        <f t="shared" si="37"/>
        <v>0.48346012986463766</v>
      </c>
      <c r="BU11" s="58">
        <f>VLOOKUP(AP11,Lookup!$N$27:$P$36,2,FALSE)</f>
        <v>138.78</v>
      </c>
      <c r="BV11" s="59">
        <f t="shared" si="38"/>
        <v>64.612037427421001</v>
      </c>
      <c r="BW11" s="59">
        <f t="shared" si="39"/>
        <v>37.532477072610398</v>
      </c>
      <c r="BX11" s="59">
        <f t="shared" si="40"/>
        <v>33.087843981004497</v>
      </c>
      <c r="BY11" s="59">
        <f t="shared" si="41"/>
        <v>37.302014494094372</v>
      </c>
      <c r="BZ11" s="59">
        <f t="shared" si="42"/>
        <v>58.088985531172582</v>
      </c>
      <c r="CA11" s="59">
        <f t="shared" si="43"/>
        <v>54.076061623258681</v>
      </c>
      <c r="CB11" s="59">
        <f t="shared" si="44"/>
        <v>58.611470840518791</v>
      </c>
      <c r="CC11" s="59">
        <f t="shared" si="45"/>
        <v>1</v>
      </c>
      <c r="CD11" s="59">
        <f t="shared" si="46"/>
        <v>1</v>
      </c>
      <c r="CE11" s="59">
        <f t="shared" si="47"/>
        <v>1</v>
      </c>
      <c r="CF11" s="59">
        <f t="shared" si="48"/>
        <v>1</v>
      </c>
      <c r="CG11" s="59">
        <f t="shared" si="49"/>
        <v>1</v>
      </c>
      <c r="CH11" s="59">
        <f t="shared" si="50"/>
        <v>1</v>
      </c>
      <c r="CI11" s="59">
        <f t="shared" si="51"/>
        <v>12.5</v>
      </c>
      <c r="CJ11" s="59">
        <f t="shared" si="52"/>
        <v>12.5</v>
      </c>
      <c r="CK11" s="59">
        <f t="shared" si="53"/>
        <v>12.5</v>
      </c>
      <c r="CL11" s="59">
        <f t="shared" si="54"/>
        <v>70.588985531172582</v>
      </c>
      <c r="CM11" s="59">
        <f t="shared" si="55"/>
        <v>66.576061623258681</v>
      </c>
      <c r="CN11" s="59">
        <f t="shared" si="56"/>
        <v>71.111470840518791</v>
      </c>
      <c r="CO11" s="59">
        <f t="shared" si="57"/>
        <v>69.418563447716849</v>
      </c>
      <c r="CP11" s="59">
        <f t="shared" si="58"/>
        <v>1.0493329036024639</v>
      </c>
      <c r="CQ11" s="64">
        <f t="shared" si="59"/>
        <v>56.587277373782619</v>
      </c>
    </row>
    <row r="12" spans="1:95">
      <c r="D12" s="38" t="s">
        <v>75</v>
      </c>
      <c r="E12" s="38">
        <v>4</v>
      </c>
      <c r="F12" s="38">
        <v>3600</v>
      </c>
      <c r="G12" s="38" t="s">
        <v>571</v>
      </c>
      <c r="H12" s="62">
        <v>40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v>87.457627118644069</v>
      </c>
      <c r="T12" s="102">
        <v>5.1937984496124016E-2</v>
      </c>
      <c r="U12" s="62">
        <v>100</v>
      </c>
      <c r="V12" s="59">
        <f t="shared" si="1"/>
        <v>106.10744039069232</v>
      </c>
      <c r="W12" s="102">
        <f t="shared" si="2"/>
        <v>-5.7559021009313302E-2</v>
      </c>
      <c r="X12" s="62">
        <v>10</v>
      </c>
      <c r="Y12" s="62">
        <v>170</v>
      </c>
      <c r="Z12" s="59">
        <f t="shared" si="60"/>
        <v>174.91525423728814</v>
      </c>
      <c r="AA12" s="102">
        <f t="shared" si="61"/>
        <v>2.8100775193798465E-2</v>
      </c>
      <c r="AB12" s="62">
        <v>175</v>
      </c>
      <c r="AC12" s="59">
        <f t="shared" si="3"/>
        <v>169.77190462510771</v>
      </c>
      <c r="AD12" s="102">
        <f t="shared" si="4"/>
        <v>3.0794820771063575E-2</v>
      </c>
      <c r="AE12" s="62">
        <v>20</v>
      </c>
      <c r="AF12" s="62">
        <v>255</v>
      </c>
      <c r="AG12" s="59">
        <f t="shared" si="5"/>
        <v>262.37288135593224</v>
      </c>
      <c r="AH12" s="102">
        <f t="shared" si="6"/>
        <v>2.8100775193798572E-2</v>
      </c>
      <c r="AI12" s="62">
        <v>260</v>
      </c>
      <c r="AJ12" s="59">
        <f t="shared" si="7"/>
        <v>275.87934501580008</v>
      </c>
      <c r="AK12" s="102">
        <f t="shared" si="8"/>
        <v>-5.7559021009313496E-2</v>
      </c>
      <c r="AL12" s="65">
        <v>42</v>
      </c>
      <c r="AM12" s="61" t="e">
        <f>#REF!</f>
        <v>#REF!</v>
      </c>
      <c r="AN12" s="61" t="e">
        <f>#REF!</f>
        <v>#REF!</v>
      </c>
      <c r="AO12" s="61" t="e">
        <f>#REF!</f>
        <v>#REF!</v>
      </c>
      <c r="AP12" s="72" t="str">
        <f t="shared" si="9"/>
        <v>RSV-3600</v>
      </c>
      <c r="AQ12" s="59">
        <f t="shared" si="10"/>
        <v>3741.6128749148484</v>
      </c>
      <c r="AR12" s="63" t="str">
        <f t="shared" si="11"/>
        <v>RSV-40-3600</v>
      </c>
      <c r="AS12" s="39">
        <f>VLOOKUP(AR12,Lookup!$U$28:$V$227,2,FALSE)</f>
        <v>92.4</v>
      </c>
      <c r="AT12" s="63">
        <f t="shared" si="12"/>
        <v>3.2900432900432861</v>
      </c>
      <c r="AU12" s="73">
        <f>VLOOKUP(AP12,Lookup!$N$27:$P$36,3,FALSE)</f>
        <v>133.19999999999999</v>
      </c>
      <c r="AV12" s="76">
        <f t="shared" si="13"/>
        <v>70.192037427421042</v>
      </c>
      <c r="AW12" s="59">
        <f t="shared" si="14"/>
        <v>37.532477072610398</v>
      </c>
      <c r="AX12" s="59">
        <f t="shared" si="15"/>
        <v>33.087843981004497</v>
      </c>
      <c r="AY12" s="59">
        <f t="shared" si="16"/>
        <v>37.302014494094372</v>
      </c>
      <c r="AZ12" s="59">
        <f t="shared" si="17"/>
        <v>53.471132122955098</v>
      </c>
      <c r="BA12" s="59">
        <f t="shared" si="18"/>
        <v>49.777220402560516</v>
      </c>
      <c r="BB12" s="59">
        <f t="shared" si="19"/>
        <v>53.952081837481643</v>
      </c>
      <c r="BC12" s="59">
        <f t="shared" si="20"/>
        <v>1</v>
      </c>
      <c r="BD12" s="59">
        <f t="shared" si="21"/>
        <v>1</v>
      </c>
      <c r="BE12" s="59">
        <f t="shared" si="22"/>
        <v>1</v>
      </c>
      <c r="BF12" s="59">
        <f t="shared" si="23"/>
        <v>1</v>
      </c>
      <c r="BG12" s="59">
        <f t="shared" si="24"/>
        <v>1</v>
      </c>
      <c r="BH12" s="59">
        <f t="shared" si="25"/>
        <v>1</v>
      </c>
      <c r="BI12" s="59">
        <f t="shared" si="26"/>
        <v>3.2900432900432861</v>
      </c>
      <c r="BJ12" s="59">
        <f t="shared" si="27"/>
        <v>3.2900432900432861</v>
      </c>
      <c r="BK12" s="59">
        <f t="shared" si="28"/>
        <v>3.2900432900432861</v>
      </c>
      <c r="BL12" s="59">
        <f t="shared" si="29"/>
        <v>56.761175412998384</v>
      </c>
      <c r="BM12" s="59">
        <f t="shared" si="30"/>
        <v>53.067263692603802</v>
      </c>
      <c r="BN12" s="59">
        <f t="shared" si="31"/>
        <v>57.242125127524929</v>
      </c>
      <c r="BO12" s="77">
        <f t="shared" si="32"/>
        <v>55.684619058901269</v>
      </c>
      <c r="BP12" s="76">
        <f t="shared" si="33"/>
        <v>10.086853213264044</v>
      </c>
      <c r="BQ12" s="76">
        <f t="shared" si="34"/>
        <v>20.578265204386842</v>
      </c>
      <c r="BR12" s="76">
        <f t="shared" si="35"/>
        <v>45.853648018885032</v>
      </c>
      <c r="BS12" s="59">
        <f t="shared" si="36"/>
        <v>31.983279647699185</v>
      </c>
      <c r="BT12" s="77">
        <f t="shared" si="37"/>
        <v>0.57436470228643166</v>
      </c>
      <c r="BU12" s="58">
        <f>VLOOKUP(AP12,Lookup!$N$27:$P$36,2,FALSE)</f>
        <v>133.19999999999999</v>
      </c>
      <c r="BV12" s="59">
        <f t="shared" si="38"/>
        <v>70.192037427421042</v>
      </c>
      <c r="BW12" s="59">
        <f t="shared" si="39"/>
        <v>37.532477072610398</v>
      </c>
      <c r="BX12" s="59">
        <f t="shared" si="40"/>
        <v>33.087843981004497</v>
      </c>
      <c r="BY12" s="59">
        <f t="shared" si="41"/>
        <v>37.302014494094372</v>
      </c>
      <c r="BZ12" s="59">
        <f t="shared" si="42"/>
        <v>53.471132122955098</v>
      </c>
      <c r="CA12" s="59">
        <f t="shared" si="43"/>
        <v>49.777220402560516</v>
      </c>
      <c r="CB12" s="59">
        <f t="shared" si="44"/>
        <v>53.952081837481643</v>
      </c>
      <c r="CC12" s="59">
        <f t="shared" si="45"/>
        <v>1</v>
      </c>
      <c r="CD12" s="59">
        <f t="shared" si="46"/>
        <v>1</v>
      </c>
      <c r="CE12" s="59">
        <f t="shared" si="47"/>
        <v>1</v>
      </c>
      <c r="CF12" s="59">
        <f t="shared" si="48"/>
        <v>1</v>
      </c>
      <c r="CG12" s="59">
        <f t="shared" si="49"/>
        <v>1</v>
      </c>
      <c r="CH12" s="59">
        <f t="shared" si="50"/>
        <v>1</v>
      </c>
      <c r="CI12" s="59">
        <f t="shared" si="51"/>
        <v>3.2900432900432861</v>
      </c>
      <c r="CJ12" s="59">
        <f t="shared" si="52"/>
        <v>3.2900432900432861</v>
      </c>
      <c r="CK12" s="59">
        <f t="shared" si="53"/>
        <v>3.2900432900432861</v>
      </c>
      <c r="CL12" s="59">
        <f t="shared" si="54"/>
        <v>56.761175412998384</v>
      </c>
      <c r="CM12" s="59">
        <f t="shared" si="55"/>
        <v>53.067263692603802</v>
      </c>
      <c r="CN12" s="59">
        <f t="shared" si="56"/>
        <v>57.242125127524929</v>
      </c>
      <c r="CO12" s="59">
        <f t="shared" si="57"/>
        <v>55.684619058901269</v>
      </c>
      <c r="CP12" s="59">
        <f t="shared" si="58"/>
        <v>1</v>
      </c>
      <c r="CQ12" s="64">
        <f t="shared" si="59"/>
        <v>42.563529771356833</v>
      </c>
    </row>
    <row r="13" spans="1:95">
      <c r="D13" s="38" t="s">
        <v>74</v>
      </c>
      <c r="E13" s="38">
        <v>4</v>
      </c>
      <c r="F13" s="38">
        <v>3600</v>
      </c>
      <c r="G13" s="38" t="s">
        <v>571</v>
      </c>
      <c r="H13" s="62">
        <v>30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v>87.457627118644069</v>
      </c>
      <c r="T13" s="102">
        <v>5.1937984496124016E-2</v>
      </c>
      <c r="U13" s="62">
        <v>100</v>
      </c>
      <c r="V13" s="59">
        <f t="shared" si="1"/>
        <v>106.10744039069232</v>
      </c>
      <c r="W13" s="102">
        <f t="shared" si="2"/>
        <v>-5.7559021009313302E-2</v>
      </c>
      <c r="X13" s="62">
        <v>10</v>
      </c>
      <c r="Y13" s="62">
        <v>170</v>
      </c>
      <c r="Z13" s="59">
        <f t="shared" si="60"/>
        <v>174.91525423728814</v>
      </c>
      <c r="AA13" s="102">
        <f t="shared" si="61"/>
        <v>2.8100775193798465E-2</v>
      </c>
      <c r="AB13" s="62">
        <v>175</v>
      </c>
      <c r="AC13" s="59">
        <f t="shared" si="3"/>
        <v>169.77190462510771</v>
      </c>
      <c r="AD13" s="102">
        <f t="shared" si="4"/>
        <v>3.0794820771063575E-2</v>
      </c>
      <c r="AE13" s="62">
        <v>20</v>
      </c>
      <c r="AF13" s="62">
        <v>255</v>
      </c>
      <c r="AG13" s="59">
        <f t="shared" si="5"/>
        <v>262.37288135593224</v>
      </c>
      <c r="AH13" s="102">
        <f t="shared" si="6"/>
        <v>2.8100775193798572E-2</v>
      </c>
      <c r="AI13" s="62">
        <v>260</v>
      </c>
      <c r="AJ13" s="59">
        <f t="shared" si="7"/>
        <v>275.87934501580008</v>
      </c>
      <c r="AK13" s="102">
        <f t="shared" si="8"/>
        <v>-5.7559021009313496E-2</v>
      </c>
      <c r="AL13" s="65">
        <v>42</v>
      </c>
      <c r="AM13" s="61" t="e">
        <f>#REF!</f>
        <v>#REF!</v>
      </c>
      <c r="AN13" s="61" t="e">
        <f>#REF!</f>
        <v>#REF!</v>
      </c>
      <c r="AO13" s="61" t="e">
        <f>#REF!</f>
        <v>#REF!</v>
      </c>
      <c r="AP13" s="72" t="str">
        <f t="shared" si="9"/>
        <v>IL-3600</v>
      </c>
      <c r="AQ13" s="59">
        <f t="shared" si="10"/>
        <v>3741.6128749148484</v>
      </c>
      <c r="AR13" s="63" t="str">
        <f t="shared" si="11"/>
        <v>IL-30-3600</v>
      </c>
      <c r="AS13" s="39">
        <f>VLOOKUP(AR13,Lookup!$U$28:$V$227,2,FALSE)</f>
        <v>91.7</v>
      </c>
      <c r="AT13" s="63">
        <f t="shared" si="12"/>
        <v>2.7153762268266064</v>
      </c>
      <c r="AU13" s="73">
        <f>VLOOKUP(AP13,Lookup!$N$27:$P$36,3,FALSE)</f>
        <v>133.84</v>
      </c>
      <c r="AV13" s="76">
        <f t="shared" si="13"/>
        <v>69.552037427420942</v>
      </c>
      <c r="AW13" s="59">
        <f t="shared" si="14"/>
        <v>37.532477072610398</v>
      </c>
      <c r="AX13" s="59">
        <f t="shared" si="15"/>
        <v>33.087843981004497</v>
      </c>
      <c r="AY13" s="59">
        <f t="shared" si="16"/>
        <v>37.302014494094372</v>
      </c>
      <c r="AZ13" s="59">
        <f t="shared" si="17"/>
        <v>53.963159759016911</v>
      </c>
      <c r="BA13" s="59">
        <f t="shared" si="18"/>
        <v>50.235257610900931</v>
      </c>
      <c r="BB13" s="59">
        <f t="shared" si="19"/>
        <v>54.448535049395467</v>
      </c>
      <c r="BC13" s="59">
        <f t="shared" si="20"/>
        <v>1</v>
      </c>
      <c r="BD13" s="59">
        <f t="shared" si="21"/>
        <v>1</v>
      </c>
      <c r="BE13" s="59">
        <f t="shared" si="22"/>
        <v>1</v>
      </c>
      <c r="BF13" s="59">
        <f t="shared" si="23"/>
        <v>1</v>
      </c>
      <c r="BG13" s="59">
        <f t="shared" si="24"/>
        <v>1</v>
      </c>
      <c r="BH13" s="59">
        <f t="shared" si="25"/>
        <v>1</v>
      </c>
      <c r="BI13" s="59">
        <f t="shared" si="26"/>
        <v>2.7153762268266064</v>
      </c>
      <c r="BJ13" s="59">
        <f t="shared" si="27"/>
        <v>2.7153762268266064</v>
      </c>
      <c r="BK13" s="59">
        <f t="shared" si="28"/>
        <v>2.7153762268266064</v>
      </c>
      <c r="BL13" s="59">
        <f t="shared" si="29"/>
        <v>56.678535985843517</v>
      </c>
      <c r="BM13" s="59">
        <f t="shared" si="30"/>
        <v>52.950633837727537</v>
      </c>
      <c r="BN13" s="59">
        <f t="shared" si="31"/>
        <v>57.163911276222073</v>
      </c>
      <c r="BO13" s="77">
        <f t="shared" si="32"/>
        <v>55.592133930561047</v>
      </c>
      <c r="BP13" s="76">
        <f t="shared" si="33"/>
        <v>10.086853213264044</v>
      </c>
      <c r="BQ13" s="76">
        <f t="shared" si="34"/>
        <v>20.578265204386842</v>
      </c>
      <c r="BR13" s="76">
        <f t="shared" si="35"/>
        <v>45.853648018885032</v>
      </c>
      <c r="BS13" s="59">
        <f t="shared" si="36"/>
        <v>31.983279647699185</v>
      </c>
      <c r="BT13" s="77">
        <f t="shared" si="37"/>
        <v>0.57532023663003873</v>
      </c>
      <c r="BU13" s="58">
        <f>VLOOKUP(AP13,Lookup!$N$27:$P$36,2,FALSE)</f>
        <v>141.01</v>
      </c>
      <c r="BV13" s="59">
        <f t="shared" si="38"/>
        <v>62.382037427420983</v>
      </c>
      <c r="BW13" s="59">
        <f t="shared" si="39"/>
        <v>37.532477072610398</v>
      </c>
      <c r="BX13" s="59">
        <f t="shared" si="40"/>
        <v>33.087843981004497</v>
      </c>
      <c r="BY13" s="59">
        <f t="shared" si="41"/>
        <v>37.302014494094372</v>
      </c>
      <c r="BZ13" s="59">
        <f t="shared" si="42"/>
        <v>60.165519788092759</v>
      </c>
      <c r="CA13" s="59">
        <f t="shared" si="43"/>
        <v>56.00914400390662</v>
      </c>
      <c r="CB13" s="59">
        <f t="shared" si="44"/>
        <v>60.706682625264143</v>
      </c>
      <c r="CC13" s="59">
        <f t="shared" si="45"/>
        <v>1</v>
      </c>
      <c r="CD13" s="59">
        <f t="shared" si="46"/>
        <v>1</v>
      </c>
      <c r="CE13" s="59">
        <f t="shared" si="47"/>
        <v>1</v>
      </c>
      <c r="CF13" s="59">
        <f t="shared" si="48"/>
        <v>1</v>
      </c>
      <c r="CG13" s="59">
        <f t="shared" si="49"/>
        <v>1</v>
      </c>
      <c r="CH13" s="59">
        <f t="shared" si="50"/>
        <v>1</v>
      </c>
      <c r="CI13" s="59">
        <f t="shared" si="51"/>
        <v>2.7153762268266064</v>
      </c>
      <c r="CJ13" s="59">
        <f t="shared" si="52"/>
        <v>2.7153762268266064</v>
      </c>
      <c r="CK13" s="59">
        <f t="shared" si="53"/>
        <v>2.7153762268266064</v>
      </c>
      <c r="CL13" s="59">
        <f t="shared" si="54"/>
        <v>62.880896014919365</v>
      </c>
      <c r="CM13" s="59">
        <f t="shared" si="55"/>
        <v>58.724520230733226</v>
      </c>
      <c r="CN13" s="59">
        <f t="shared" si="56"/>
        <v>63.42205885209075</v>
      </c>
      <c r="CO13" s="59">
        <f t="shared" si="57"/>
        <v>61.66965745007785</v>
      </c>
      <c r="CP13" s="59">
        <f t="shared" si="58"/>
        <v>1.1093234436207846</v>
      </c>
      <c r="CQ13" s="64">
        <f t="shared" si="59"/>
        <v>53.400320699074591</v>
      </c>
    </row>
    <row r="14" spans="1:95">
      <c r="D14" s="38" t="s">
        <v>77</v>
      </c>
      <c r="E14" s="38">
        <v>4</v>
      </c>
      <c r="F14" s="38">
        <v>3600</v>
      </c>
      <c r="G14" s="38" t="s">
        <v>571</v>
      </c>
      <c r="H14" s="62">
        <v>25</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v>87.457627118644069</v>
      </c>
      <c r="T14" s="102">
        <v>5.1937984496124016E-2</v>
      </c>
      <c r="U14" s="62">
        <v>100</v>
      </c>
      <c r="V14" s="59">
        <f t="shared" si="1"/>
        <v>106.10744039069232</v>
      </c>
      <c r="W14" s="102">
        <f t="shared" si="2"/>
        <v>-5.7559021009313302E-2</v>
      </c>
      <c r="X14" s="62">
        <v>10</v>
      </c>
      <c r="Y14" s="62">
        <v>170</v>
      </c>
      <c r="Z14" s="59">
        <f t="shared" si="60"/>
        <v>174.91525423728814</v>
      </c>
      <c r="AA14" s="102">
        <f t="shared" si="61"/>
        <v>2.8100775193798465E-2</v>
      </c>
      <c r="AB14" s="62">
        <v>175</v>
      </c>
      <c r="AC14" s="59">
        <f t="shared" si="3"/>
        <v>169.77190462510771</v>
      </c>
      <c r="AD14" s="102">
        <f t="shared" si="4"/>
        <v>3.0794820771063575E-2</v>
      </c>
      <c r="AE14" s="62">
        <v>20</v>
      </c>
      <c r="AF14" s="62">
        <v>255</v>
      </c>
      <c r="AG14" s="59">
        <f t="shared" si="5"/>
        <v>262.37288135593224</v>
      </c>
      <c r="AH14" s="102">
        <f t="shared" si="6"/>
        <v>2.8100775193798572E-2</v>
      </c>
      <c r="AI14" s="62">
        <v>260</v>
      </c>
      <c r="AJ14" s="59">
        <f t="shared" si="7"/>
        <v>275.87934501580008</v>
      </c>
      <c r="AK14" s="102">
        <f t="shared" si="8"/>
        <v>-5.7559021009313496E-2</v>
      </c>
      <c r="AL14" s="65">
        <v>42</v>
      </c>
      <c r="AM14" s="61" t="e">
        <f>#REF!</f>
        <v>#REF!</v>
      </c>
      <c r="AN14" s="61" t="e">
        <f>#REF!</f>
        <v>#REF!</v>
      </c>
      <c r="AO14" s="61" t="e">
        <f>#REF!</f>
        <v>#REF!</v>
      </c>
      <c r="AP14" s="72" t="str">
        <f t="shared" si="9"/>
        <v>ESCC-3600</v>
      </c>
      <c r="AQ14" s="59">
        <f t="shared" si="10"/>
        <v>3741.6128749148484</v>
      </c>
      <c r="AR14" s="63" t="str">
        <f t="shared" si="11"/>
        <v>ESCC-25-3600</v>
      </c>
      <c r="AS14" s="39">
        <f>VLOOKUP(AR14,Lookup!$U$28:$V$227,2,FALSE)</f>
        <v>91.7</v>
      </c>
      <c r="AT14" s="63">
        <f t="shared" si="12"/>
        <v>2.2628135223555077</v>
      </c>
      <c r="AU14" s="73">
        <f>VLOOKUP(AP14,Lookup!$N$27:$P$36,3,FALSE)</f>
        <v>130.41999999999999</v>
      </c>
      <c r="AV14" s="76">
        <f t="shared" si="13"/>
        <v>72.972037427421014</v>
      </c>
      <c r="AW14" s="59">
        <f t="shared" si="14"/>
        <v>37.532477072610398</v>
      </c>
      <c r="AX14" s="59">
        <f t="shared" si="15"/>
        <v>33.087843981004497</v>
      </c>
      <c r="AY14" s="59">
        <f t="shared" si="16"/>
        <v>37.302014494094372</v>
      </c>
      <c r="AZ14" s="59">
        <f t="shared" si="17"/>
        <v>51.434053914063611</v>
      </c>
      <c r="BA14" s="59">
        <f t="shared" si="18"/>
        <v>47.880868353232685</v>
      </c>
      <c r="BB14" s="59">
        <f t="shared" si="19"/>
        <v>51.896680990857668</v>
      </c>
      <c r="BC14" s="59">
        <f t="shared" si="20"/>
        <v>1</v>
      </c>
      <c r="BD14" s="59">
        <f t="shared" si="21"/>
        <v>1</v>
      </c>
      <c r="BE14" s="59">
        <f t="shared" si="22"/>
        <v>1</v>
      </c>
      <c r="BF14" s="59">
        <f t="shared" si="23"/>
        <v>1</v>
      </c>
      <c r="BG14" s="59">
        <f t="shared" si="24"/>
        <v>1</v>
      </c>
      <c r="BH14" s="59">
        <f t="shared" si="25"/>
        <v>1</v>
      </c>
      <c r="BI14" s="59">
        <f t="shared" si="26"/>
        <v>2.2628135223555077</v>
      </c>
      <c r="BJ14" s="59">
        <f t="shared" si="27"/>
        <v>2.2628135223555077</v>
      </c>
      <c r="BK14" s="59">
        <f t="shared" si="28"/>
        <v>2.2628135223555077</v>
      </c>
      <c r="BL14" s="59">
        <f t="shared" si="29"/>
        <v>53.696867436419119</v>
      </c>
      <c r="BM14" s="59">
        <f t="shared" si="30"/>
        <v>50.143681875588193</v>
      </c>
      <c r="BN14" s="59">
        <f t="shared" si="31"/>
        <v>54.159494513213176</v>
      </c>
      <c r="BO14" s="77">
        <f t="shared" si="32"/>
        <v>52.661414606945989</v>
      </c>
      <c r="BP14" s="76">
        <f t="shared" si="33"/>
        <v>10.086853213264044</v>
      </c>
      <c r="BQ14" s="76">
        <f t="shared" si="34"/>
        <v>20.578265204386842</v>
      </c>
      <c r="BR14" s="76">
        <f t="shared" si="35"/>
        <v>45.853648018885032</v>
      </c>
      <c r="BS14" s="59">
        <f t="shared" si="36"/>
        <v>31.983279647699185</v>
      </c>
      <c r="BT14" s="77">
        <f t="shared" si="37"/>
        <v>0.60733802702445105</v>
      </c>
      <c r="BU14" s="58">
        <f>VLOOKUP(AP14,Lookup!$N$27:$P$36,2,FALSE)</f>
        <v>135.94</v>
      </c>
      <c r="BV14" s="59">
        <f t="shared" si="38"/>
        <v>67.452037427421033</v>
      </c>
      <c r="BW14" s="59">
        <f t="shared" si="39"/>
        <v>37.532477072610398</v>
      </c>
      <c r="BX14" s="59">
        <f t="shared" si="40"/>
        <v>33.087843981004497</v>
      </c>
      <c r="BY14" s="59">
        <f t="shared" si="41"/>
        <v>37.302014494094372</v>
      </c>
      <c r="BZ14" s="59">
        <f t="shared" si="42"/>
        <v>55.643207387168495</v>
      </c>
      <c r="CA14" s="59">
        <f t="shared" si="43"/>
        <v>51.799243592738762</v>
      </c>
      <c r="CB14" s="59">
        <f t="shared" si="44"/>
        <v>56.143693979572454</v>
      </c>
      <c r="CC14" s="59">
        <f t="shared" si="45"/>
        <v>1</v>
      </c>
      <c r="CD14" s="59">
        <f t="shared" si="46"/>
        <v>1</v>
      </c>
      <c r="CE14" s="59">
        <f t="shared" si="47"/>
        <v>1</v>
      </c>
      <c r="CF14" s="59">
        <f t="shared" si="48"/>
        <v>1</v>
      </c>
      <c r="CG14" s="59">
        <f t="shared" si="49"/>
        <v>1</v>
      </c>
      <c r="CH14" s="59">
        <f t="shared" si="50"/>
        <v>1</v>
      </c>
      <c r="CI14" s="59">
        <f t="shared" si="51"/>
        <v>2.2628135223555077</v>
      </c>
      <c r="CJ14" s="59">
        <f t="shared" si="52"/>
        <v>2.2628135223555077</v>
      </c>
      <c r="CK14" s="59">
        <f t="shared" si="53"/>
        <v>2.2628135223555077</v>
      </c>
      <c r="CL14" s="59">
        <f t="shared" si="54"/>
        <v>57.906020909524003</v>
      </c>
      <c r="CM14" s="59">
        <f t="shared" si="55"/>
        <v>54.062057115094269</v>
      </c>
      <c r="CN14" s="59">
        <f t="shared" si="56"/>
        <v>58.406507501927962</v>
      </c>
      <c r="CO14" s="59">
        <f t="shared" si="57"/>
        <v>56.785849355997854</v>
      </c>
      <c r="CP14" s="59">
        <f t="shared" si="58"/>
        <v>1.0783198624616486</v>
      </c>
      <c r="CQ14" s="64">
        <f t="shared" si="59"/>
        <v>47.098183543719749</v>
      </c>
    </row>
    <row r="15" spans="1:95">
      <c r="D15" s="38" t="s">
        <v>78</v>
      </c>
      <c r="E15" s="38">
        <v>4</v>
      </c>
      <c r="F15" s="38">
        <v>3600</v>
      </c>
      <c r="G15" s="38" t="s">
        <v>571</v>
      </c>
      <c r="H15" s="62">
        <v>20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v>87.457627118644069</v>
      </c>
      <c r="T15" s="102">
        <v>5.1937984496124016E-2</v>
      </c>
      <c r="U15" s="62">
        <v>100</v>
      </c>
      <c r="V15" s="59">
        <f t="shared" si="1"/>
        <v>106.10744039069232</v>
      </c>
      <c r="W15" s="102">
        <f t="shared" si="2"/>
        <v>-5.7559021009313302E-2</v>
      </c>
      <c r="X15" s="62">
        <v>10</v>
      </c>
      <c r="Y15" s="62">
        <v>170</v>
      </c>
      <c r="Z15" s="59">
        <f t="shared" si="60"/>
        <v>174.91525423728814</v>
      </c>
      <c r="AA15" s="102">
        <f t="shared" si="61"/>
        <v>2.8100775193798465E-2</v>
      </c>
      <c r="AB15" s="62">
        <v>175</v>
      </c>
      <c r="AC15" s="59">
        <f t="shared" si="3"/>
        <v>169.77190462510771</v>
      </c>
      <c r="AD15" s="102">
        <f t="shared" si="4"/>
        <v>3.0794820771063575E-2</v>
      </c>
      <c r="AE15" s="62">
        <v>20</v>
      </c>
      <c r="AF15" s="62">
        <v>255</v>
      </c>
      <c r="AG15" s="59">
        <f t="shared" si="5"/>
        <v>262.37288135593224</v>
      </c>
      <c r="AH15" s="102">
        <f t="shared" si="6"/>
        <v>2.8100775193798572E-2</v>
      </c>
      <c r="AI15" s="62">
        <v>260</v>
      </c>
      <c r="AJ15" s="59">
        <f t="shared" si="7"/>
        <v>275.87934501580008</v>
      </c>
      <c r="AK15" s="102">
        <f t="shared" si="8"/>
        <v>-5.7559021009313496E-2</v>
      </c>
      <c r="AL15" s="65">
        <v>42</v>
      </c>
      <c r="AM15" s="61" t="e">
        <f>#REF!</f>
        <v>#REF!</v>
      </c>
      <c r="AN15" s="61" t="e">
        <f>#REF!</f>
        <v>#REF!</v>
      </c>
      <c r="AO15" s="61" t="e">
        <f>#REF!</f>
        <v>#REF!</v>
      </c>
      <c r="AP15" s="72" t="str">
        <f t="shared" si="9"/>
        <v>ESFM-3600</v>
      </c>
      <c r="AQ15" s="59">
        <f t="shared" si="10"/>
        <v>3741.6128749148484</v>
      </c>
      <c r="AR15" s="63" t="str">
        <f t="shared" si="11"/>
        <v>ESFM-20-3600</v>
      </c>
      <c r="AS15" s="39">
        <f>VLOOKUP(AR15,Lookup!$U$28:$V$227,2,FALSE)</f>
        <v>91</v>
      </c>
      <c r="AT15" s="63">
        <f t="shared" si="12"/>
        <v>1.9780219780219781</v>
      </c>
      <c r="AU15" s="73">
        <f>VLOOKUP(AP15,Lookup!$N$27:$P$36,3,FALSE)</f>
        <v>130.99</v>
      </c>
      <c r="AV15" s="76">
        <f t="shared" si="13"/>
        <v>72.402037427420964</v>
      </c>
      <c r="AW15" s="59">
        <f t="shared" si="14"/>
        <v>37.532477072610398</v>
      </c>
      <c r="AX15" s="59">
        <f t="shared" si="15"/>
        <v>33.087843981004497</v>
      </c>
      <c r="AY15" s="59">
        <f t="shared" si="16"/>
        <v>37.302014494094372</v>
      </c>
      <c r="AZ15" s="59">
        <f t="shared" si="17"/>
        <v>51.838979131263578</v>
      </c>
      <c r="BA15" s="59">
        <f t="shared" si="18"/>
        <v>48.257820382914225</v>
      </c>
      <c r="BB15" s="59">
        <f t="shared" si="19"/>
        <v>52.305248335311816</v>
      </c>
      <c r="BC15" s="59">
        <f t="shared" si="20"/>
        <v>1</v>
      </c>
      <c r="BD15" s="59">
        <f t="shared" si="21"/>
        <v>1</v>
      </c>
      <c r="BE15" s="59">
        <f t="shared" si="22"/>
        <v>1</v>
      </c>
      <c r="BF15" s="59">
        <f t="shared" si="23"/>
        <v>1</v>
      </c>
      <c r="BG15" s="59">
        <f t="shared" si="24"/>
        <v>1</v>
      </c>
      <c r="BH15" s="59">
        <f t="shared" si="25"/>
        <v>1</v>
      </c>
      <c r="BI15" s="59">
        <f t="shared" si="26"/>
        <v>1.9780219780219781</v>
      </c>
      <c r="BJ15" s="59">
        <f t="shared" si="27"/>
        <v>1.9780219780219781</v>
      </c>
      <c r="BK15" s="59">
        <f t="shared" si="28"/>
        <v>1.9780219780219781</v>
      </c>
      <c r="BL15" s="59">
        <f t="shared" si="29"/>
        <v>53.817001109285556</v>
      </c>
      <c r="BM15" s="59">
        <f t="shared" si="30"/>
        <v>50.235842360936203</v>
      </c>
      <c r="BN15" s="59">
        <f t="shared" si="31"/>
        <v>54.283270313333794</v>
      </c>
      <c r="BO15" s="77">
        <f t="shared" si="32"/>
        <v>52.773426724059064</v>
      </c>
      <c r="BP15" s="76">
        <f t="shared" si="33"/>
        <v>10.086853213264044</v>
      </c>
      <c r="BQ15" s="76">
        <f t="shared" si="34"/>
        <v>20.578265204386842</v>
      </c>
      <c r="BR15" s="76">
        <f t="shared" si="35"/>
        <v>45.853648018885032</v>
      </c>
      <c r="BS15" s="59">
        <f t="shared" si="36"/>
        <v>31.983279647699185</v>
      </c>
      <c r="BT15" s="77">
        <f t="shared" si="37"/>
        <v>0.60604894609048032</v>
      </c>
      <c r="BU15" s="58">
        <f>VLOOKUP(AP15,Lookup!$N$27:$P$36,2,FALSE)</f>
        <v>136.59</v>
      </c>
      <c r="BV15" s="59">
        <f t="shared" si="38"/>
        <v>66.802037427420942</v>
      </c>
      <c r="BW15" s="59">
        <f t="shared" si="39"/>
        <v>37.532477072610398</v>
      </c>
      <c r="BX15" s="59">
        <f t="shared" si="40"/>
        <v>33.087843981004497</v>
      </c>
      <c r="BY15" s="59">
        <f t="shared" si="41"/>
        <v>37.302014494094372</v>
      </c>
      <c r="BZ15" s="59">
        <f t="shared" si="42"/>
        <v>56.184629268813353</v>
      </c>
      <c r="CA15" s="59">
        <f t="shared" si="43"/>
        <v>52.303262775864219</v>
      </c>
      <c r="CB15" s="59">
        <f t="shared" si="44"/>
        <v>56.689985716952116</v>
      </c>
      <c r="CC15" s="59">
        <f t="shared" si="45"/>
        <v>1</v>
      </c>
      <c r="CD15" s="59">
        <f t="shared" si="46"/>
        <v>1</v>
      </c>
      <c r="CE15" s="59">
        <f t="shared" si="47"/>
        <v>1</v>
      </c>
      <c r="CF15" s="59">
        <f t="shared" si="48"/>
        <v>1</v>
      </c>
      <c r="CG15" s="59">
        <f t="shared" si="49"/>
        <v>1</v>
      </c>
      <c r="CH15" s="59">
        <f t="shared" si="50"/>
        <v>1</v>
      </c>
      <c r="CI15" s="59">
        <f t="shared" si="51"/>
        <v>1.9780219780219781</v>
      </c>
      <c r="CJ15" s="59">
        <f t="shared" si="52"/>
        <v>1.9780219780219781</v>
      </c>
      <c r="CK15" s="59">
        <f t="shared" si="53"/>
        <v>1.9780219780219781</v>
      </c>
      <c r="CL15" s="59">
        <f t="shared" si="54"/>
        <v>58.162651246835331</v>
      </c>
      <c r="CM15" s="59">
        <f t="shared" si="55"/>
        <v>54.281284753886197</v>
      </c>
      <c r="CN15" s="59">
        <f t="shared" si="56"/>
        <v>58.668007694974094</v>
      </c>
      <c r="CO15" s="59">
        <f t="shared" si="57"/>
        <v>57.031610833775346</v>
      </c>
      <c r="CP15" s="59">
        <f t="shared" si="58"/>
        <v>1.0806880351352095</v>
      </c>
      <c r="CQ15" s="64">
        <f t="shared" si="59"/>
        <v>47.463908904472916</v>
      </c>
    </row>
    <row r="16" spans="1:95">
      <c r="D16" s="38" t="s">
        <v>76</v>
      </c>
      <c r="E16" s="38">
        <v>4</v>
      </c>
      <c r="F16" s="38">
        <v>3600</v>
      </c>
      <c r="G16" s="38" t="s">
        <v>571</v>
      </c>
      <c r="H16" s="62">
        <v>15</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v>87.457627118644069</v>
      </c>
      <c r="T16" s="102">
        <v>5.1937984496124016E-2</v>
      </c>
      <c r="U16" s="62">
        <v>100</v>
      </c>
      <c r="V16" s="59">
        <f t="shared" si="1"/>
        <v>106.10744039069232</v>
      </c>
      <c r="W16" s="102">
        <f t="shared" si="2"/>
        <v>-5.7559021009313302E-2</v>
      </c>
      <c r="X16" s="62">
        <v>10</v>
      </c>
      <c r="Y16" s="62">
        <v>170</v>
      </c>
      <c r="Z16" s="59">
        <f t="shared" si="60"/>
        <v>174.91525423728814</v>
      </c>
      <c r="AA16" s="102">
        <f t="shared" si="61"/>
        <v>2.8100775193798465E-2</v>
      </c>
      <c r="AB16" s="62">
        <v>175</v>
      </c>
      <c r="AC16" s="59">
        <f t="shared" si="3"/>
        <v>169.77190462510771</v>
      </c>
      <c r="AD16" s="102">
        <f t="shared" si="4"/>
        <v>3.0794820771063575E-2</v>
      </c>
      <c r="AE16" s="62">
        <v>20</v>
      </c>
      <c r="AF16" s="62">
        <v>255</v>
      </c>
      <c r="AG16" s="59">
        <f t="shared" si="5"/>
        <v>262.37288135593224</v>
      </c>
      <c r="AH16" s="102">
        <f t="shared" si="6"/>
        <v>2.8100775193798572E-2</v>
      </c>
      <c r="AI16" s="62">
        <v>260</v>
      </c>
      <c r="AJ16" s="59">
        <f t="shared" si="7"/>
        <v>275.87934501580008</v>
      </c>
      <c r="AK16" s="102">
        <f t="shared" si="8"/>
        <v>-5.7559021009313496E-2</v>
      </c>
      <c r="AL16" s="65">
        <v>42</v>
      </c>
      <c r="AM16" s="61" t="e">
        <f>#REF!</f>
        <v>#REF!</v>
      </c>
      <c r="AN16" s="61" t="e">
        <f>#REF!</f>
        <v>#REF!</v>
      </c>
      <c r="AO16" s="61" t="e">
        <f>#REF!</f>
        <v>#REF!</v>
      </c>
      <c r="AP16" s="72" t="str">
        <f t="shared" si="9"/>
        <v>ST-3600</v>
      </c>
      <c r="AQ16" s="59">
        <f t="shared" si="10"/>
        <v>3741.6128749148484</v>
      </c>
      <c r="AR16" s="63" t="str">
        <f t="shared" si="11"/>
        <v>ST-15-3600</v>
      </c>
      <c r="AS16" s="39">
        <f>VLOOKUP(AR16,Lookup!$U$28:$V$227,2,FALSE)</f>
        <v>72</v>
      </c>
      <c r="AT16" s="63">
        <f t="shared" si="12"/>
        <v>5.8333333333333357</v>
      </c>
      <c r="AU16" s="73">
        <f>VLOOKUP(AP16,Lookup!$N$27:$P$36,3,FALSE)</f>
        <v>134.85</v>
      </c>
      <c r="AV16" s="76">
        <f t="shared" si="13"/>
        <v>68.542037427420951</v>
      </c>
      <c r="AW16" s="59">
        <f t="shared" si="14"/>
        <v>37.532477072610398</v>
      </c>
      <c r="AX16" s="59">
        <f t="shared" si="15"/>
        <v>33.087843981004497</v>
      </c>
      <c r="AY16" s="59">
        <f t="shared" si="16"/>
        <v>37.302014494094372</v>
      </c>
      <c r="AZ16" s="59">
        <f t="shared" si="17"/>
        <v>54.758332960781146</v>
      </c>
      <c r="BA16" s="59">
        <f t="shared" si="18"/>
        <v>50.975498375420592</v>
      </c>
      <c r="BB16" s="59">
        <f t="shared" si="19"/>
        <v>55.250860490306387</v>
      </c>
      <c r="BC16" s="59">
        <f t="shared" si="20"/>
        <v>1</v>
      </c>
      <c r="BD16" s="59">
        <f t="shared" si="21"/>
        <v>1</v>
      </c>
      <c r="BE16" s="59">
        <f t="shared" si="22"/>
        <v>1</v>
      </c>
      <c r="BF16" s="59">
        <f t="shared" si="23"/>
        <v>1</v>
      </c>
      <c r="BG16" s="59">
        <f t="shared" si="24"/>
        <v>1</v>
      </c>
      <c r="BH16" s="59">
        <f t="shared" si="25"/>
        <v>1</v>
      </c>
      <c r="BI16" s="59">
        <f t="shared" si="26"/>
        <v>5.8333333333333357</v>
      </c>
      <c r="BJ16" s="59">
        <f t="shared" si="27"/>
        <v>5.8333333333333357</v>
      </c>
      <c r="BK16" s="59">
        <f t="shared" si="28"/>
        <v>5.8333333333333357</v>
      </c>
      <c r="BL16" s="59">
        <f t="shared" si="29"/>
        <v>60.591666294114482</v>
      </c>
      <c r="BM16" s="59">
        <f t="shared" si="30"/>
        <v>56.808831708753928</v>
      </c>
      <c r="BN16" s="59">
        <f t="shared" si="31"/>
        <v>61.084193823639723</v>
      </c>
      <c r="BO16" s="77">
        <f t="shared" si="32"/>
        <v>59.48894778577516</v>
      </c>
      <c r="BP16" s="76">
        <f t="shared" si="33"/>
        <v>10.086853213264044</v>
      </c>
      <c r="BQ16" s="76">
        <f t="shared" si="34"/>
        <v>20.578265204386842</v>
      </c>
      <c r="BR16" s="76">
        <f t="shared" si="35"/>
        <v>45.853648018885032</v>
      </c>
      <c r="BS16" s="59">
        <f t="shared" si="36"/>
        <v>31.983279647699185</v>
      </c>
      <c r="BT16" s="77">
        <f t="shared" si="37"/>
        <v>0.53763397804368196</v>
      </c>
      <c r="BU16" s="58">
        <f>VLOOKUP(AP16,Lookup!$N$27:$P$36,2,FALSE)</f>
        <v>138.78</v>
      </c>
      <c r="BV16" s="59">
        <f t="shared" si="38"/>
        <v>64.612037427421001</v>
      </c>
      <c r="BW16" s="59">
        <f t="shared" si="39"/>
        <v>37.532477072610398</v>
      </c>
      <c r="BX16" s="59">
        <f t="shared" si="40"/>
        <v>33.087843981004497</v>
      </c>
      <c r="BY16" s="59">
        <f t="shared" si="41"/>
        <v>37.302014494094372</v>
      </c>
      <c r="BZ16" s="59">
        <f t="shared" si="42"/>
        <v>58.088985531172582</v>
      </c>
      <c r="CA16" s="59">
        <f t="shared" si="43"/>
        <v>54.076061623258681</v>
      </c>
      <c r="CB16" s="59">
        <f t="shared" si="44"/>
        <v>58.611470840518791</v>
      </c>
      <c r="CC16" s="59">
        <f t="shared" si="45"/>
        <v>1</v>
      </c>
      <c r="CD16" s="59">
        <f t="shared" si="46"/>
        <v>1</v>
      </c>
      <c r="CE16" s="59">
        <f t="shared" si="47"/>
        <v>1</v>
      </c>
      <c r="CF16" s="59">
        <f t="shared" si="48"/>
        <v>1</v>
      </c>
      <c r="CG16" s="59">
        <f t="shared" si="49"/>
        <v>1</v>
      </c>
      <c r="CH16" s="59">
        <f t="shared" si="50"/>
        <v>1</v>
      </c>
      <c r="CI16" s="59">
        <f t="shared" si="51"/>
        <v>5.8333333333333357</v>
      </c>
      <c r="CJ16" s="59">
        <f t="shared" si="52"/>
        <v>5.8333333333333357</v>
      </c>
      <c r="CK16" s="59">
        <f t="shared" si="53"/>
        <v>5.8333333333333357</v>
      </c>
      <c r="CL16" s="59">
        <f t="shared" si="54"/>
        <v>63.922318864505918</v>
      </c>
      <c r="CM16" s="59">
        <f t="shared" si="55"/>
        <v>59.909394956592017</v>
      </c>
      <c r="CN16" s="59">
        <f t="shared" si="56"/>
        <v>64.444804173852134</v>
      </c>
      <c r="CO16" s="59">
        <f t="shared" si="57"/>
        <v>62.752563447716852</v>
      </c>
      <c r="CP16" s="59">
        <f t="shared" si="58"/>
        <v>1.0548608738835701</v>
      </c>
      <c r="CQ16" s="64">
        <f t="shared" si="59"/>
        <v>51.72268958398881</v>
      </c>
    </row>
    <row r="17" spans="4:4">
      <c r="D17" s="38"/>
    </row>
  </sheetData>
  <mergeCells count="6">
    <mergeCell ref="BU2:CQ2"/>
    <mergeCell ref="A3:AO3"/>
    <mergeCell ref="AP3:AU3"/>
    <mergeCell ref="AV3:BO3"/>
    <mergeCell ref="BP3:BT3"/>
    <mergeCell ref="BU3:CQ3"/>
  </mergeCells>
  <conditionalFormatting sqref="W6:W16">
    <cfRule type="cellIs" dxfId="9" priority="10" operator="equal">
      <formula>"SetPointError&lt;-10%"</formula>
    </cfRule>
  </conditionalFormatting>
  <conditionalFormatting sqref="AA6">
    <cfRule type="cellIs" dxfId="8" priority="9" operator="greaterThan">
      <formula>0.1</formula>
    </cfRule>
  </conditionalFormatting>
  <conditionalFormatting sqref="AA7:AA16">
    <cfRule type="cellIs" dxfId="7" priority="8" operator="greaterThan">
      <formula>0.1</formula>
    </cfRule>
  </conditionalFormatting>
  <conditionalFormatting sqref="AD6:AD16">
    <cfRule type="cellIs" dxfId="6" priority="7" operator="equal">
      <formula>"SetPointError&lt;-10%"</formula>
    </cfRule>
  </conditionalFormatting>
  <conditionalFormatting sqref="AH6:AH16">
    <cfRule type="cellIs" dxfId="5" priority="6" operator="greaterThan">
      <formula>0.1</formula>
    </cfRule>
  </conditionalFormatting>
  <conditionalFormatting sqref="AK6:AK16">
    <cfRule type="cellIs" dxfId="4" priority="5" operator="equal">
      <formula>"SetPointError&lt;-10%"</formula>
    </cfRule>
  </conditionalFormatting>
  <conditionalFormatting sqref="BP6:BR16">
    <cfRule type="cellIs" dxfId="3" priority="4" operator="equal">
      <formula>"SetPointError&gt;10%"</formula>
    </cfRule>
  </conditionalFormatting>
  <conditionalFormatting sqref="BS6:BT16">
    <cfRule type="cellIs" dxfId="2" priority="3" operator="equal">
      <formula>"SetPointError&gt;10%"</formula>
    </cfRule>
  </conditionalFormatting>
  <conditionalFormatting sqref="CQ6:CQ16">
    <cfRule type="cellIs" dxfId="1" priority="2" operator="equal">
      <formula>"SetPointError&gt;10%"</formula>
    </cfRule>
  </conditionalFormatting>
  <conditionalFormatting sqref="T6:T16">
    <cfRule type="cellIs" dxfId="0" priority="1" operator="greaterThan">
      <formula>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25"/>
  <sheetViews>
    <sheetView topLeftCell="D20" zoomScale="150" zoomScaleNormal="150" zoomScalePageLayoutView="150" workbookViewId="0">
      <selection activeCell="E34" sqref="E34"/>
    </sheetView>
  </sheetViews>
  <sheetFormatPr baseColWidth="10" defaultColWidth="8.83203125" defaultRowHeight="14" x14ac:dyDescent="0"/>
  <cols>
    <col min="1" max="1" width="58" hidden="1" customWidth="1"/>
    <col min="2" max="2" width="18.1640625" hidden="1" customWidth="1"/>
    <col min="3" max="3" width="44.5" hidden="1"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154"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157" t="s">
        <v>557</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7" t="s">
        <v>350</v>
      </c>
      <c r="BW2" s="158"/>
      <c r="BX2" s="158"/>
      <c r="BY2" s="158"/>
      <c r="BZ2" s="158"/>
      <c r="CA2" s="158"/>
      <c r="CB2" s="158"/>
      <c r="CC2" s="158"/>
      <c r="CD2" s="158"/>
      <c r="CE2" s="158"/>
      <c r="CF2" s="158"/>
      <c r="CG2" s="158"/>
      <c r="CH2" s="158"/>
      <c r="CI2" s="158"/>
      <c r="CJ2" s="158"/>
      <c r="CK2" s="158"/>
      <c r="CL2" s="158"/>
      <c r="CM2" s="158"/>
      <c r="CN2" s="158"/>
      <c r="CO2" s="158"/>
      <c r="CP2" s="158"/>
      <c r="CQ2" s="158"/>
      <c r="CR2" s="159"/>
      <c r="CS2" s="153"/>
    </row>
    <row r="3" spans="1:97" s="16" customFormat="1" ht="34.5" customHeight="1" thickBot="1">
      <c r="A3" s="207" t="s">
        <v>447</v>
      </c>
      <c r="B3" s="208"/>
      <c r="C3" s="208"/>
      <c r="D3" s="208"/>
      <c r="E3" s="208"/>
      <c r="F3" s="208"/>
      <c r="G3" s="208"/>
      <c r="H3" s="208"/>
      <c r="I3" s="208"/>
      <c r="J3" s="208"/>
      <c r="K3" s="208"/>
      <c r="L3" s="208"/>
      <c r="M3" s="208"/>
      <c r="N3" s="208"/>
      <c r="O3" s="208"/>
      <c r="P3" s="208"/>
      <c r="Q3" s="208"/>
      <c r="R3" s="208"/>
      <c r="S3" s="208"/>
      <c r="T3" s="208"/>
      <c r="U3" s="208"/>
      <c r="V3" s="209"/>
      <c r="W3" s="204" t="s">
        <v>347</v>
      </c>
      <c r="X3" s="205"/>
      <c r="Y3" s="205"/>
      <c r="Z3" s="205"/>
      <c r="AA3" s="205"/>
      <c r="AB3" s="205"/>
      <c r="AC3" s="206"/>
      <c r="AD3" s="201" t="s">
        <v>431</v>
      </c>
      <c r="AE3" s="202"/>
      <c r="AF3" s="202"/>
      <c r="AG3" s="202"/>
      <c r="AH3" s="202"/>
      <c r="AI3" s="202"/>
      <c r="AJ3" s="202"/>
      <c r="AK3" s="202"/>
      <c r="AL3" s="202"/>
      <c r="AM3" s="202"/>
      <c r="AN3" s="202"/>
      <c r="AO3" s="202"/>
      <c r="AP3" s="202"/>
      <c r="AQ3" s="202"/>
      <c r="AR3" s="202"/>
      <c r="AS3" s="202"/>
      <c r="AT3" s="202"/>
      <c r="AU3" s="202"/>
      <c r="AV3" s="202"/>
      <c r="AW3" s="203"/>
      <c r="AX3" s="198" t="s">
        <v>432</v>
      </c>
      <c r="AY3" s="199"/>
      <c r="AZ3" s="199"/>
      <c r="BA3" s="199"/>
      <c r="BB3" s="199"/>
      <c r="BC3" s="199"/>
      <c r="BD3" s="199"/>
      <c r="BE3" s="199"/>
      <c r="BF3" s="199"/>
      <c r="BG3" s="199"/>
      <c r="BH3" s="199"/>
      <c r="BI3" s="199"/>
      <c r="BJ3" s="199"/>
      <c r="BK3" s="199"/>
      <c r="BL3" s="199"/>
      <c r="BM3" s="199"/>
      <c r="BN3" s="199"/>
      <c r="BO3" s="199"/>
      <c r="BP3" s="199"/>
      <c r="BQ3" s="199"/>
      <c r="BR3" s="199"/>
      <c r="BS3" s="199"/>
      <c r="BT3" s="199"/>
      <c r="BU3" s="200"/>
      <c r="BV3" s="160" t="s">
        <v>433</v>
      </c>
      <c r="BW3" s="161"/>
      <c r="BX3" s="161"/>
      <c r="BY3" s="161"/>
      <c r="BZ3" s="161"/>
      <c r="CA3" s="161"/>
      <c r="CB3" s="161"/>
      <c r="CC3" s="161"/>
      <c r="CD3" s="161"/>
      <c r="CE3" s="161"/>
      <c r="CF3" s="161"/>
      <c r="CG3" s="161"/>
      <c r="CH3" s="161"/>
      <c r="CI3" s="161"/>
      <c r="CJ3" s="161"/>
      <c r="CK3" s="161"/>
      <c r="CL3" s="161"/>
      <c r="CM3" s="161"/>
      <c r="CN3" s="161"/>
      <c r="CO3" s="161"/>
      <c r="CP3" s="161"/>
      <c r="CQ3" s="161"/>
      <c r="CR3" s="162"/>
    </row>
    <row r="4" spans="1:97" s="16" customFormat="1" ht="52.5" customHeight="1">
      <c r="A4" s="125"/>
      <c r="B4" s="119"/>
      <c r="C4" s="119"/>
      <c r="D4" s="119"/>
      <c r="E4" s="119"/>
      <c r="F4" s="120" t="s">
        <v>558</v>
      </c>
      <c r="G4" s="112"/>
      <c r="H4" s="126" t="s">
        <v>450</v>
      </c>
      <c r="I4" s="136" t="s">
        <v>451</v>
      </c>
      <c r="J4" s="120" t="s">
        <v>351</v>
      </c>
      <c r="K4" s="120" t="s">
        <v>559</v>
      </c>
      <c r="L4" s="120" t="s">
        <v>560</v>
      </c>
      <c r="M4" s="120" t="s">
        <v>561</v>
      </c>
      <c r="N4" s="120" t="s">
        <v>562</v>
      </c>
      <c r="O4" s="120" t="s">
        <v>563</v>
      </c>
      <c r="P4" s="120" t="s">
        <v>564</v>
      </c>
      <c r="Q4" s="120" t="s">
        <v>565</v>
      </c>
      <c r="R4" s="120" t="s">
        <v>566</v>
      </c>
      <c r="S4" s="120" t="s">
        <v>567</v>
      </c>
      <c r="T4" s="120"/>
      <c r="U4" s="120"/>
      <c r="V4" s="119"/>
      <c r="W4" s="70"/>
      <c r="X4" s="60" t="s">
        <v>370</v>
      </c>
      <c r="Y4" s="68"/>
      <c r="Z4" s="69" t="s">
        <v>373</v>
      </c>
      <c r="AA4" s="60" t="s">
        <v>374</v>
      </c>
      <c r="AB4" s="60" t="s">
        <v>452</v>
      </c>
      <c r="AC4" s="71" t="s">
        <v>375</v>
      </c>
      <c r="AD4" s="75" t="s">
        <v>376</v>
      </c>
      <c r="AE4" s="60" t="s">
        <v>377</v>
      </c>
      <c r="AF4" s="60" t="s">
        <v>378</v>
      </c>
      <c r="AG4" s="60" t="s">
        <v>379</v>
      </c>
      <c r="AH4" s="74" t="s">
        <v>380</v>
      </c>
      <c r="AI4" s="74" t="s">
        <v>411</v>
      </c>
      <c r="AJ4" s="74" t="s">
        <v>381</v>
      </c>
      <c r="AK4" s="60" t="s">
        <v>405</v>
      </c>
      <c r="AL4" s="60" t="s">
        <v>406</v>
      </c>
      <c r="AM4" s="60" t="s">
        <v>407</v>
      </c>
      <c r="AN4" s="60" t="s">
        <v>408</v>
      </c>
      <c r="AO4" s="60" t="s">
        <v>409</v>
      </c>
      <c r="AP4" s="60" t="s">
        <v>410</v>
      </c>
      <c r="AQ4" s="60" t="s">
        <v>412</v>
      </c>
      <c r="AR4" s="60" t="s">
        <v>413</v>
      </c>
      <c r="AS4" s="60" t="s">
        <v>414</v>
      </c>
      <c r="AT4" s="74" t="s">
        <v>391</v>
      </c>
      <c r="AU4" s="74" t="s">
        <v>392</v>
      </c>
      <c r="AV4" s="74" t="s">
        <v>393</v>
      </c>
      <c r="AW4" s="71" t="s">
        <v>394</v>
      </c>
      <c r="AX4" s="78" t="s">
        <v>508</v>
      </c>
      <c r="AY4" s="66" t="s">
        <v>509</v>
      </c>
      <c r="AZ4" s="66" t="s">
        <v>510</v>
      </c>
      <c r="BA4" s="66" t="s">
        <v>382</v>
      </c>
      <c r="BB4" s="66" t="s">
        <v>514</v>
      </c>
      <c r="BC4" s="66" t="s">
        <v>515</v>
      </c>
      <c r="BD4" s="66" t="s">
        <v>516</v>
      </c>
      <c r="BE4" s="66" t="s">
        <v>530</v>
      </c>
      <c r="BF4" s="66" t="s">
        <v>531</v>
      </c>
      <c r="BG4" s="66" t="s">
        <v>532</v>
      </c>
      <c r="BH4" s="66" t="s">
        <v>520</v>
      </c>
      <c r="BI4" s="66" t="s">
        <v>523</v>
      </c>
      <c r="BJ4" s="66" t="s">
        <v>522</v>
      </c>
      <c r="BK4" s="66" t="s">
        <v>521</v>
      </c>
      <c r="BL4" s="155" t="s">
        <v>545</v>
      </c>
      <c r="BM4" s="79" t="s">
        <v>544</v>
      </c>
      <c r="BN4" s="79" t="s">
        <v>546</v>
      </c>
      <c r="BO4" s="79" t="s">
        <v>555</v>
      </c>
      <c r="BP4" s="131" t="s">
        <v>547</v>
      </c>
      <c r="BQ4" s="131" t="s">
        <v>548</v>
      </c>
      <c r="BR4" s="131" t="s">
        <v>549</v>
      </c>
      <c r="BS4" s="131" t="s">
        <v>550</v>
      </c>
      <c r="BT4" s="66" t="s">
        <v>501</v>
      </c>
      <c r="BU4" s="67" t="s">
        <v>556</v>
      </c>
      <c r="BV4" s="83" t="s">
        <v>400</v>
      </c>
      <c r="BW4" s="80" t="s">
        <v>401</v>
      </c>
      <c r="BX4" s="60" t="s">
        <v>377</v>
      </c>
      <c r="BY4" s="60" t="s">
        <v>378</v>
      </c>
      <c r="BZ4" s="60" t="s">
        <v>379</v>
      </c>
      <c r="CA4" s="74" t="s">
        <v>402</v>
      </c>
      <c r="CB4" s="74" t="s">
        <v>403</v>
      </c>
      <c r="CC4" s="74" t="s">
        <v>404</v>
      </c>
      <c r="CD4" s="60" t="s">
        <v>415</v>
      </c>
      <c r="CE4" s="60" t="s">
        <v>416</v>
      </c>
      <c r="CF4" s="60" t="s">
        <v>417</v>
      </c>
      <c r="CG4" s="60" t="s">
        <v>418</v>
      </c>
      <c r="CH4" s="60" t="s">
        <v>419</v>
      </c>
      <c r="CI4" s="60" t="s">
        <v>420</v>
      </c>
      <c r="CJ4" s="60" t="s">
        <v>421</v>
      </c>
      <c r="CK4" s="60" t="s">
        <v>422</v>
      </c>
      <c r="CL4" s="60" t="s">
        <v>423</v>
      </c>
      <c r="CM4" s="74" t="s">
        <v>424</v>
      </c>
      <c r="CN4" s="74" t="s">
        <v>425</v>
      </c>
      <c r="CO4" s="74" t="s">
        <v>426</v>
      </c>
      <c r="CP4" s="81" t="s">
        <v>428</v>
      </c>
      <c r="CQ4" s="81" t="s">
        <v>427</v>
      </c>
      <c r="CR4" s="82" t="s">
        <v>429</v>
      </c>
    </row>
    <row r="5" spans="1:97" s="18" customFormat="1" ht="137.25" customHeight="1">
      <c r="A5" s="121" t="s">
        <v>329</v>
      </c>
      <c r="B5" s="127" t="s">
        <v>12</v>
      </c>
      <c r="C5" s="121" t="s">
        <v>27</v>
      </c>
      <c r="D5" s="121" t="s">
        <v>89</v>
      </c>
      <c r="E5" s="121" t="s">
        <v>348</v>
      </c>
      <c r="F5" s="121" t="s">
        <v>4</v>
      </c>
      <c r="G5" s="103" t="s">
        <v>569</v>
      </c>
      <c r="H5" s="128" t="s">
        <v>372</v>
      </c>
      <c r="I5" s="132" t="s">
        <v>586</v>
      </c>
      <c r="J5" s="121" t="s">
        <v>15</v>
      </c>
      <c r="K5" s="121" t="s">
        <v>13</v>
      </c>
      <c r="L5" s="121" t="s">
        <v>24</v>
      </c>
      <c r="M5" s="121" t="s">
        <v>343</v>
      </c>
      <c r="N5" s="121" t="s">
        <v>49</v>
      </c>
      <c r="O5" s="121" t="s">
        <v>50</v>
      </c>
      <c r="P5" s="121" t="s">
        <v>344</v>
      </c>
      <c r="Q5" s="121" t="s">
        <v>51</v>
      </c>
      <c r="R5" s="121" t="s">
        <v>52</v>
      </c>
      <c r="S5" s="121" t="s">
        <v>345</v>
      </c>
      <c r="T5" s="121" t="s">
        <v>3</v>
      </c>
      <c r="U5" s="121" t="s">
        <v>14</v>
      </c>
      <c r="V5" s="121" t="s">
        <v>349</v>
      </c>
      <c r="W5" s="41" t="s">
        <v>2</v>
      </c>
      <c r="X5" s="54" t="s">
        <v>435</v>
      </c>
      <c r="Y5" s="54" t="s">
        <v>96</v>
      </c>
      <c r="Z5" s="54" t="s">
        <v>297</v>
      </c>
      <c r="AA5" s="57" t="s">
        <v>298</v>
      </c>
      <c r="AB5" s="57"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thickBot="1">
      <c r="A6" s="122" t="e">
        <f>#REF!</f>
        <v>#REF!</v>
      </c>
      <c r="B6" s="122" t="e">
        <f>#REF!</f>
        <v>#REF!</v>
      </c>
      <c r="C6" s="122" t="e">
        <f>#REF!</f>
        <v>#REF!</v>
      </c>
      <c r="D6" s="122" t="s">
        <v>76</v>
      </c>
      <c r="E6" s="122">
        <v>4</v>
      </c>
      <c r="F6" s="122">
        <v>3600</v>
      </c>
      <c r="G6" s="135" t="s">
        <v>570</v>
      </c>
      <c r="H6" s="130">
        <v>150</v>
      </c>
      <c r="I6" s="65">
        <v>97</v>
      </c>
      <c r="J6" s="123">
        <v>9</v>
      </c>
      <c r="K6" s="124">
        <v>349.83050847457628</v>
      </c>
      <c r="L6" s="124">
        <v>424.42976156276899</v>
      </c>
      <c r="M6" s="124">
        <v>51.414352154260818</v>
      </c>
      <c r="N6" s="124">
        <v>262.37288135593218</v>
      </c>
      <c r="O6" s="124">
        <v>498.89112324044811</v>
      </c>
      <c r="P6" s="124">
        <v>49.201251494128293</v>
      </c>
      <c r="Q6" s="124">
        <v>384.81355932203388</v>
      </c>
      <c r="R6" s="124">
        <v>383.47601264004595</v>
      </c>
      <c r="S6" s="124">
        <v>51.808353464019966</v>
      </c>
      <c r="T6" s="123" t="s">
        <v>10</v>
      </c>
      <c r="U6" s="123" t="s">
        <v>11</v>
      </c>
      <c r="V6" s="123" t="s">
        <v>9</v>
      </c>
      <c r="W6" s="72" t="str">
        <f>D6&amp;-F6</f>
        <v>ST-3600</v>
      </c>
      <c r="X6" s="59">
        <f>((F6*SQRT(K6)/(L6/J6)^0.75))</f>
        <v>3741.6128749148515</v>
      </c>
      <c r="Y6" s="63" t="str">
        <f>D6&amp;-H6&amp;-F6</f>
        <v>ST-150-3600</v>
      </c>
      <c r="Z6" s="39">
        <f>VLOOKUP(Y6,Lookup!$U$28:$V$227,2,FALSE)</f>
        <v>84</v>
      </c>
      <c r="AA6" s="63">
        <f>H6/(Z6/100)-H6</f>
        <v>28.571428571428584</v>
      </c>
      <c r="AB6" s="63">
        <f>IFERROR(H6/(I6/100)-H6,"")</f>
        <v>4.6391752577319494</v>
      </c>
      <c r="AC6" s="73">
        <f>VLOOKUP(W6,Lookup!$N$27:$P$36,3,FALSE)</f>
        <v>134.85</v>
      </c>
      <c r="AD6" s="76">
        <f>-0.85*(LN(K6))^2-0.38*LN(X6)*LN(K6)-11.48*(LN(X6))^2+17.8*LN(K6)+179.8*LN(X6)-(AC6+555.6)</f>
        <v>68.542037427420951</v>
      </c>
      <c r="AE6" s="59">
        <f>K6*L6/3956</f>
        <v>37.532477072610376</v>
      </c>
      <c r="AF6" s="59">
        <f>N6*O6/3956</f>
        <v>33.087841629801275</v>
      </c>
      <c r="AG6" s="59">
        <f>Q6*R6/3956</f>
        <v>37.302014494094372</v>
      </c>
      <c r="AH6" s="59">
        <f>AE6/(AD6/100)</f>
        <v>54.758332960781118</v>
      </c>
      <c r="AI6" s="59">
        <f>AF6/(AD6/100*0.947)</f>
        <v>50.975494753130903</v>
      </c>
      <c r="AJ6" s="59">
        <f>AG6/(AD6/100*0.985)</f>
        <v>55.250860490306387</v>
      </c>
      <c r="AK6" s="59">
        <f>IF((AH6/H6)&gt;=1,1,(AH6/H6))</f>
        <v>0.36505555307187409</v>
      </c>
      <c r="AL6" s="59">
        <f>IF((AI6/H6)&gt;=1,1,(AI6/H6))</f>
        <v>0.33983663168753936</v>
      </c>
      <c r="AM6" s="59">
        <f>IF((AJ6/H6)&gt;=1,1,(AJ6/H6))</f>
        <v>0.36833906993537591</v>
      </c>
      <c r="AN6" s="59">
        <f t="shared" ref="AN6:AP7" si="1">-0.4508*AK6^3+1.2399*AK6^2+-0.4301*AK6+0.641</f>
        <v>0.62729445187126498</v>
      </c>
      <c r="AO6" s="59">
        <f t="shared" si="1"/>
        <v>0.62033828186470275</v>
      </c>
      <c r="AP6" s="59">
        <f t="shared" si="1"/>
        <v>0.62827090975633948</v>
      </c>
      <c r="AQ6" s="59">
        <f>AN6*AA6</f>
        <v>17.922698624893293</v>
      </c>
      <c r="AR6" s="59">
        <f>AO6*AA6</f>
        <v>17.723950910420086</v>
      </c>
      <c r="AS6" s="59">
        <f>AP6*AA6</f>
        <v>17.950597421609707</v>
      </c>
      <c r="AT6" s="59">
        <f>AQ6+AH6</f>
        <v>72.681031585674418</v>
      </c>
      <c r="AU6" s="59">
        <f t="shared" ref="AU6:AV7" si="2">AR6+AI6</f>
        <v>68.699445663550989</v>
      </c>
      <c r="AV6" s="59">
        <f t="shared" si="2"/>
        <v>73.201457911916094</v>
      </c>
      <c r="AW6" s="77">
        <f>0.3333*(AT6)+0.3333*(AU6)+0.3333*(AV6)</f>
        <v>71.520158989208454</v>
      </c>
      <c r="AX6" s="76">
        <f>(0.8*((0.25*$K6)^3/($K6^3))+0.2*((0.25*$K6)/$K6))*$M6</f>
        <v>3.2133970096413011</v>
      </c>
      <c r="AY6" s="59">
        <f>(0.8*((0.5*$K6)^3/($K6^3))+0.2*((0.5*$K6)/$K6))*$M6</f>
        <v>10.282870430852164</v>
      </c>
      <c r="AZ6" s="59">
        <f>(0.8*((0.75*$K6)^3/($K6^3))+0.2*((0.75*$K6)/$K6))*$M6</f>
        <v>25.064496675202157</v>
      </c>
      <c r="BA6" s="59">
        <f>IF((M6/H6)&gt;=1,1,(M6/H6))</f>
        <v>0.34276234769507213</v>
      </c>
      <c r="BB6" s="59">
        <f>IF((AX6/H6)&gt;=1,1,(AX6/H6))</f>
        <v>2.1422646730942008E-2</v>
      </c>
      <c r="BC6" s="59">
        <f>IF((AY6/$H6)&gt;=1,1,(AY6/$H6))</f>
        <v>6.8552469539014421E-2</v>
      </c>
      <c r="BD6" s="59">
        <f>IF((AZ6/$H6)&gt;=1,1,(AZ6/$H6))</f>
        <v>0.16709664450134773</v>
      </c>
      <c r="BE6" s="59">
        <f>INDEX(Lookup!$F$58:$F$61,MATCH('SectionVII (Method C.1)'!H6,Lookup!$D$58:$D$61,-1))</f>
        <v>-0.89139999999999997</v>
      </c>
      <c r="BF6" s="59">
        <f>INDEX(Lookup!$G$58:$G$61,MATCH('SectionVII (Method C.1)'!$H6,Lookup!$D$58:$D$61,-1))</f>
        <v>2.8845999999999998</v>
      </c>
      <c r="BG6" s="59">
        <f>INDEX(Lookup!$H$58:$H$61,MATCH('SectionVII (Method C.1)'!$H6,Lookup!$D$58:$D$61,-1))</f>
        <v>0.26250000000000001</v>
      </c>
      <c r="BH6" s="59">
        <f t="shared" ref="BH6:BK7" si="3">$BE6*BA6^2+$BF6*BA6+$BG6</f>
        <v>1.1465052236956892</v>
      </c>
      <c r="BI6" s="59">
        <f t="shared" si="3"/>
        <v>0.32388667674263188</v>
      </c>
      <c r="BJ6" s="59">
        <f t="shared" si="3"/>
        <v>0.45605737185362039</v>
      </c>
      <c r="BK6" s="59">
        <f t="shared" si="3"/>
        <v>0.71961794406732982</v>
      </c>
      <c r="BL6" s="156">
        <f>IF($AB6="",$AA6*BH6,$AB6*BH6)</f>
        <v>5.3188386666294756</v>
      </c>
      <c r="BM6" s="59">
        <f>IF($AB6="",$AA6*BI6,$AB6*BI6)</f>
        <v>1.502567057053444</v>
      </c>
      <c r="BN6" s="59">
        <f>IF($AB6="",$AA6*BJ6,$AB6*BJ6)</f>
        <v>2.1157300756095747</v>
      </c>
      <c r="BO6" s="59">
        <f>IF($AB6="",$AA6*BK6,$AB6*BK6)</f>
        <v>3.3384337611370904</v>
      </c>
      <c r="BP6" s="59">
        <f>M6+BL6</f>
        <v>56.733190820890293</v>
      </c>
      <c r="BQ6" s="59">
        <f>AX6+BM6</f>
        <v>4.7159640666947453</v>
      </c>
      <c r="BR6" s="59">
        <f>AY6+BN6</f>
        <v>12.398600506461738</v>
      </c>
      <c r="BS6" s="59">
        <f>AZ6+BO6</f>
        <v>28.402930436339247</v>
      </c>
      <c r="BT6" s="59">
        <f>0.25*(BP6)+0.25*(BQ6)+0.25*(BR6)+0.25*BS6</f>
        <v>25.562671457596505</v>
      </c>
      <c r="BU6" s="77">
        <f>BT6/AW6</f>
        <v>0.35741910838668028</v>
      </c>
      <c r="BV6" s="58">
        <f>VLOOKUP(W6,Lookup!$N$27:$P$36,2,FALSE)</f>
        <v>138.78</v>
      </c>
      <c r="BW6" s="59">
        <f>-0.85*(LN(K6))^2-0.38*LN(X6)*LN(K6)-11.48*(LN(X6))^2+17.8*LN(K6)+179.8*LN(X6)-(BV6+555.6)</f>
        <v>64.612037427421001</v>
      </c>
      <c r="BX6" s="59">
        <f t="shared" si="0"/>
        <v>37.532477072610376</v>
      </c>
      <c r="BY6" s="59">
        <f t="shared" si="0"/>
        <v>33.087841629801275</v>
      </c>
      <c r="BZ6" s="59">
        <f t="shared" si="0"/>
        <v>37.302014494094372</v>
      </c>
      <c r="CA6" s="59">
        <f>AE6/(BW6/100)</f>
        <v>58.088985531172547</v>
      </c>
      <c r="CB6" s="59">
        <f>AF6/(BW6/100*0.947)</f>
        <v>54.076057780644746</v>
      </c>
      <c r="CC6" s="59">
        <f>AG6/(BW6/100*0.985)</f>
        <v>58.611470840518791</v>
      </c>
      <c r="CD6" s="59">
        <f t="shared" ref="CD6:CF7" si="4">IF((CA6/$H6)&gt;=1,1,(CA6/$H6))</f>
        <v>0.38725990354115031</v>
      </c>
      <c r="CE6" s="59">
        <f t="shared" si="4"/>
        <v>0.36050705187096499</v>
      </c>
      <c r="CF6" s="59">
        <f t="shared" si="4"/>
        <v>0.39074313893679197</v>
      </c>
      <c r="CG6" s="59">
        <f t="shared" ref="CG6:CI7" si="5">-0.4508*CD6^3+1.2399*CD6^2+-0.4301*CD6+0.641</f>
        <v>0.63420628921630939</v>
      </c>
      <c r="CH6" s="59">
        <f t="shared" si="5"/>
        <v>0.62596841363219524</v>
      </c>
      <c r="CI6" s="59">
        <f t="shared" si="5"/>
        <v>0.63535539632622862</v>
      </c>
      <c r="CJ6" s="59">
        <f>CG6*AA6</f>
        <v>18.120179691894563</v>
      </c>
      <c r="CK6" s="59">
        <f>CH6*AA6</f>
        <v>17.88481181806273</v>
      </c>
      <c r="CL6" s="59">
        <f>CI6*AA6</f>
        <v>18.153011323606538</v>
      </c>
      <c r="CM6" s="59">
        <f>CJ6+CA6</f>
        <v>76.209165223067117</v>
      </c>
      <c r="CN6" s="59">
        <f t="shared" ref="CN6:CO7" si="6">CK6+CB6</f>
        <v>71.960869598707475</v>
      </c>
      <c r="CO6" s="59">
        <f t="shared" si="6"/>
        <v>76.764482164125326</v>
      </c>
      <c r="CP6" s="59">
        <f>0.3333*(CA6+CJ6)+0.3333*(CB6+CK6)+0.3333*(CC6+CL6)</f>
        <v>74.970674511400432</v>
      </c>
      <c r="CQ6" s="59">
        <f>CP6/AW6</f>
        <v>1.0482453558683031</v>
      </c>
      <c r="CR6" s="64">
        <f>(CQ6-BU6)*100</f>
        <v>69.082624748162289</v>
      </c>
    </row>
    <row r="7" spans="1:97" s="18" customFormat="1" ht="87.75" customHeight="1" thickBot="1">
      <c r="A7" s="122" t="e">
        <f>#REF!</f>
        <v>#REF!</v>
      </c>
      <c r="B7" s="129" t="s">
        <v>8</v>
      </c>
      <c r="C7" s="122" t="s">
        <v>30</v>
      </c>
      <c r="D7" s="122" t="s">
        <v>76</v>
      </c>
      <c r="E7" s="122">
        <v>4</v>
      </c>
      <c r="F7" s="122">
        <v>1800</v>
      </c>
      <c r="G7" s="135" t="s">
        <v>571</v>
      </c>
      <c r="H7" s="130">
        <v>150</v>
      </c>
      <c r="I7" s="65" t="s">
        <v>581</v>
      </c>
      <c r="J7" s="123">
        <v>9</v>
      </c>
      <c r="K7" s="124">
        <v>349.83050847457628</v>
      </c>
      <c r="L7" s="124">
        <v>424.42976156276899</v>
      </c>
      <c r="M7" s="124">
        <v>51.414352154260818</v>
      </c>
      <c r="N7" s="124">
        <v>262.37288135593218</v>
      </c>
      <c r="O7" s="124">
        <v>498.89112324044811</v>
      </c>
      <c r="P7" s="124">
        <v>49.201251494128293</v>
      </c>
      <c r="Q7" s="124">
        <v>384.81355932203388</v>
      </c>
      <c r="R7" s="124">
        <v>383.47601264004595</v>
      </c>
      <c r="S7" s="124">
        <v>51.808353464019966</v>
      </c>
      <c r="T7" s="123" t="s">
        <v>10</v>
      </c>
      <c r="U7" s="123" t="s">
        <v>11</v>
      </c>
      <c r="V7" s="123" t="s">
        <v>9</v>
      </c>
      <c r="W7" s="72" t="str">
        <f>D7&amp;-F7</f>
        <v>ST-1800</v>
      </c>
      <c r="X7" s="59">
        <f>((F7*SQRT(K7)/(L7/J7)^0.75))</f>
        <v>1870.8064374574258</v>
      </c>
      <c r="Y7" s="63" t="str">
        <f>D7&amp;-H7&amp;-F7</f>
        <v>ST-150-1800</v>
      </c>
      <c r="Z7" s="39">
        <f>VLOOKUP(Y7,Lookup!$U$28:$V$227,2,FALSE)</f>
        <v>85.5</v>
      </c>
      <c r="AA7" s="63">
        <f>H7/(Z7/100)-H7</f>
        <v>25.438596491228083</v>
      </c>
      <c r="AB7" s="63" t="str">
        <f>IFERROR(H7/(I7/100)-H7,"")</f>
        <v/>
      </c>
      <c r="AC7" s="73">
        <f>VLOOKUP(W7,Lookup!$N$27:$P$36,3,FALSE)</f>
        <v>138.78</v>
      </c>
      <c r="AD7" s="76">
        <f>-0.85*(LN(K7))^2-0.38*LN(X7)*LN(K7)-11.48*(LN(X7))^2+17.8*LN(K7)+179.8*LN(X7)-(AC7+555.6)</f>
        <v>66.945633243152429</v>
      </c>
      <c r="AE7" s="59">
        <f>K7*L7/3956</f>
        <v>37.532477072610376</v>
      </c>
      <c r="AF7" s="59">
        <f>N7*O7/3956</f>
        <v>33.087841629801275</v>
      </c>
      <c r="AG7" s="59">
        <f>Q7*R7/3956</f>
        <v>37.302014494094372</v>
      </c>
      <c r="AH7" s="59">
        <f>AE7/(AD7/100)</f>
        <v>56.064115393888528</v>
      </c>
      <c r="AI7" s="59">
        <f>AF7/(AD7/100*0.947)</f>
        <v>52.191070574536404</v>
      </c>
      <c r="AJ7" s="59">
        <f>AG7/(AD7/100*0.985)</f>
        <v>56.568387871828079</v>
      </c>
      <c r="AK7" s="59">
        <f>IF((AH7/H7)&gt;=1,1,(AH7/H7))</f>
        <v>0.37376076929259017</v>
      </c>
      <c r="AL7" s="59">
        <f>IF((AI7/H7)&gt;=1,1,(AI7/H7))</f>
        <v>0.34794047049690935</v>
      </c>
      <c r="AM7" s="59">
        <f>IF((AJ7/H7)&gt;=1,1,(AJ7/H7))</f>
        <v>0.37712258581218722</v>
      </c>
      <c r="AN7" s="59">
        <f t="shared" si="1"/>
        <v>0.62991818734340965</v>
      </c>
      <c r="AO7" s="59">
        <f t="shared" si="1"/>
        <v>0.62246743181726993</v>
      </c>
      <c r="AP7" s="59">
        <f t="shared" si="1"/>
        <v>0.63096132367982194</v>
      </c>
      <c r="AQ7" s="59">
        <f>AN7*AA7</f>
        <v>16.024234590314816</v>
      </c>
      <c r="AR7" s="59">
        <f>AO7*AA7</f>
        <v>15.834697826930558</v>
      </c>
      <c r="AS7" s="59">
        <f>AP7*AA7</f>
        <v>16.050770514662144</v>
      </c>
      <c r="AT7" s="59">
        <f>AQ7+AH7</f>
        <v>72.088349984203347</v>
      </c>
      <c r="AU7" s="59">
        <f t="shared" si="2"/>
        <v>68.025768401466962</v>
      </c>
      <c r="AV7" s="59">
        <f t="shared" si="2"/>
        <v>72.619158386490227</v>
      </c>
      <c r="AW7" s="77">
        <f>0.3333*(AT7)+0.3333*(AU7)+0.3333*(AV7)</f>
        <v>70.904001148161115</v>
      </c>
      <c r="AX7" s="76">
        <f>(0.8*((0.25*$K7)^3/($K7^3))+0.2*((0.25*$K7)/$K7))*$M7</f>
        <v>3.2133970096413011</v>
      </c>
      <c r="AY7" s="59">
        <f>(0.8*((0.5*$K7)^3/($K7^3))+0.2*((0.5*$K7)/$K7))*$M7</f>
        <v>10.282870430852164</v>
      </c>
      <c r="AZ7" s="59">
        <f>(0.8*((0.75*$K7)^3/($K7^3))+0.2*((0.75*$K7)/$K7))*$M7</f>
        <v>25.064496675202157</v>
      </c>
      <c r="BA7" s="59">
        <f>IF((M7/H7)&gt;=1,1,(M7/H7))</f>
        <v>0.34276234769507213</v>
      </c>
      <c r="BB7" s="59">
        <f>IF((AX7/H7)&gt;=1,1,(AX7/H7))</f>
        <v>2.1422646730942008E-2</v>
      </c>
      <c r="BC7" s="59">
        <f>IF((AY7/H7)&gt;=1,1,(AY7/H7))</f>
        <v>6.8552469539014421E-2</v>
      </c>
      <c r="BD7" s="59">
        <f>IF((AZ7/$H7)&gt;=1,1,(AZ7/$H7))</f>
        <v>0.16709664450134773</v>
      </c>
      <c r="BE7" s="59">
        <f>INDEX(Lookup!$F$58:$F$61,MATCH('SectionVII (Method C.1)'!H7,Lookup!$D$58:$D$61,-1))</f>
        <v>-0.89139999999999997</v>
      </c>
      <c r="BF7" s="59">
        <f>INDEX(Lookup!$G$58:$G$61,MATCH('SectionVII (Method C.1)'!$H7,Lookup!$D$58:$D$61,-1))</f>
        <v>2.8845999999999998</v>
      </c>
      <c r="BG7" s="59">
        <f>INDEX(Lookup!$H$58:$H$61,MATCH('SectionVII (Method C.1)'!$H7,Lookup!$D$58:$D$61,-1))</f>
        <v>0.26250000000000001</v>
      </c>
      <c r="BH7" s="59">
        <f t="shared" si="3"/>
        <v>1.1465052236956892</v>
      </c>
      <c r="BI7" s="59">
        <f t="shared" si="3"/>
        <v>0.32388667674263188</v>
      </c>
      <c r="BJ7" s="59">
        <f t="shared" si="3"/>
        <v>0.45605737185362039</v>
      </c>
      <c r="BK7" s="59">
        <f t="shared" si="3"/>
        <v>0.71961794406732982</v>
      </c>
      <c r="BL7" s="156">
        <f t="shared" ref="BL7:BN7" si="7">IF($AB7="",$AA7*BH7,$AB7*BH7)</f>
        <v>29.165483760679827</v>
      </c>
      <c r="BM7" s="59">
        <f t="shared" si="7"/>
        <v>8.2392224785406398</v>
      </c>
      <c r="BN7" s="59">
        <f t="shared" si="7"/>
        <v>11.601459459434208</v>
      </c>
      <c r="BO7" s="59">
        <f>IF($AB7="",$AA7*BK7,$AB7*BK7)</f>
        <v>18.306070506975942</v>
      </c>
      <c r="BP7" s="59">
        <f>M7+BL7</f>
        <v>80.579835914940645</v>
      </c>
      <c r="BQ7" s="59">
        <f t="shared" ref="BQ7" si="8">AX7+BM7</f>
        <v>11.452619488181941</v>
      </c>
      <c r="BR7" s="59">
        <f t="shared" ref="BR7" si="9">AY7+BN7</f>
        <v>21.884329890286374</v>
      </c>
      <c r="BS7" s="59">
        <f t="shared" ref="BS7" si="10">AZ7+BO7</f>
        <v>43.3705671821781</v>
      </c>
      <c r="BT7" s="59">
        <f t="shared" ref="BT7" si="11">0.25*(BP7)+0.25*(BQ7)+0.25*(BR7)+0.25*BS7</f>
        <v>39.321838118896764</v>
      </c>
      <c r="BU7" s="77">
        <f>BT7/AW7</f>
        <v>0.55457854961851571</v>
      </c>
      <c r="BV7" s="58">
        <f>VLOOKUP(W7,Lookup!$N$27:$P$36,2,FALSE)</f>
        <v>138.78</v>
      </c>
      <c r="BW7" s="59">
        <f>-0.85*(LN(K7))^2-0.38*LN(X7)*LN(K7)-11.48*(LN(X7))^2+17.8*LN(K7)+179.8*LN(X7)-(BV7+555.6)</f>
        <v>66.945633243152429</v>
      </c>
      <c r="BX7" s="59">
        <f t="shared" si="0"/>
        <v>37.532477072610376</v>
      </c>
      <c r="BY7" s="59">
        <f t="shared" si="0"/>
        <v>33.087841629801275</v>
      </c>
      <c r="BZ7" s="59">
        <f t="shared" si="0"/>
        <v>37.302014494094372</v>
      </c>
      <c r="CA7" s="59">
        <f>AE7/(BW7/100)</f>
        <v>56.064115393888528</v>
      </c>
      <c r="CB7" s="59">
        <f>AF7/(BW7/100*0.947)</f>
        <v>52.191070574536404</v>
      </c>
      <c r="CC7" s="59">
        <f>AG7/(BW7/100*0.985)</f>
        <v>56.568387871828079</v>
      </c>
      <c r="CD7" s="59">
        <f t="shared" si="4"/>
        <v>0.37376076929259017</v>
      </c>
      <c r="CE7" s="59">
        <f t="shared" si="4"/>
        <v>0.34794047049690935</v>
      </c>
      <c r="CF7" s="59">
        <f t="shared" si="4"/>
        <v>0.37712258581218722</v>
      </c>
      <c r="CG7" s="59">
        <f t="shared" si="5"/>
        <v>0.62991818734340965</v>
      </c>
      <c r="CH7" s="59">
        <f t="shared" si="5"/>
        <v>0.62246743181726993</v>
      </c>
      <c r="CI7" s="59">
        <f t="shared" si="5"/>
        <v>0.63096132367982194</v>
      </c>
      <c r="CJ7" s="59">
        <f>CG7*AA7</f>
        <v>16.024234590314816</v>
      </c>
      <c r="CK7" s="59">
        <f>CH7*AA7</f>
        <v>15.834697826930558</v>
      </c>
      <c r="CL7" s="59">
        <f>CI7*AA7</f>
        <v>16.050770514662144</v>
      </c>
      <c r="CM7" s="59">
        <f>CJ7+CA7</f>
        <v>72.088349984203347</v>
      </c>
      <c r="CN7" s="59">
        <f t="shared" si="6"/>
        <v>68.025768401466962</v>
      </c>
      <c r="CO7" s="59">
        <f t="shared" si="6"/>
        <v>72.619158386490227</v>
      </c>
      <c r="CP7" s="59">
        <f>0.3333*(CA7+CJ7)+0.3333*(CB7+CK7)+0.3333*(CC7+CL7)</f>
        <v>70.904001148161115</v>
      </c>
      <c r="CQ7" s="59">
        <f>CP7/AW7</f>
        <v>1</v>
      </c>
      <c r="CR7" s="64">
        <f>(CQ7-BU7)*100</f>
        <v>44.542145038148426</v>
      </c>
    </row>
    <row r="8" spans="1:97" s="16" customFormat="1" ht="43" thickBot="1">
      <c r="A8" s="122" t="s">
        <v>328</v>
      </c>
      <c r="B8" s="129" t="s">
        <v>8</v>
      </c>
      <c r="C8" s="122" t="s">
        <v>30</v>
      </c>
      <c r="D8" s="122" t="s">
        <v>75</v>
      </c>
      <c r="E8" s="122">
        <v>4</v>
      </c>
      <c r="F8" s="122">
        <v>3600</v>
      </c>
      <c r="G8" s="135" t="s">
        <v>571</v>
      </c>
      <c r="H8" s="130">
        <v>125</v>
      </c>
      <c r="I8" s="65" t="s">
        <v>581</v>
      </c>
      <c r="J8" s="123">
        <v>9</v>
      </c>
      <c r="K8" s="124">
        <v>349.83050847457628</v>
      </c>
      <c r="L8" s="124">
        <v>424.42976156276899</v>
      </c>
      <c r="M8" s="124">
        <v>51.414352154260818</v>
      </c>
      <c r="N8" s="124">
        <v>262.37288135593218</v>
      </c>
      <c r="O8" s="124">
        <v>498.89112324044811</v>
      </c>
      <c r="P8" s="124">
        <v>49.201251494128293</v>
      </c>
      <c r="Q8" s="124">
        <v>384.81355932203388</v>
      </c>
      <c r="R8" s="124">
        <v>383.47601264004595</v>
      </c>
      <c r="S8" s="124">
        <v>51.808353464019966</v>
      </c>
      <c r="T8" s="123" t="s">
        <v>10</v>
      </c>
      <c r="U8" s="123" t="s">
        <v>11</v>
      </c>
      <c r="V8" s="123" t="s">
        <v>9</v>
      </c>
      <c r="W8" s="72" t="str">
        <f t="shared" ref="W8:W23" si="12">D8&amp;-F8</f>
        <v>RSV-3600</v>
      </c>
      <c r="X8" s="59">
        <f t="shared" ref="X8:X23" si="13">((F8*SQRT(K8)/(L8/J8)^0.75))</f>
        <v>3741.6128749148515</v>
      </c>
      <c r="Y8" s="63" t="str">
        <f t="shared" ref="Y8:Y23" si="14">D8&amp;-H8&amp;-F8</f>
        <v>RSV-125-3600</v>
      </c>
      <c r="Z8" s="39">
        <f>VLOOKUP(Y8,Lookup!$U$28:$V$227,2,FALSE)</f>
        <v>94.1</v>
      </c>
      <c r="AA8" s="63">
        <f t="shared" ref="AA8:AA23" si="15">H8/(Z8/100)-H8</f>
        <v>7.8374070138150955</v>
      </c>
      <c r="AB8" s="63" t="str">
        <f t="shared" ref="AB8:AB23" si="16">IFERROR(H8/(I8/100)-H8,"")</f>
        <v/>
      </c>
      <c r="AC8" s="73">
        <f>VLOOKUP(W8,Lookup!$N$27:$P$36,3,FALSE)</f>
        <v>133.19999999999999</v>
      </c>
      <c r="AD8" s="76">
        <f t="shared" ref="AD8:AD23" si="17">-0.85*(LN(K8))^2-0.38*LN(X8)*LN(K8)-11.48*(LN(X8))^2+17.8*LN(K8)+179.8*LN(X8)-(AC8+555.6)</f>
        <v>70.192037427421042</v>
      </c>
      <c r="AE8" s="59">
        <f t="shared" ref="AE8:AE23" si="18">K8*L8/3956</f>
        <v>37.532477072610376</v>
      </c>
      <c r="AF8" s="59">
        <f t="shared" ref="AF8:AF23" si="19">N8*O8/3956</f>
        <v>33.087841629801275</v>
      </c>
      <c r="AG8" s="59">
        <f t="shared" ref="AG8:AG23" si="20">Q8*R8/3956</f>
        <v>37.302014494094372</v>
      </c>
      <c r="AH8" s="59">
        <f t="shared" ref="AH8:AH23" si="21">AE8/(AD8/100)</f>
        <v>53.471132122955069</v>
      </c>
      <c r="AI8" s="59">
        <f t="shared" ref="AI8:AI23" si="22">AF8/(AD8/100*0.947)</f>
        <v>49.777216865419774</v>
      </c>
      <c r="AJ8" s="59">
        <f t="shared" ref="AJ8:AJ23" si="23">AG8/(AD8/100*0.985)</f>
        <v>53.952081837481643</v>
      </c>
      <c r="AK8" s="59">
        <f t="shared" ref="AK8:AK23" si="24">IF((AH8/H8)&gt;=1,1,(AH8/H8))</f>
        <v>0.42776905698364054</v>
      </c>
      <c r="AL8" s="59">
        <f t="shared" ref="AL8:AL23" si="25">IF((AI8/H8)&gt;=1,1,(AI8/H8))</f>
        <v>0.39821773492335821</v>
      </c>
      <c r="AM8" s="59">
        <f t="shared" ref="AM8:AM23" si="26">IF((AJ8/H8)&gt;=1,1,(AJ8/H8))</f>
        <v>0.43161665469985316</v>
      </c>
      <c r="AN8" s="59">
        <f t="shared" ref="AN8:AN23" si="27">-0.4508*AK8^3+1.2399*AK8^2+-0.4301*AK8+0.641</f>
        <v>0.64861454583742473</v>
      </c>
      <c r="AO8" s="59">
        <f t="shared" ref="AO8:AO23" si="28">-0.4508*AL8^3+1.2399*AL8^2+-0.4301*AL8+0.641</f>
        <v>0.63787936419420888</v>
      </c>
      <c r="AP8" s="59">
        <f t="shared" ref="AP8:AP23" si="29">-0.4508*AM8^3+1.2399*AM8^2+-0.4301*AM8+0.641</f>
        <v>0.6500987528713249</v>
      </c>
      <c r="AQ8" s="59">
        <f t="shared" ref="AQ8:AQ23" si="30">AN8*AA8</f>
        <v>5.0834561908087252</v>
      </c>
      <c r="AR8" s="59">
        <f t="shared" ref="AR8:AR23" si="31">AO8*AA8</f>
        <v>4.9993202029036068</v>
      </c>
      <c r="AS8" s="59">
        <f t="shared" ref="AS8:AS23" si="32">AP8*AA8</f>
        <v>5.095088525426168</v>
      </c>
      <c r="AT8" s="59">
        <f t="shared" ref="AT8:AT23" si="33">AQ8+AH8</f>
        <v>58.554588313763794</v>
      </c>
      <c r="AU8" s="59">
        <f t="shared" ref="AU8:AU23" si="34">AR8+AI8</f>
        <v>54.776537068323378</v>
      </c>
      <c r="AV8" s="59">
        <f t="shared" ref="AV8:AV23" si="35">AS8+AJ8</f>
        <v>59.047170362907814</v>
      </c>
      <c r="AW8" s="77">
        <f t="shared" ref="AW8:AW23" si="36">0.3333*(AT8)+0.3333*(AU8)+0.3333*(AV8)</f>
        <v>57.453685971806827</v>
      </c>
      <c r="AX8" s="76">
        <f t="shared" ref="AX8:AX24" si="37">(0.8*((0.25*$K8)^3/($K8^3))+0.2*((0.25*$K8)/$K8))*$M8</f>
        <v>3.2133970096413011</v>
      </c>
      <c r="AY8" s="59">
        <f t="shared" ref="AY8:AY24" si="38">(0.8*((0.5*$K8)^3/($K8^3))+0.2*((0.5*$K8)/$K8))*$M8</f>
        <v>10.282870430852164</v>
      </c>
      <c r="AZ8" s="59">
        <f t="shared" ref="AZ8:AZ24" si="39">(0.8*((0.75*$K8)^3/($K8^3))+0.2*((0.75*$K8)/$K8))*$M8</f>
        <v>25.064496675202157</v>
      </c>
      <c r="BA8" s="59">
        <f t="shared" ref="BA8:BA23" si="40">IF((M8/H8)&gt;=1,1,(M8/H8))</f>
        <v>0.41131481723408653</v>
      </c>
      <c r="BB8" s="59">
        <f t="shared" ref="BB8:BB23" si="41">IF((AX8/H8)&gt;=1,1,(AX8/H8))</f>
        <v>2.5707176077130408E-2</v>
      </c>
      <c r="BC8" s="59">
        <f t="shared" ref="BC8:BC23" si="42">IF((AY8/H8)&gt;=1,1,(AY8/H8))</f>
        <v>8.2262963446817314E-2</v>
      </c>
      <c r="BD8" s="59">
        <f t="shared" ref="BD8:BD23" si="43">IF((AZ8/$H8)&gt;=1,1,(AZ8/$H8))</f>
        <v>0.20051597340161725</v>
      </c>
      <c r="BE8" s="59">
        <f>INDEX(Lookup!$F$58:$F$61,MATCH('SectionVII (Method C.1)'!H8,Lookup!$D$58:$D$61,-1))</f>
        <v>-0.89139999999999997</v>
      </c>
      <c r="BF8" s="59">
        <f>INDEX(Lookup!$G$58:$G$61,MATCH('SectionVII (Method C.1)'!$H8,Lookup!$D$58:$D$61,-1))</f>
        <v>2.8845999999999998</v>
      </c>
      <c r="BG8" s="59">
        <f>INDEX(Lookup!$H$58:$H$61,MATCH('SectionVII (Method C.1)'!$H8,Lookup!$D$58:$D$61,-1))</f>
        <v>0.26250000000000001</v>
      </c>
      <c r="BH8" s="59">
        <f t="shared" ref="BH8:BH23" si="44">$BE8*BA8^2+$BF8*BA8+$BG8</f>
        <v>1.298171777763103</v>
      </c>
      <c r="BI8" s="59">
        <f t="shared" ref="BI8:BI23" si="45">$BE8*BB8^2+$BF8*BB8+$BG8</f>
        <v>0.33606583048697186</v>
      </c>
      <c r="BJ8" s="59">
        <f t="shared" ref="BJ8:BJ23" si="46">$BE8*BC8^2+$BF8*BC8+$BG8</f>
        <v>0.4937634665974755</v>
      </c>
      <c r="BK8" s="59">
        <f t="shared" ref="BK8:BK23" si="47">$BE8*BD8^2+$BF8*BD8+$BG8</f>
        <v>0.80506816408209403</v>
      </c>
      <c r="BL8" s="156">
        <f t="shared" ref="BL8:BL23" si="48">IF($AB8="",$AA8*BH8,$AB8*BH8)</f>
        <v>10.174300596177355</v>
      </c>
      <c r="BM8" s="59">
        <f t="shared" ref="BM8:BM23" si="49">IF($AB8="",$AA8*BI8,$AB8*BI8)</f>
        <v>2.6338846969621881</v>
      </c>
      <c r="BN8" s="59">
        <f t="shared" ref="BN8:BN23" si="50">IF($AB8="",$AA8*BJ8,$AB8*BJ8)</f>
        <v>3.8698252562767101</v>
      </c>
      <c r="BO8" s="59">
        <f t="shared" ref="BO8:BO23" si="51">IF($AB8="",$AA8*BK8,$AB8*BK8)</f>
        <v>6.3096468757762461</v>
      </c>
      <c r="BP8" s="59">
        <f t="shared" ref="BP8:BP23" si="52">M8+BL8</f>
        <v>61.588652750438172</v>
      </c>
      <c r="BQ8" s="59">
        <f t="shared" ref="BQ8:BQ23" si="53">AX8+BM8</f>
        <v>5.8472817066034892</v>
      </c>
      <c r="BR8" s="59">
        <f t="shared" ref="BR8:BR23" si="54">AY8+BN8</f>
        <v>14.152695687128874</v>
      </c>
      <c r="BS8" s="59">
        <f t="shared" ref="BS8:BS23" si="55">AZ8+BO8</f>
        <v>31.374143550978403</v>
      </c>
      <c r="BT8" s="59">
        <f t="shared" ref="BT8:BT23" si="56">0.25*(BP8)+0.25*(BQ8)+0.25*(BR8)+0.25*BS8</f>
        <v>28.240693423787235</v>
      </c>
      <c r="BU8" s="77">
        <f t="shared" ref="BU8:BU23" si="57">BT8/AW8</f>
        <v>0.49153840952250238</v>
      </c>
      <c r="BV8" s="58">
        <f>VLOOKUP(W8,Lookup!$N$27:$P$36,2,FALSE)</f>
        <v>133.19999999999999</v>
      </c>
      <c r="BW8" s="59">
        <f t="shared" ref="BW8:BW23" si="58">-0.85*(LN(K8))^2-0.38*LN(X8)*LN(K8)-11.48*(LN(X8))^2+17.8*LN(K8)+179.8*LN(X8)-(BV8+555.6)</f>
        <v>70.192037427421042</v>
      </c>
      <c r="BX8" s="59">
        <f t="shared" ref="BX8:BX23" si="59">AE8</f>
        <v>37.532477072610376</v>
      </c>
      <c r="BY8" s="59">
        <f t="shared" ref="BY8:BY23" si="60">AF8</f>
        <v>33.087841629801275</v>
      </c>
      <c r="BZ8" s="59">
        <f t="shared" ref="BZ8:BZ23" si="61">AG8</f>
        <v>37.302014494094372</v>
      </c>
      <c r="CA8" s="59">
        <f t="shared" ref="CA8:CA23" si="62">AE8/(BW8/100)</f>
        <v>53.471132122955069</v>
      </c>
      <c r="CB8" s="59">
        <f t="shared" ref="CB8:CB23" si="63">AF8/(BW8/100*0.947)</f>
        <v>49.777216865419774</v>
      </c>
      <c r="CC8" s="59">
        <f t="shared" ref="CC8:CC23" si="64">AG8/(BW8/100*0.985)</f>
        <v>53.952081837481643</v>
      </c>
      <c r="CD8" s="59">
        <f t="shared" ref="CD8:CD23" si="65">IF((CA8/$H8)&gt;=1,1,(CA8/$H8))</f>
        <v>0.42776905698364054</v>
      </c>
      <c r="CE8" s="59">
        <f t="shared" ref="CE8:CE23" si="66">IF((CB8/$H8)&gt;=1,1,(CB8/$H8))</f>
        <v>0.39821773492335821</v>
      </c>
      <c r="CF8" s="59">
        <f t="shared" ref="CF8:CF23" si="67">IF((CC8/$H8)&gt;=1,1,(CC8/$H8))</f>
        <v>0.43161665469985316</v>
      </c>
      <c r="CG8" s="59">
        <f t="shared" ref="CG8:CG23" si="68">-0.4508*CD8^3+1.2399*CD8^2+-0.4301*CD8+0.641</f>
        <v>0.64861454583742473</v>
      </c>
      <c r="CH8" s="59">
        <f t="shared" ref="CH8:CH23" si="69">-0.4508*CE8^3+1.2399*CE8^2+-0.4301*CE8+0.641</f>
        <v>0.63787936419420888</v>
      </c>
      <c r="CI8" s="59">
        <f t="shared" ref="CI8:CI23" si="70">-0.4508*CF8^3+1.2399*CF8^2+-0.4301*CF8+0.641</f>
        <v>0.6500987528713249</v>
      </c>
      <c r="CJ8" s="59">
        <f t="shared" ref="CJ8:CJ23" si="71">CG8*AA8</f>
        <v>5.0834561908087252</v>
      </c>
      <c r="CK8" s="59">
        <f t="shared" ref="CK8:CK23" si="72">CH8*AA8</f>
        <v>4.9993202029036068</v>
      </c>
      <c r="CL8" s="59">
        <f t="shared" ref="CL8:CL23" si="73">CI8*AA8</f>
        <v>5.095088525426168</v>
      </c>
      <c r="CM8" s="59">
        <f t="shared" ref="CM8:CM23" si="74">CJ8+CA8</f>
        <v>58.554588313763794</v>
      </c>
      <c r="CN8" s="59">
        <f t="shared" ref="CN8:CN23" si="75">CK8+CB8</f>
        <v>54.776537068323378</v>
      </c>
      <c r="CO8" s="59">
        <f t="shared" ref="CO8:CO23" si="76">CL8+CC8</f>
        <v>59.047170362907814</v>
      </c>
      <c r="CP8" s="59">
        <f t="shared" ref="CP8:CP23" si="77">0.3333*(CA8+CJ8)+0.3333*(CB8+CK8)+0.3333*(CC8+CL8)</f>
        <v>57.453685971806827</v>
      </c>
      <c r="CQ8" s="59">
        <f t="shared" ref="CQ8:CQ23" si="78">CP8/AW8</f>
        <v>1</v>
      </c>
      <c r="CR8" s="64">
        <f t="shared" ref="CR8:CR23" si="79">(CQ8-BU8)*100</f>
        <v>50.846159047749765</v>
      </c>
    </row>
    <row r="9" spans="1:97" s="18" customFormat="1" ht="43" thickBot="1">
      <c r="A9" s="122" t="s">
        <v>328</v>
      </c>
      <c r="B9" s="129" t="s">
        <v>8</v>
      </c>
      <c r="C9" s="122" t="s">
        <v>30</v>
      </c>
      <c r="D9" s="122" t="s">
        <v>74</v>
      </c>
      <c r="E9" s="122">
        <v>4</v>
      </c>
      <c r="F9" s="122">
        <v>3600</v>
      </c>
      <c r="G9" s="135" t="s">
        <v>571</v>
      </c>
      <c r="H9" s="130">
        <v>100</v>
      </c>
      <c r="I9" s="65" t="s">
        <v>581</v>
      </c>
      <c r="J9" s="123">
        <v>9</v>
      </c>
      <c r="K9" s="124">
        <v>349.83050847457628</v>
      </c>
      <c r="L9" s="124">
        <v>424.42976156276899</v>
      </c>
      <c r="M9" s="124">
        <v>51.414352154260818</v>
      </c>
      <c r="N9" s="124">
        <v>262.37288135593218</v>
      </c>
      <c r="O9" s="124">
        <v>498.89112324044811</v>
      </c>
      <c r="P9" s="124">
        <v>49.201251494128293</v>
      </c>
      <c r="Q9" s="124">
        <v>384.81355932203388</v>
      </c>
      <c r="R9" s="124">
        <v>383.47601264004595</v>
      </c>
      <c r="S9" s="124">
        <v>51.808353464019966</v>
      </c>
      <c r="T9" s="123" t="s">
        <v>10</v>
      </c>
      <c r="U9" s="123" t="s">
        <v>11</v>
      </c>
      <c r="V9" s="123" t="s">
        <v>9</v>
      </c>
      <c r="W9" s="72" t="str">
        <f t="shared" si="12"/>
        <v>IL-3600</v>
      </c>
      <c r="X9" s="59">
        <f t="shared" si="13"/>
        <v>3741.6128749148515</v>
      </c>
      <c r="Y9" s="63" t="str">
        <f t="shared" si="14"/>
        <v>IL-100-3600</v>
      </c>
      <c r="Z9" s="39">
        <f>VLOOKUP(Y9,Lookup!$U$28:$V$227,2,FALSE)</f>
        <v>93.6</v>
      </c>
      <c r="AA9" s="63">
        <f t="shared" si="15"/>
        <v>6.8376068376068417</v>
      </c>
      <c r="AB9" s="63" t="str">
        <f t="shared" si="16"/>
        <v/>
      </c>
      <c r="AC9" s="73">
        <f>VLOOKUP(W9,Lookup!$N$27:$P$36,3,FALSE)</f>
        <v>133.84</v>
      </c>
      <c r="AD9" s="76">
        <f t="shared" si="17"/>
        <v>69.552037427420942</v>
      </c>
      <c r="AE9" s="59">
        <f t="shared" si="18"/>
        <v>37.532477072610376</v>
      </c>
      <c r="AF9" s="59">
        <f t="shared" si="19"/>
        <v>33.087841629801275</v>
      </c>
      <c r="AG9" s="59">
        <f t="shared" si="20"/>
        <v>37.302014494094372</v>
      </c>
      <c r="AH9" s="59">
        <f t="shared" si="21"/>
        <v>53.963159759016875</v>
      </c>
      <c r="AI9" s="59">
        <f t="shared" si="22"/>
        <v>50.235254041212329</v>
      </c>
      <c r="AJ9" s="59">
        <f t="shared" si="23"/>
        <v>54.448535049395467</v>
      </c>
      <c r="AK9" s="59">
        <f t="shared" si="24"/>
        <v>0.53963159759016877</v>
      </c>
      <c r="AL9" s="59">
        <f t="shared" si="25"/>
        <v>0.50235254041212329</v>
      </c>
      <c r="AM9" s="59">
        <f t="shared" si="26"/>
        <v>0.54448535049395463</v>
      </c>
      <c r="AN9" s="59">
        <f t="shared" si="27"/>
        <v>0.69912654625824511</v>
      </c>
      <c r="AO9" s="59">
        <f t="shared" si="28"/>
        <v>0.680687807210409</v>
      </c>
      <c r="AP9" s="59">
        <f t="shared" si="29"/>
        <v>0.7016345861351424</v>
      </c>
      <c r="AQ9" s="59">
        <f t="shared" si="30"/>
        <v>4.7803524530478327</v>
      </c>
      <c r="AR9" s="59">
        <f t="shared" si="31"/>
        <v>4.6542756048575002</v>
      </c>
      <c r="AS9" s="59">
        <f t="shared" si="32"/>
        <v>4.7975014436590966</v>
      </c>
      <c r="AT9" s="59">
        <f t="shared" si="33"/>
        <v>58.743512212064708</v>
      </c>
      <c r="AU9" s="59">
        <f t="shared" si="34"/>
        <v>54.889529646069832</v>
      </c>
      <c r="AV9" s="59">
        <f t="shared" si="35"/>
        <v>59.246036493054561</v>
      </c>
      <c r="AW9" s="77">
        <f t="shared" si="36"/>
        <v>57.620596814451325</v>
      </c>
      <c r="AX9" s="76">
        <f t="shared" si="37"/>
        <v>3.2133970096413011</v>
      </c>
      <c r="AY9" s="59">
        <f t="shared" si="38"/>
        <v>10.282870430852164</v>
      </c>
      <c r="AZ9" s="59">
        <f t="shared" si="39"/>
        <v>25.064496675202157</v>
      </c>
      <c r="BA9" s="59">
        <f t="shared" si="40"/>
        <v>0.51414352154260823</v>
      </c>
      <c r="BB9" s="59">
        <f t="shared" si="41"/>
        <v>3.2133970096413014E-2</v>
      </c>
      <c r="BC9" s="59">
        <f t="shared" si="42"/>
        <v>0.10282870430852163</v>
      </c>
      <c r="BD9" s="59">
        <f t="shared" si="43"/>
        <v>0.25064496675202158</v>
      </c>
      <c r="BE9" s="59">
        <f>INDEX(Lookup!$F$58:$F$61,MATCH('SectionVII (Method C.1)'!H9,Lookup!$D$58:$D$61,-1))</f>
        <v>-0.89139999999999997</v>
      </c>
      <c r="BF9" s="59">
        <f>INDEX(Lookup!$G$58:$G$61,MATCH('SectionVII (Method C.1)'!$H9,Lookup!$D$58:$D$61,-1))</f>
        <v>2.8845999999999998</v>
      </c>
      <c r="BG9" s="59">
        <f>INDEX(Lookup!$H$58:$H$61,MATCH('SectionVII (Method C.1)'!$H9,Lookup!$D$58:$D$61,-1))</f>
        <v>0.26250000000000001</v>
      </c>
      <c r="BH9" s="59">
        <f t="shared" si="44"/>
        <v>1.5099625521943971</v>
      </c>
      <c r="BI9" s="59">
        <f t="shared" si="45"/>
        <v>0.35427319760086529</v>
      </c>
      <c r="BJ9" s="59">
        <f t="shared" si="46"/>
        <v>0.54969424644646503</v>
      </c>
      <c r="BK9" s="59">
        <f t="shared" si="47"/>
        <v>0.92951013860505149</v>
      </c>
      <c r="BL9" s="156">
        <f t="shared" si="48"/>
        <v>10.324530271414687</v>
      </c>
      <c r="BM9" s="59">
        <f t="shared" si="49"/>
        <v>2.4223808382965162</v>
      </c>
      <c r="BN9" s="59">
        <f t="shared" si="50"/>
        <v>3.7585931380954896</v>
      </c>
      <c r="BO9" s="59">
        <f t="shared" si="51"/>
        <v>6.355624879350783</v>
      </c>
      <c r="BP9" s="59">
        <f t="shared" si="52"/>
        <v>61.738882425675506</v>
      </c>
      <c r="BQ9" s="59">
        <f t="shared" si="53"/>
        <v>5.6357778479378169</v>
      </c>
      <c r="BR9" s="59">
        <f t="shared" si="54"/>
        <v>14.041463568947654</v>
      </c>
      <c r="BS9" s="59">
        <f t="shared" si="55"/>
        <v>31.420121554552942</v>
      </c>
      <c r="BT9" s="59">
        <f t="shared" si="56"/>
        <v>28.209061349278478</v>
      </c>
      <c r="BU9" s="77">
        <f t="shared" si="57"/>
        <v>0.48956558780737253</v>
      </c>
      <c r="BV9" s="58">
        <f>VLOOKUP(W9,Lookup!$N$27:$P$36,2,FALSE)</f>
        <v>141.01</v>
      </c>
      <c r="BW9" s="59">
        <f t="shared" si="58"/>
        <v>62.382037427420983</v>
      </c>
      <c r="BX9" s="59">
        <f t="shared" si="59"/>
        <v>37.532477072610376</v>
      </c>
      <c r="BY9" s="59">
        <f t="shared" si="60"/>
        <v>33.087841629801275</v>
      </c>
      <c r="BZ9" s="59">
        <f t="shared" si="61"/>
        <v>37.302014494094372</v>
      </c>
      <c r="CA9" s="59">
        <f t="shared" si="62"/>
        <v>60.165519788092723</v>
      </c>
      <c r="CB9" s="59">
        <f t="shared" si="63"/>
        <v>56.009140023928957</v>
      </c>
      <c r="CC9" s="59">
        <f t="shared" si="64"/>
        <v>60.706682625264143</v>
      </c>
      <c r="CD9" s="59">
        <f t="shared" si="65"/>
        <v>0.60165519788092725</v>
      </c>
      <c r="CE9" s="59">
        <f t="shared" si="66"/>
        <v>0.56009140023928961</v>
      </c>
      <c r="CF9" s="59">
        <f t="shared" si="67"/>
        <v>0.60706682625264141</v>
      </c>
      <c r="CG9" s="59">
        <f t="shared" si="68"/>
        <v>0.73287735075244265</v>
      </c>
      <c r="CH9" s="59">
        <f t="shared" si="69"/>
        <v>0.70985780240672891</v>
      </c>
      <c r="CI9" s="59">
        <f t="shared" si="70"/>
        <v>0.73598700238828807</v>
      </c>
      <c r="CJ9" s="59">
        <f t="shared" si="71"/>
        <v>5.0111271846320893</v>
      </c>
      <c r="CK9" s="59">
        <f t="shared" si="72"/>
        <v>4.8537285634648164</v>
      </c>
      <c r="CL9" s="59">
        <f t="shared" si="73"/>
        <v>5.0323897599199219</v>
      </c>
      <c r="CM9" s="59">
        <f t="shared" si="74"/>
        <v>65.176646972724811</v>
      </c>
      <c r="CN9" s="59">
        <f t="shared" si="75"/>
        <v>60.862868587393777</v>
      </c>
      <c r="CO9" s="59">
        <f t="shared" si="76"/>
        <v>65.739072385184059</v>
      </c>
      <c r="CP9" s="59">
        <f t="shared" si="77"/>
        <v>63.919803362169361</v>
      </c>
      <c r="CQ9" s="59">
        <f t="shared" si="78"/>
        <v>1.109322132986623</v>
      </c>
      <c r="CR9" s="64">
        <f t="shared" si="79"/>
        <v>61.975654517925037</v>
      </c>
    </row>
    <row r="10" spans="1:97" s="16" customFormat="1" ht="43" thickBot="1">
      <c r="A10" s="122" t="s">
        <v>328</v>
      </c>
      <c r="B10" s="129" t="s">
        <v>8</v>
      </c>
      <c r="C10" s="122" t="s">
        <v>30</v>
      </c>
      <c r="D10" s="122" t="s">
        <v>77</v>
      </c>
      <c r="E10" s="122">
        <v>4</v>
      </c>
      <c r="F10" s="122">
        <v>1800</v>
      </c>
      <c r="G10" s="135" t="s">
        <v>571</v>
      </c>
      <c r="H10" s="130">
        <v>75</v>
      </c>
      <c r="I10" s="65" t="s">
        <v>581</v>
      </c>
      <c r="J10" s="123">
        <v>9</v>
      </c>
      <c r="K10" s="124">
        <v>349.83050847457628</v>
      </c>
      <c r="L10" s="124">
        <v>424.42976156276899</v>
      </c>
      <c r="M10" s="124">
        <v>51.414352154260818</v>
      </c>
      <c r="N10" s="124">
        <v>262.37288135593218</v>
      </c>
      <c r="O10" s="124">
        <v>498.89112324044811</v>
      </c>
      <c r="P10" s="124">
        <v>49.201251494128293</v>
      </c>
      <c r="Q10" s="124">
        <v>384.81355932203388</v>
      </c>
      <c r="R10" s="124">
        <v>383.47601264004595</v>
      </c>
      <c r="S10" s="124">
        <v>51.808353464019966</v>
      </c>
      <c r="T10" s="123" t="s">
        <v>10</v>
      </c>
      <c r="U10" s="123" t="s">
        <v>11</v>
      </c>
      <c r="V10" s="123" t="s">
        <v>9</v>
      </c>
      <c r="W10" s="72" t="str">
        <f t="shared" si="12"/>
        <v>ESCC-1800</v>
      </c>
      <c r="X10" s="59">
        <f t="shared" si="13"/>
        <v>1870.8064374574258</v>
      </c>
      <c r="Y10" s="63" t="str">
        <f t="shared" si="14"/>
        <v>ESCC-75-1800</v>
      </c>
      <c r="Z10" s="39">
        <f>VLOOKUP(Y10,Lookup!$U$28:$V$227,2,FALSE)</f>
        <v>95</v>
      </c>
      <c r="AA10" s="63">
        <f t="shared" si="15"/>
        <v>3.9473684210526301</v>
      </c>
      <c r="AB10" s="63" t="str">
        <f t="shared" si="16"/>
        <v/>
      </c>
      <c r="AC10" s="73">
        <f>VLOOKUP(W10,Lookup!$N$27:$P$36,3,FALSE)</f>
        <v>128.47</v>
      </c>
      <c r="AD10" s="76">
        <f t="shared" si="17"/>
        <v>77.255633243152374</v>
      </c>
      <c r="AE10" s="59">
        <f t="shared" si="18"/>
        <v>37.532477072610376</v>
      </c>
      <c r="AF10" s="59">
        <f t="shared" si="19"/>
        <v>33.087841629801275</v>
      </c>
      <c r="AG10" s="59">
        <f t="shared" si="20"/>
        <v>37.302014494094372</v>
      </c>
      <c r="AH10" s="59">
        <f t="shared" si="21"/>
        <v>48.582188116278367</v>
      </c>
      <c r="AI10" s="59">
        <f t="shared" si="22"/>
        <v>45.226012946571629</v>
      </c>
      <c r="AJ10" s="59">
        <f t="shared" si="23"/>
        <v>49.019163893261585</v>
      </c>
      <c r="AK10" s="59">
        <f t="shared" si="24"/>
        <v>0.64776250821704484</v>
      </c>
      <c r="AL10" s="59">
        <f t="shared" si="25"/>
        <v>0.60301350595428838</v>
      </c>
      <c r="AM10" s="59">
        <f t="shared" si="26"/>
        <v>0.65358885191015448</v>
      </c>
      <c r="AN10" s="59">
        <f t="shared" si="27"/>
        <v>0.76012788907612194</v>
      </c>
      <c r="AO10" s="59">
        <f t="shared" si="28"/>
        <v>0.73365553736739109</v>
      </c>
      <c r="AP10" s="59">
        <f t="shared" si="29"/>
        <v>0.76368699374800908</v>
      </c>
      <c r="AQ10" s="59">
        <f t="shared" si="30"/>
        <v>3.0005048253004802</v>
      </c>
      <c r="AR10" s="59">
        <f t="shared" si="31"/>
        <v>2.8960087001344372</v>
      </c>
      <c r="AS10" s="59">
        <f t="shared" si="32"/>
        <v>3.0145539226895082</v>
      </c>
      <c r="AT10" s="59">
        <f t="shared" si="33"/>
        <v>51.582692941578848</v>
      </c>
      <c r="AU10" s="59">
        <f t="shared" si="34"/>
        <v>48.122021646706067</v>
      </c>
      <c r="AV10" s="59">
        <f t="shared" si="35"/>
        <v>52.033717815951093</v>
      </c>
      <c r="AW10" s="77">
        <f t="shared" si="36"/>
        <v>50.574419520331858</v>
      </c>
      <c r="AX10" s="76">
        <f t="shared" si="37"/>
        <v>3.2133970096413011</v>
      </c>
      <c r="AY10" s="59">
        <f t="shared" si="38"/>
        <v>10.282870430852164</v>
      </c>
      <c r="AZ10" s="59">
        <f t="shared" si="39"/>
        <v>25.064496675202157</v>
      </c>
      <c r="BA10" s="59">
        <f t="shared" si="40"/>
        <v>0.68552469539014427</v>
      </c>
      <c r="BB10" s="59">
        <f t="shared" si="41"/>
        <v>4.2845293461884017E-2</v>
      </c>
      <c r="BC10" s="59">
        <f t="shared" si="42"/>
        <v>0.13710493907802884</v>
      </c>
      <c r="BD10" s="59">
        <f t="shared" si="43"/>
        <v>0.33419328900269546</v>
      </c>
      <c r="BE10" s="59">
        <f>INDEX(Lookup!$F$58:$F$61,MATCH('SectionVII (Method C.1)'!H10,Lookup!$D$58:$D$61,-1))</f>
        <v>-0.89139999999999997</v>
      </c>
      <c r="BF10" s="59">
        <f>INDEX(Lookup!$G$58:$G$61,MATCH('SectionVII (Method C.1)'!$H10,Lookup!$D$58:$D$61,-1))</f>
        <v>2.8845999999999998</v>
      </c>
      <c r="BG10" s="59">
        <f>INDEX(Lookup!$H$58:$H$61,MATCH('SectionVII (Method C.1)'!$H10,Lookup!$D$58:$D$61,-1))</f>
        <v>0.26250000000000001</v>
      </c>
      <c r="BH10" s="59">
        <f t="shared" si="44"/>
        <v>1.8210563584603467</v>
      </c>
      <c r="BI10" s="59">
        <f t="shared" si="45"/>
        <v>0.38445517345037694</v>
      </c>
      <c r="BJ10" s="59">
        <f t="shared" si="46"/>
        <v>0.64123658014999951</v>
      </c>
      <c r="BK10" s="59">
        <f t="shared" si="47"/>
        <v>1.1269578148121442</v>
      </c>
      <c r="BL10" s="156">
        <f t="shared" si="48"/>
        <v>7.1883803623434712</v>
      </c>
      <c r="BM10" s="59">
        <f t="shared" si="49"/>
        <v>1.5175862109883294</v>
      </c>
      <c r="BN10" s="59">
        <f t="shared" si="50"/>
        <v>2.5311970269078921</v>
      </c>
      <c r="BO10" s="59">
        <f t="shared" si="51"/>
        <v>4.448517690047936</v>
      </c>
      <c r="BP10" s="59">
        <f t="shared" si="52"/>
        <v>58.602732516604291</v>
      </c>
      <c r="BQ10" s="59">
        <f t="shared" si="53"/>
        <v>4.7309832206296303</v>
      </c>
      <c r="BR10" s="59">
        <f t="shared" si="54"/>
        <v>12.814067457760055</v>
      </c>
      <c r="BS10" s="59">
        <f t="shared" si="55"/>
        <v>29.513014365250093</v>
      </c>
      <c r="BT10" s="59">
        <f t="shared" si="56"/>
        <v>26.415199390061019</v>
      </c>
      <c r="BU10" s="77">
        <f t="shared" si="57"/>
        <v>0.5223035605864268</v>
      </c>
      <c r="BV10" s="58">
        <f>VLOOKUP(W10,Lookup!$N$27:$P$36,2,FALSE)</f>
        <v>134.43</v>
      </c>
      <c r="BW10" s="59">
        <f t="shared" si="58"/>
        <v>71.295633243152452</v>
      </c>
      <c r="BX10" s="59">
        <f t="shared" si="59"/>
        <v>37.532477072610376</v>
      </c>
      <c r="BY10" s="59">
        <f t="shared" si="60"/>
        <v>33.087841629801275</v>
      </c>
      <c r="BZ10" s="59">
        <f t="shared" si="61"/>
        <v>37.302014494094372</v>
      </c>
      <c r="CA10" s="59">
        <f t="shared" si="62"/>
        <v>52.643444437342396</v>
      </c>
      <c r="CB10" s="59">
        <f t="shared" si="63"/>
        <v>49.006707848912676</v>
      </c>
      <c r="CC10" s="59">
        <f t="shared" si="64"/>
        <v>53.116949458998107</v>
      </c>
      <c r="CD10" s="59">
        <f t="shared" si="65"/>
        <v>0.70191259249789861</v>
      </c>
      <c r="CE10" s="59">
        <f t="shared" si="66"/>
        <v>0.65342277131883564</v>
      </c>
      <c r="CF10" s="59">
        <f t="shared" si="67"/>
        <v>0.70822599278664145</v>
      </c>
      <c r="CG10" s="59">
        <f t="shared" si="68"/>
        <v>0.79408762708170522</v>
      </c>
      <c r="CH10" s="59">
        <f t="shared" si="69"/>
        <v>0.76358520387549422</v>
      </c>
      <c r="CI10" s="59">
        <f t="shared" si="70"/>
        <v>0.79816619472257311</v>
      </c>
      <c r="CJ10" s="59">
        <f t="shared" si="71"/>
        <v>3.1345564226909404</v>
      </c>
      <c r="CK10" s="59">
        <f t="shared" si="72"/>
        <v>3.0141521205611603</v>
      </c>
      <c r="CL10" s="59">
        <f t="shared" si="73"/>
        <v>3.1506560317996293</v>
      </c>
      <c r="CM10" s="59">
        <f t="shared" si="74"/>
        <v>55.778000860033337</v>
      </c>
      <c r="CN10" s="59">
        <f t="shared" si="75"/>
        <v>52.020859969473833</v>
      </c>
      <c r="CO10" s="59">
        <f t="shared" si="76"/>
        <v>56.267605490797735</v>
      </c>
      <c r="CP10" s="59">
        <f t="shared" si="77"/>
        <v>54.683353224557621</v>
      </c>
      <c r="CQ10" s="59">
        <f t="shared" si="78"/>
        <v>1.0812452964007604</v>
      </c>
      <c r="CR10" s="64">
        <f t="shared" si="79"/>
        <v>55.894173581433357</v>
      </c>
    </row>
    <row r="11" spans="1:97" ht="59.25" customHeight="1" thickBot="1">
      <c r="A11" s="122" t="s">
        <v>328</v>
      </c>
      <c r="B11" s="129" t="s">
        <v>8</v>
      </c>
      <c r="C11" s="122" t="s">
        <v>30</v>
      </c>
      <c r="D11" s="122" t="s">
        <v>76</v>
      </c>
      <c r="E11" s="122">
        <v>4</v>
      </c>
      <c r="F11" s="122">
        <v>3600</v>
      </c>
      <c r="G11" s="135" t="s">
        <v>571</v>
      </c>
      <c r="H11" s="130">
        <v>60</v>
      </c>
      <c r="I11" s="65" t="s">
        <v>581</v>
      </c>
      <c r="J11" s="123">
        <v>9</v>
      </c>
      <c r="K11" s="124">
        <v>349.83050847457628</v>
      </c>
      <c r="L11" s="124">
        <v>424.42976156276899</v>
      </c>
      <c r="M11" s="124">
        <v>51.414352154260818</v>
      </c>
      <c r="N11" s="124">
        <v>262.37288135593218</v>
      </c>
      <c r="O11" s="124">
        <v>498.89112324044811</v>
      </c>
      <c r="P11" s="124">
        <v>49.201251494128293</v>
      </c>
      <c r="Q11" s="124">
        <v>384.81355932203388</v>
      </c>
      <c r="R11" s="124">
        <v>383.47601264004595</v>
      </c>
      <c r="S11" s="124">
        <v>51.808353464019966</v>
      </c>
      <c r="T11" s="123" t="s">
        <v>10</v>
      </c>
      <c r="U11" s="123" t="s">
        <v>11</v>
      </c>
      <c r="V11" s="123" t="s">
        <v>9</v>
      </c>
      <c r="W11" s="72" t="str">
        <f t="shared" si="12"/>
        <v>ST-3600</v>
      </c>
      <c r="X11" s="59">
        <f t="shared" si="13"/>
        <v>3741.6128749148515</v>
      </c>
      <c r="Y11" s="63" t="str">
        <f t="shared" si="14"/>
        <v>ST-60-3600</v>
      </c>
      <c r="Z11" s="39">
        <f>VLOOKUP(Y11,Lookup!$U$28:$V$227,2,FALSE)</f>
        <v>81.5</v>
      </c>
      <c r="AA11" s="63">
        <f t="shared" si="15"/>
        <v>13.619631901840492</v>
      </c>
      <c r="AB11" s="63" t="str">
        <f t="shared" si="16"/>
        <v/>
      </c>
      <c r="AC11" s="73">
        <f>VLOOKUP(W11,Lookup!$N$27:$P$36,3,FALSE)</f>
        <v>134.85</v>
      </c>
      <c r="AD11" s="76">
        <f t="shared" si="17"/>
        <v>68.542037427420951</v>
      </c>
      <c r="AE11" s="59">
        <f t="shared" si="18"/>
        <v>37.532477072610376</v>
      </c>
      <c r="AF11" s="59">
        <f t="shared" si="19"/>
        <v>33.087841629801275</v>
      </c>
      <c r="AG11" s="59">
        <f t="shared" si="20"/>
        <v>37.302014494094372</v>
      </c>
      <c r="AH11" s="59">
        <f t="shared" si="21"/>
        <v>54.758332960781118</v>
      </c>
      <c r="AI11" s="59">
        <f t="shared" si="22"/>
        <v>50.975494753130903</v>
      </c>
      <c r="AJ11" s="59">
        <f t="shared" si="23"/>
        <v>55.250860490306387</v>
      </c>
      <c r="AK11" s="59">
        <f t="shared" si="24"/>
        <v>0.91263888267968529</v>
      </c>
      <c r="AL11" s="59">
        <f t="shared" si="25"/>
        <v>0.84959157921884843</v>
      </c>
      <c r="AM11" s="59">
        <f t="shared" si="26"/>
        <v>0.92084767483843977</v>
      </c>
      <c r="AN11" s="59">
        <f t="shared" si="27"/>
        <v>0.93852506187822482</v>
      </c>
      <c r="AO11" s="59">
        <f t="shared" si="28"/>
        <v>0.8941090669273295</v>
      </c>
      <c r="AP11" s="59">
        <f t="shared" si="29"/>
        <v>0.94432581111093983</v>
      </c>
      <c r="AQ11" s="59">
        <f t="shared" si="30"/>
        <v>12.782365873433493</v>
      </c>
      <c r="AR11" s="59">
        <f t="shared" si="31"/>
        <v>12.177436371648293</v>
      </c>
      <c r="AS11" s="59">
        <f t="shared" si="32"/>
        <v>12.861369942737955</v>
      </c>
      <c r="AT11" s="59">
        <f t="shared" si="33"/>
        <v>67.540698834214609</v>
      </c>
      <c r="AU11" s="59">
        <f t="shared" si="34"/>
        <v>63.152931124779194</v>
      </c>
      <c r="AV11" s="59">
        <f t="shared" si="35"/>
        <v>68.112230433044346</v>
      </c>
      <c r="AW11" s="77">
        <f t="shared" si="36"/>
        <v>66.261993268666316</v>
      </c>
      <c r="AX11" s="76">
        <f t="shared" si="37"/>
        <v>3.2133970096413011</v>
      </c>
      <c r="AY11" s="59">
        <f t="shared" si="38"/>
        <v>10.282870430852164</v>
      </c>
      <c r="AZ11" s="59">
        <f t="shared" si="39"/>
        <v>25.064496675202157</v>
      </c>
      <c r="BA11" s="59">
        <f t="shared" si="40"/>
        <v>0.85690586923768031</v>
      </c>
      <c r="BB11" s="59">
        <f t="shared" si="41"/>
        <v>5.3556616827355019E-2</v>
      </c>
      <c r="BC11" s="59">
        <f t="shared" si="42"/>
        <v>0.17138117384753607</v>
      </c>
      <c r="BD11" s="59">
        <f t="shared" si="43"/>
        <v>0.41774161125336928</v>
      </c>
      <c r="BE11" s="59">
        <f>INDEX(Lookup!$F$58:$F$61,MATCH('SectionVII (Method C.1)'!H11,Lookup!$D$58:$D$61,-1))</f>
        <v>-0.89139999999999997</v>
      </c>
      <c r="BF11" s="59">
        <f>INDEX(Lookup!$G$58:$G$61,MATCH('SectionVII (Method C.1)'!$H11,Lookup!$D$58:$D$61,-1))</f>
        <v>2.8845999999999998</v>
      </c>
      <c r="BG11" s="59">
        <f>INDEX(Lookup!$H$58:$H$61,MATCH('SectionVII (Method C.1)'!$H11,Lookup!$D$58:$D$61,-1))</f>
        <v>0.26250000000000001</v>
      </c>
      <c r="BH11" s="59">
        <f t="shared" si="44"/>
        <v>2.0797866424935387</v>
      </c>
      <c r="BI11" s="59">
        <f t="shared" si="45"/>
        <v>0.41443260429116691</v>
      </c>
      <c r="BJ11" s="59">
        <f t="shared" si="46"/>
        <v>0.73068437296422362</v>
      </c>
      <c r="BK11" s="59">
        <f t="shared" si="47"/>
        <v>1.3119609726886079</v>
      </c>
      <c r="BL11" s="156">
        <f t="shared" si="48"/>
        <v>28.325928505126726</v>
      </c>
      <c r="BM11" s="59">
        <f t="shared" si="49"/>
        <v>5.6444195185668136</v>
      </c>
      <c r="BN11" s="59">
        <f t="shared" si="50"/>
        <v>9.9516521961998556</v>
      </c>
      <c r="BO11" s="59">
        <f t="shared" si="51"/>
        <v>17.868425517599448</v>
      </c>
      <c r="BP11" s="59">
        <f t="shared" si="52"/>
        <v>79.740280659387537</v>
      </c>
      <c r="BQ11" s="59">
        <f t="shared" si="53"/>
        <v>8.8578165282081152</v>
      </c>
      <c r="BR11" s="59">
        <f t="shared" si="54"/>
        <v>20.234522627052019</v>
      </c>
      <c r="BS11" s="59">
        <f t="shared" si="55"/>
        <v>42.932922192801605</v>
      </c>
      <c r="BT11" s="59">
        <f t="shared" si="56"/>
        <v>37.941385501862321</v>
      </c>
      <c r="BU11" s="77">
        <f t="shared" si="57"/>
        <v>0.57259650110471216</v>
      </c>
      <c r="BV11" s="58">
        <f>VLOOKUP(W11,Lookup!$N$27:$P$36,2,FALSE)</f>
        <v>138.78</v>
      </c>
      <c r="BW11" s="59">
        <f t="shared" si="58"/>
        <v>64.612037427421001</v>
      </c>
      <c r="BX11" s="59">
        <f t="shared" si="59"/>
        <v>37.532477072610376</v>
      </c>
      <c r="BY11" s="59">
        <f t="shared" si="60"/>
        <v>33.087841629801275</v>
      </c>
      <c r="BZ11" s="59">
        <f t="shared" si="61"/>
        <v>37.302014494094372</v>
      </c>
      <c r="CA11" s="59">
        <f t="shared" si="62"/>
        <v>58.088985531172547</v>
      </c>
      <c r="CB11" s="59">
        <f t="shared" si="63"/>
        <v>54.076057780644746</v>
      </c>
      <c r="CC11" s="59">
        <f t="shared" si="64"/>
        <v>58.611470840518791</v>
      </c>
      <c r="CD11" s="59">
        <f t="shared" si="65"/>
        <v>0.9681497588528758</v>
      </c>
      <c r="CE11" s="59">
        <f t="shared" si="66"/>
        <v>0.90126762967741247</v>
      </c>
      <c r="CF11" s="59">
        <f t="shared" si="67"/>
        <v>0.97685784734197989</v>
      </c>
      <c r="CG11" s="59">
        <f t="shared" si="68"/>
        <v>0.97769126797753314</v>
      </c>
      <c r="CH11" s="59">
        <f t="shared" si="69"/>
        <v>0.93049113204035871</v>
      </c>
      <c r="CI11" s="59">
        <f t="shared" si="70"/>
        <v>0.98380831375047451</v>
      </c>
      <c r="CJ11" s="59">
        <f t="shared" si="71"/>
        <v>13.315795183497691</v>
      </c>
      <c r="CK11" s="59">
        <f t="shared" si="72"/>
        <v>12.672946706316543</v>
      </c>
      <c r="CL11" s="59">
        <f t="shared" si="73"/>
        <v>13.399107095251862</v>
      </c>
      <c r="CM11" s="59">
        <f t="shared" si="74"/>
        <v>71.404780714670238</v>
      </c>
      <c r="CN11" s="59">
        <f t="shared" si="75"/>
        <v>66.749004486961283</v>
      </c>
      <c r="CO11" s="59">
        <f t="shared" si="76"/>
        <v>72.010577935770655</v>
      </c>
      <c r="CP11" s="59">
        <f t="shared" si="77"/>
        <v>70.04778223369614</v>
      </c>
      <c r="CQ11" s="59">
        <f t="shared" si="78"/>
        <v>1.0571336414478196</v>
      </c>
      <c r="CR11" s="64">
        <f t="shared" si="79"/>
        <v>48.45371403431075</v>
      </c>
    </row>
    <row r="12" spans="1:97" ht="30.75" customHeight="1" thickBot="1">
      <c r="A12" s="122" t="s">
        <v>328</v>
      </c>
      <c r="B12" s="129" t="s">
        <v>8</v>
      </c>
      <c r="C12" s="122" t="s">
        <v>30</v>
      </c>
      <c r="D12" s="122" t="s">
        <v>75</v>
      </c>
      <c r="E12" s="122">
        <v>4</v>
      </c>
      <c r="F12" s="122">
        <v>3600</v>
      </c>
      <c r="G12" s="135" t="s">
        <v>571</v>
      </c>
      <c r="H12" s="130">
        <v>50</v>
      </c>
      <c r="I12" s="65" t="s">
        <v>581</v>
      </c>
      <c r="J12" s="123">
        <v>9</v>
      </c>
      <c r="K12" s="124">
        <v>349.83050847457628</v>
      </c>
      <c r="L12" s="124">
        <v>424.42976156276899</v>
      </c>
      <c r="M12" s="124">
        <v>51.414352154260818</v>
      </c>
      <c r="N12" s="124">
        <v>262.37288135593218</v>
      </c>
      <c r="O12" s="124">
        <v>498.89112324044811</v>
      </c>
      <c r="P12" s="124">
        <v>49.201251494128293</v>
      </c>
      <c r="Q12" s="124">
        <v>384.81355932203388</v>
      </c>
      <c r="R12" s="124">
        <v>383.47601264004595</v>
      </c>
      <c r="S12" s="124">
        <v>51.808353464019966</v>
      </c>
      <c r="T12" s="123" t="s">
        <v>10</v>
      </c>
      <c r="U12" s="123" t="s">
        <v>11</v>
      </c>
      <c r="V12" s="123" t="s">
        <v>9</v>
      </c>
      <c r="W12" s="72" t="str">
        <f t="shared" si="12"/>
        <v>RSV-3600</v>
      </c>
      <c r="X12" s="59">
        <f t="shared" si="13"/>
        <v>3741.6128749148515</v>
      </c>
      <c r="Y12" s="63" t="str">
        <f t="shared" si="14"/>
        <v>RSV-50-3600</v>
      </c>
      <c r="Z12" s="39">
        <f>VLOOKUP(Y12,Lookup!$U$28:$V$227,2,FALSE)</f>
        <v>93</v>
      </c>
      <c r="AA12" s="63">
        <f t="shared" si="15"/>
        <v>3.7634408602150486</v>
      </c>
      <c r="AB12" s="63" t="str">
        <f t="shared" si="16"/>
        <v/>
      </c>
      <c r="AC12" s="73">
        <f>VLOOKUP(W12,Lookup!$N$27:$P$36,3,FALSE)</f>
        <v>133.19999999999999</v>
      </c>
      <c r="AD12" s="76">
        <f t="shared" si="17"/>
        <v>70.192037427421042</v>
      </c>
      <c r="AE12" s="59">
        <f t="shared" si="18"/>
        <v>37.532477072610376</v>
      </c>
      <c r="AF12" s="59">
        <f t="shared" si="19"/>
        <v>33.087841629801275</v>
      </c>
      <c r="AG12" s="59">
        <f t="shared" si="20"/>
        <v>37.302014494094372</v>
      </c>
      <c r="AH12" s="59">
        <f t="shared" si="21"/>
        <v>53.471132122955069</v>
      </c>
      <c r="AI12" s="59">
        <f t="shared" si="22"/>
        <v>49.777216865419774</v>
      </c>
      <c r="AJ12" s="59">
        <f t="shared" si="23"/>
        <v>53.952081837481643</v>
      </c>
      <c r="AK12" s="59">
        <f t="shared" si="24"/>
        <v>1</v>
      </c>
      <c r="AL12" s="59">
        <f t="shared" si="25"/>
        <v>0.99554433730839553</v>
      </c>
      <c r="AM12" s="59">
        <f t="shared" si="26"/>
        <v>1</v>
      </c>
      <c r="AN12" s="59">
        <f t="shared" si="27"/>
        <v>1</v>
      </c>
      <c r="AO12" s="59">
        <f t="shared" si="28"/>
        <v>0.9968908728273651</v>
      </c>
      <c r="AP12" s="59">
        <f t="shared" si="29"/>
        <v>1</v>
      </c>
      <c r="AQ12" s="59">
        <f t="shared" si="30"/>
        <v>3.7634408602150486</v>
      </c>
      <c r="AR12" s="59">
        <f t="shared" si="31"/>
        <v>3.7517398439739496</v>
      </c>
      <c r="AS12" s="59">
        <f t="shared" si="32"/>
        <v>3.7634408602150486</v>
      </c>
      <c r="AT12" s="59">
        <f t="shared" si="33"/>
        <v>57.234572983170118</v>
      </c>
      <c r="AU12" s="59">
        <f t="shared" si="34"/>
        <v>53.528956709393725</v>
      </c>
      <c r="AV12" s="59">
        <f t="shared" si="35"/>
        <v>57.715522697696692</v>
      </c>
      <c r="AW12" s="77">
        <f t="shared" si="36"/>
        <v>56.154068161673834</v>
      </c>
      <c r="AX12" s="76">
        <f t="shared" si="37"/>
        <v>3.2133970096413011</v>
      </c>
      <c r="AY12" s="59">
        <f t="shared" si="38"/>
        <v>10.282870430852164</v>
      </c>
      <c r="AZ12" s="59">
        <f t="shared" si="39"/>
        <v>25.064496675202157</v>
      </c>
      <c r="BA12" s="59">
        <f t="shared" si="40"/>
        <v>1</v>
      </c>
      <c r="BB12" s="59">
        <f t="shared" si="41"/>
        <v>6.4267940192826029E-2</v>
      </c>
      <c r="BC12" s="59">
        <f t="shared" si="42"/>
        <v>0.20565740861704326</v>
      </c>
      <c r="BD12" s="59">
        <f t="shared" si="43"/>
        <v>0.50128993350404316</v>
      </c>
      <c r="BE12" s="59">
        <f>INDEX(Lookup!$F$58:$F$61,MATCH('SectionVII (Method C.1)'!H12,Lookup!$D$58:$D$61,-1))</f>
        <v>-1.5122</v>
      </c>
      <c r="BF12" s="59">
        <f>INDEX(Lookup!$G$58:$G$61,MATCH('SectionVII (Method C.1)'!$H12,Lookup!$D$58:$D$61,-1))</f>
        <v>3.0777000000000001</v>
      </c>
      <c r="BG12" s="59">
        <f>INDEX(Lookup!$H$58:$H$61,MATCH('SectionVII (Method C.1)'!$H12,Lookup!$D$58:$D$61,-1))</f>
        <v>0.1847</v>
      </c>
      <c r="BH12" s="59">
        <f t="shared" si="44"/>
        <v>1.7502000000000002</v>
      </c>
      <c r="BI12" s="59">
        <f t="shared" si="45"/>
        <v>0.37625149683525083</v>
      </c>
      <c r="BJ12" s="59">
        <f t="shared" si="46"/>
        <v>0.75369335329148501</v>
      </c>
      <c r="BK12" s="59">
        <f t="shared" si="47"/>
        <v>1.3475168747079853</v>
      </c>
      <c r="BL12" s="156">
        <f t="shared" si="48"/>
        <v>6.5867741935483792</v>
      </c>
      <c r="BM12" s="59">
        <f t="shared" si="49"/>
        <v>1.4160002569068559</v>
      </c>
      <c r="BN12" s="59">
        <f t="shared" si="50"/>
        <v>2.836480361849671</v>
      </c>
      <c r="BO12" s="59">
        <f t="shared" si="51"/>
        <v>5.071300066105314</v>
      </c>
      <c r="BP12" s="59">
        <f t="shared" si="52"/>
        <v>58.001126347809198</v>
      </c>
      <c r="BQ12" s="59">
        <f t="shared" si="53"/>
        <v>4.6293972665481569</v>
      </c>
      <c r="BR12" s="59">
        <f t="shared" si="54"/>
        <v>13.119350792701834</v>
      </c>
      <c r="BS12" s="59">
        <f t="shared" si="55"/>
        <v>30.135796741307473</v>
      </c>
      <c r="BT12" s="59">
        <f t="shared" si="56"/>
        <v>26.471417787091667</v>
      </c>
      <c r="BU12" s="77">
        <f t="shared" si="57"/>
        <v>0.47140694616955442</v>
      </c>
      <c r="BV12" s="58">
        <f>VLOOKUP(W12,Lookup!$N$27:$P$36,2,FALSE)</f>
        <v>133.19999999999999</v>
      </c>
      <c r="BW12" s="59">
        <f t="shared" si="58"/>
        <v>70.192037427421042</v>
      </c>
      <c r="BX12" s="59">
        <f t="shared" si="59"/>
        <v>37.532477072610376</v>
      </c>
      <c r="BY12" s="59">
        <f t="shared" si="60"/>
        <v>33.087841629801275</v>
      </c>
      <c r="BZ12" s="59">
        <f t="shared" si="61"/>
        <v>37.302014494094372</v>
      </c>
      <c r="CA12" s="59">
        <f t="shared" si="62"/>
        <v>53.471132122955069</v>
      </c>
      <c r="CB12" s="59">
        <f t="shared" si="63"/>
        <v>49.777216865419774</v>
      </c>
      <c r="CC12" s="59">
        <f t="shared" si="64"/>
        <v>53.952081837481643</v>
      </c>
      <c r="CD12" s="59">
        <f t="shared" si="65"/>
        <v>1</v>
      </c>
      <c r="CE12" s="59">
        <f t="shared" si="66"/>
        <v>0.99554433730839553</v>
      </c>
      <c r="CF12" s="59">
        <f t="shared" si="67"/>
        <v>1</v>
      </c>
      <c r="CG12" s="59">
        <f t="shared" si="68"/>
        <v>1</v>
      </c>
      <c r="CH12" s="59">
        <f t="shared" si="69"/>
        <v>0.9968908728273651</v>
      </c>
      <c r="CI12" s="59">
        <f t="shared" si="70"/>
        <v>1</v>
      </c>
      <c r="CJ12" s="59">
        <f t="shared" si="71"/>
        <v>3.7634408602150486</v>
      </c>
      <c r="CK12" s="59">
        <f t="shared" si="72"/>
        <v>3.7517398439739496</v>
      </c>
      <c r="CL12" s="59">
        <f t="shared" si="73"/>
        <v>3.7634408602150486</v>
      </c>
      <c r="CM12" s="59">
        <f t="shared" si="74"/>
        <v>57.234572983170118</v>
      </c>
      <c r="CN12" s="59">
        <f t="shared" si="75"/>
        <v>53.528956709393725</v>
      </c>
      <c r="CO12" s="59">
        <f t="shared" si="76"/>
        <v>57.715522697696692</v>
      </c>
      <c r="CP12" s="59">
        <f t="shared" si="77"/>
        <v>56.154068161673834</v>
      </c>
      <c r="CQ12" s="59">
        <f t="shared" si="78"/>
        <v>1</v>
      </c>
      <c r="CR12" s="64">
        <f t="shared" si="79"/>
        <v>52.85930538304455</v>
      </c>
    </row>
    <row r="13" spans="1:97" ht="15.75" customHeight="1" thickBot="1">
      <c r="A13" s="122" t="s">
        <v>328</v>
      </c>
      <c r="B13" s="129" t="s">
        <v>8</v>
      </c>
      <c r="C13" s="122" t="s">
        <v>30</v>
      </c>
      <c r="D13" s="122" t="s">
        <v>74</v>
      </c>
      <c r="E13" s="122">
        <v>4</v>
      </c>
      <c r="F13" s="122">
        <v>1800</v>
      </c>
      <c r="G13" s="135" t="s">
        <v>571</v>
      </c>
      <c r="H13" s="130">
        <v>40</v>
      </c>
      <c r="I13" s="65" t="s">
        <v>581</v>
      </c>
      <c r="J13" s="123">
        <v>9</v>
      </c>
      <c r="K13" s="124">
        <v>349.83050847457628</v>
      </c>
      <c r="L13" s="124">
        <v>424.42976156276899</v>
      </c>
      <c r="M13" s="124">
        <v>51.414352154260818</v>
      </c>
      <c r="N13" s="124">
        <v>262.37288135593218</v>
      </c>
      <c r="O13" s="124">
        <v>498.89112324044811</v>
      </c>
      <c r="P13" s="124">
        <v>49.201251494128293</v>
      </c>
      <c r="Q13" s="124">
        <v>384.81355932203388</v>
      </c>
      <c r="R13" s="124">
        <v>383.47601264004595</v>
      </c>
      <c r="S13" s="124">
        <v>51.808353464019966</v>
      </c>
      <c r="T13" s="123" t="s">
        <v>10</v>
      </c>
      <c r="U13" s="123" t="s">
        <v>11</v>
      </c>
      <c r="V13" s="123" t="s">
        <v>9</v>
      </c>
      <c r="W13" s="72" t="str">
        <f t="shared" si="12"/>
        <v>IL-1800</v>
      </c>
      <c r="X13" s="59">
        <f t="shared" si="13"/>
        <v>1870.8064374574258</v>
      </c>
      <c r="Y13" s="63" t="str">
        <f t="shared" si="14"/>
        <v>IL-40-1800</v>
      </c>
      <c r="Z13" s="39">
        <f>VLOOKUP(Y13,Lookup!$U$28:$V$227,2,FALSE)</f>
        <v>94.1</v>
      </c>
      <c r="AA13" s="63">
        <f t="shared" si="15"/>
        <v>2.5079702444208323</v>
      </c>
      <c r="AB13" s="63" t="str">
        <f t="shared" si="16"/>
        <v/>
      </c>
      <c r="AC13" s="73">
        <f>VLOOKUP(W13,Lookup!$N$27:$P$36,3,FALSE)</f>
        <v>129.30000000000001</v>
      </c>
      <c r="AD13" s="76">
        <f t="shared" si="17"/>
        <v>76.425633243152333</v>
      </c>
      <c r="AE13" s="59">
        <f t="shared" si="18"/>
        <v>37.532477072610376</v>
      </c>
      <c r="AF13" s="59">
        <f t="shared" si="19"/>
        <v>33.087841629801275</v>
      </c>
      <c r="AG13" s="59">
        <f t="shared" si="20"/>
        <v>37.302014494094372</v>
      </c>
      <c r="AH13" s="59">
        <f t="shared" si="21"/>
        <v>49.109801881783234</v>
      </c>
      <c r="AI13" s="59">
        <f t="shared" si="22"/>
        <v>45.717177875833364</v>
      </c>
      <c r="AJ13" s="59">
        <f t="shared" si="23"/>
        <v>49.551523316466685</v>
      </c>
      <c r="AK13" s="59">
        <f t="shared" si="24"/>
        <v>1</v>
      </c>
      <c r="AL13" s="59">
        <f t="shared" si="25"/>
        <v>1</v>
      </c>
      <c r="AM13" s="59">
        <f t="shared" si="26"/>
        <v>1</v>
      </c>
      <c r="AN13" s="59">
        <f t="shared" si="27"/>
        <v>1</v>
      </c>
      <c r="AO13" s="59">
        <f t="shared" si="28"/>
        <v>1</v>
      </c>
      <c r="AP13" s="59">
        <f t="shared" si="29"/>
        <v>1</v>
      </c>
      <c r="AQ13" s="59">
        <f t="shared" si="30"/>
        <v>2.5079702444208323</v>
      </c>
      <c r="AR13" s="59">
        <f t="shared" si="31"/>
        <v>2.5079702444208323</v>
      </c>
      <c r="AS13" s="59">
        <f t="shared" si="32"/>
        <v>2.5079702444208323</v>
      </c>
      <c r="AT13" s="59">
        <f t="shared" si="33"/>
        <v>51.617772126204066</v>
      </c>
      <c r="AU13" s="59">
        <f t="shared" si="34"/>
        <v>48.225148120254197</v>
      </c>
      <c r="AV13" s="59">
        <f t="shared" si="35"/>
        <v>52.059493560887518</v>
      </c>
      <c r="AW13" s="77">
        <f t="shared" si="36"/>
        <v>50.629074521988343</v>
      </c>
      <c r="AX13" s="76">
        <f t="shared" si="37"/>
        <v>3.2133970096413011</v>
      </c>
      <c r="AY13" s="59">
        <f t="shared" si="38"/>
        <v>10.282870430852164</v>
      </c>
      <c r="AZ13" s="59">
        <f t="shared" si="39"/>
        <v>25.064496675202157</v>
      </c>
      <c r="BA13" s="59">
        <f t="shared" si="40"/>
        <v>1</v>
      </c>
      <c r="BB13" s="59">
        <f t="shared" si="41"/>
        <v>8.0334925241032529E-2</v>
      </c>
      <c r="BC13" s="59">
        <f t="shared" si="42"/>
        <v>0.25707176077130411</v>
      </c>
      <c r="BD13" s="59">
        <f t="shared" si="43"/>
        <v>0.62661241688005398</v>
      </c>
      <c r="BE13" s="59">
        <f>INDEX(Lookup!$F$58:$F$61,MATCH('SectionVII (Method C.1)'!H13,Lookup!$D$58:$D$61,-1))</f>
        <v>-1.5122</v>
      </c>
      <c r="BF13" s="59">
        <f>INDEX(Lookup!$G$58:$G$61,MATCH('SectionVII (Method C.1)'!$H13,Lookup!$D$58:$D$61,-1))</f>
        <v>3.0777000000000001</v>
      </c>
      <c r="BG13" s="59">
        <f>INDEX(Lookup!$H$58:$H$61,MATCH('SectionVII (Method C.1)'!$H13,Lookup!$D$58:$D$61,-1))</f>
        <v>0.1847</v>
      </c>
      <c r="BH13" s="59">
        <f t="shared" si="44"/>
        <v>1.7502000000000002</v>
      </c>
      <c r="BI13" s="59">
        <f t="shared" si="45"/>
        <v>0.42218751395149789</v>
      </c>
      <c r="BJ13" s="59">
        <f t="shared" si="46"/>
        <v>0.87595467498648483</v>
      </c>
      <c r="BK13" s="59">
        <f t="shared" si="47"/>
        <v>1.5194701078732917</v>
      </c>
      <c r="BL13" s="156">
        <f t="shared" si="48"/>
        <v>4.3894495217853411</v>
      </c>
      <c r="BM13" s="59">
        <f t="shared" si="49"/>
        <v>1.0588337225563618</v>
      </c>
      <c r="BN13" s="59">
        <f t="shared" si="50"/>
        <v>2.1968682603274252</v>
      </c>
      <c r="BO13" s="59">
        <f t="shared" si="51"/>
        <v>3.810785817833128</v>
      </c>
      <c r="BP13" s="59">
        <f t="shared" si="52"/>
        <v>55.803801676046163</v>
      </c>
      <c r="BQ13" s="59">
        <f t="shared" si="53"/>
        <v>4.2722307321976629</v>
      </c>
      <c r="BR13" s="59">
        <f t="shared" si="54"/>
        <v>12.479738691179589</v>
      </c>
      <c r="BS13" s="59">
        <f t="shared" si="55"/>
        <v>28.875282493035286</v>
      </c>
      <c r="BT13" s="59">
        <f t="shared" si="56"/>
        <v>25.357763398114674</v>
      </c>
      <c r="BU13" s="77">
        <f t="shared" si="57"/>
        <v>0.50085378090610222</v>
      </c>
      <c r="BV13" s="58">
        <f>VLOOKUP(W13,Lookup!$N$27:$P$36,2,FALSE)</f>
        <v>135.91999999999999</v>
      </c>
      <c r="BW13" s="59">
        <f t="shared" si="58"/>
        <v>69.805633243152442</v>
      </c>
      <c r="BX13" s="59">
        <f t="shared" si="59"/>
        <v>37.532477072610376</v>
      </c>
      <c r="BY13" s="59">
        <f t="shared" si="60"/>
        <v>33.087841629801275</v>
      </c>
      <c r="BZ13" s="59">
        <f t="shared" si="61"/>
        <v>37.302014494094372</v>
      </c>
      <c r="CA13" s="59">
        <f t="shared" si="62"/>
        <v>53.76711782253205</v>
      </c>
      <c r="CB13" s="59">
        <f t="shared" si="63"/>
        <v>50.052755156305928</v>
      </c>
      <c r="CC13" s="59">
        <f t="shared" si="64"/>
        <v>54.250729800453165</v>
      </c>
      <c r="CD13" s="59">
        <f t="shared" si="65"/>
        <v>1</v>
      </c>
      <c r="CE13" s="59">
        <f t="shared" si="66"/>
        <v>1</v>
      </c>
      <c r="CF13" s="59">
        <f t="shared" si="67"/>
        <v>1</v>
      </c>
      <c r="CG13" s="59">
        <f t="shared" si="68"/>
        <v>1</v>
      </c>
      <c r="CH13" s="59">
        <f t="shared" si="69"/>
        <v>1</v>
      </c>
      <c r="CI13" s="59">
        <f t="shared" si="70"/>
        <v>1</v>
      </c>
      <c r="CJ13" s="59">
        <f t="shared" si="71"/>
        <v>2.5079702444208323</v>
      </c>
      <c r="CK13" s="59">
        <f t="shared" si="72"/>
        <v>2.5079702444208323</v>
      </c>
      <c r="CL13" s="59">
        <f t="shared" si="73"/>
        <v>2.5079702444208323</v>
      </c>
      <c r="CM13" s="59">
        <f t="shared" si="74"/>
        <v>56.275088066952883</v>
      </c>
      <c r="CN13" s="59">
        <f t="shared" si="75"/>
        <v>52.56072540072676</v>
      </c>
      <c r="CO13" s="59">
        <f t="shared" si="76"/>
        <v>56.758700044873997</v>
      </c>
      <c r="CP13" s="59">
        <f t="shared" si="77"/>
        <v>55.192651353734121</v>
      </c>
      <c r="CQ13" s="59">
        <f t="shared" si="78"/>
        <v>1.0901374728815911</v>
      </c>
      <c r="CR13" s="64">
        <f t="shared" si="79"/>
        <v>58.928369197548889</v>
      </c>
    </row>
    <row r="14" spans="1:97" ht="61.5" customHeight="1" thickBot="1">
      <c r="A14" s="122" t="s">
        <v>328</v>
      </c>
      <c r="B14" s="129" t="s">
        <v>8</v>
      </c>
      <c r="C14" s="122" t="s">
        <v>30</v>
      </c>
      <c r="D14" s="122" t="s">
        <v>77</v>
      </c>
      <c r="E14" s="122">
        <v>4</v>
      </c>
      <c r="F14" s="122">
        <v>3600</v>
      </c>
      <c r="G14" s="135" t="s">
        <v>571</v>
      </c>
      <c r="H14" s="130">
        <v>30</v>
      </c>
      <c r="I14" s="65" t="s">
        <v>581</v>
      </c>
      <c r="J14" s="123">
        <v>9</v>
      </c>
      <c r="K14" s="124">
        <v>349.83050847457628</v>
      </c>
      <c r="L14" s="124">
        <v>424.42976156276899</v>
      </c>
      <c r="M14" s="124">
        <v>51.414352154260818</v>
      </c>
      <c r="N14" s="124">
        <v>262.37288135593218</v>
      </c>
      <c r="O14" s="124">
        <v>498.89112324044811</v>
      </c>
      <c r="P14" s="124">
        <v>49.201251494128293</v>
      </c>
      <c r="Q14" s="124">
        <v>384.81355932203388</v>
      </c>
      <c r="R14" s="124">
        <v>383.47601264004595</v>
      </c>
      <c r="S14" s="124">
        <v>51.808353464019966</v>
      </c>
      <c r="T14" s="123" t="s">
        <v>10</v>
      </c>
      <c r="U14" s="123" t="s">
        <v>11</v>
      </c>
      <c r="V14" s="123" t="s">
        <v>9</v>
      </c>
      <c r="W14" s="72" t="str">
        <f t="shared" si="12"/>
        <v>ESCC-3600</v>
      </c>
      <c r="X14" s="59">
        <f t="shared" si="13"/>
        <v>3741.6128749148515</v>
      </c>
      <c r="Y14" s="63" t="str">
        <f t="shared" si="14"/>
        <v>ESCC-30-3600</v>
      </c>
      <c r="Z14" s="39">
        <f>VLOOKUP(Y14,Lookup!$U$28:$V$227,2,FALSE)</f>
        <v>91.7</v>
      </c>
      <c r="AA14" s="63">
        <f t="shared" si="15"/>
        <v>2.7153762268266064</v>
      </c>
      <c r="AB14" s="63" t="str">
        <f t="shared" si="16"/>
        <v/>
      </c>
      <c r="AC14" s="73">
        <f>VLOOKUP(W14,Lookup!$N$27:$P$36,3,FALSE)</f>
        <v>130.41999999999999</v>
      </c>
      <c r="AD14" s="76">
        <f t="shared" si="17"/>
        <v>72.972037427421014</v>
      </c>
      <c r="AE14" s="59">
        <f t="shared" si="18"/>
        <v>37.532477072610376</v>
      </c>
      <c r="AF14" s="59">
        <f t="shared" si="19"/>
        <v>33.087841629801275</v>
      </c>
      <c r="AG14" s="59">
        <f t="shared" si="20"/>
        <v>37.302014494094372</v>
      </c>
      <c r="AH14" s="59">
        <f t="shared" si="21"/>
        <v>51.434053914063583</v>
      </c>
      <c r="AI14" s="59">
        <f t="shared" si="22"/>
        <v>47.880864950845634</v>
      </c>
      <c r="AJ14" s="59">
        <f t="shared" si="23"/>
        <v>51.896680990857668</v>
      </c>
      <c r="AK14" s="59">
        <f t="shared" si="24"/>
        <v>1</v>
      </c>
      <c r="AL14" s="59">
        <f t="shared" si="25"/>
        <v>1</v>
      </c>
      <c r="AM14" s="59">
        <f t="shared" si="26"/>
        <v>1</v>
      </c>
      <c r="AN14" s="59">
        <f t="shared" si="27"/>
        <v>1</v>
      </c>
      <c r="AO14" s="59">
        <f t="shared" si="28"/>
        <v>1</v>
      </c>
      <c r="AP14" s="59">
        <f t="shared" si="29"/>
        <v>1</v>
      </c>
      <c r="AQ14" s="59">
        <f t="shared" si="30"/>
        <v>2.7153762268266064</v>
      </c>
      <c r="AR14" s="59">
        <f t="shared" si="31"/>
        <v>2.7153762268266064</v>
      </c>
      <c r="AS14" s="59">
        <f t="shared" si="32"/>
        <v>2.7153762268266064</v>
      </c>
      <c r="AT14" s="59">
        <f t="shared" si="33"/>
        <v>54.149430140890189</v>
      </c>
      <c r="AU14" s="59">
        <f t="shared" si="34"/>
        <v>50.59624117767224</v>
      </c>
      <c r="AV14" s="59">
        <f t="shared" si="35"/>
        <v>54.612057217684274</v>
      </c>
      <c r="AW14" s="77">
        <f t="shared" si="36"/>
        <v>53.113930921131029</v>
      </c>
      <c r="AX14" s="76">
        <f t="shared" si="37"/>
        <v>3.2133970096413011</v>
      </c>
      <c r="AY14" s="59">
        <f t="shared" si="38"/>
        <v>10.282870430852164</v>
      </c>
      <c r="AZ14" s="59">
        <f t="shared" si="39"/>
        <v>25.064496675202157</v>
      </c>
      <c r="BA14" s="59">
        <f t="shared" si="40"/>
        <v>1</v>
      </c>
      <c r="BB14" s="59">
        <f t="shared" si="41"/>
        <v>0.10711323365471004</v>
      </c>
      <c r="BC14" s="59">
        <f t="shared" si="42"/>
        <v>0.34276234769507213</v>
      </c>
      <c r="BD14" s="59">
        <f t="shared" si="43"/>
        <v>0.83548322250673857</v>
      </c>
      <c r="BE14" s="59">
        <f>INDEX(Lookup!$F$58:$F$61,MATCH('SectionVII (Method C.1)'!H14,Lookup!$D$58:$D$61,-1))</f>
        <v>-1.5122</v>
      </c>
      <c r="BF14" s="59">
        <f>INDEX(Lookup!$G$58:$G$61,MATCH('SectionVII (Method C.1)'!$H14,Lookup!$D$58:$D$61,-1))</f>
        <v>3.0777000000000001</v>
      </c>
      <c r="BG14" s="59">
        <f>INDEX(Lookup!$H$58:$H$61,MATCH('SectionVII (Method C.1)'!$H14,Lookup!$D$58:$D$61,-1))</f>
        <v>0.1847</v>
      </c>
      <c r="BH14" s="59">
        <f t="shared" si="44"/>
        <v>1.7502000000000002</v>
      </c>
      <c r="BI14" s="59">
        <f t="shared" si="45"/>
        <v>0.49701255839629599</v>
      </c>
      <c r="BJ14" s="59">
        <f t="shared" si="46"/>
        <v>1.0619573074755986</v>
      </c>
      <c r="BK14" s="59">
        <f t="shared" si="47"/>
        <v>1.700502398249522</v>
      </c>
      <c r="BL14" s="156">
        <f t="shared" si="48"/>
        <v>4.7524514721919271</v>
      </c>
      <c r="BM14" s="59">
        <f t="shared" si="49"/>
        <v>1.3495760855035726</v>
      </c>
      <c r="BN14" s="59">
        <f t="shared" si="50"/>
        <v>2.8836136266240331</v>
      </c>
      <c r="BO14" s="59">
        <f t="shared" si="51"/>
        <v>4.6175037858683821</v>
      </c>
      <c r="BP14" s="59">
        <f t="shared" si="52"/>
        <v>56.166803626452747</v>
      </c>
      <c r="BQ14" s="59">
        <f t="shared" si="53"/>
        <v>4.5629730951448737</v>
      </c>
      <c r="BR14" s="59">
        <f t="shared" si="54"/>
        <v>13.166484057476197</v>
      </c>
      <c r="BS14" s="59">
        <f t="shared" si="55"/>
        <v>29.68200046107054</v>
      </c>
      <c r="BT14" s="59">
        <f t="shared" si="56"/>
        <v>25.894565310036093</v>
      </c>
      <c r="BU14" s="77">
        <f t="shared" si="57"/>
        <v>0.48752869277340777</v>
      </c>
      <c r="BV14" s="58">
        <f>VLOOKUP(W14,Lookup!$N$27:$P$36,2,FALSE)</f>
        <v>135.94</v>
      </c>
      <c r="BW14" s="59">
        <f t="shared" si="58"/>
        <v>67.452037427421033</v>
      </c>
      <c r="BX14" s="59">
        <f t="shared" si="59"/>
        <v>37.532477072610376</v>
      </c>
      <c r="BY14" s="59">
        <f t="shared" si="60"/>
        <v>33.087841629801275</v>
      </c>
      <c r="BZ14" s="59">
        <f t="shared" si="61"/>
        <v>37.302014494094372</v>
      </c>
      <c r="CA14" s="59">
        <f t="shared" si="62"/>
        <v>55.643207387168466</v>
      </c>
      <c r="CB14" s="59">
        <f t="shared" si="63"/>
        <v>51.799239911914214</v>
      </c>
      <c r="CC14" s="59">
        <f t="shared" si="64"/>
        <v>56.143693979572454</v>
      </c>
      <c r="CD14" s="59">
        <f t="shared" si="65"/>
        <v>1</v>
      </c>
      <c r="CE14" s="59">
        <f t="shared" si="66"/>
        <v>1</v>
      </c>
      <c r="CF14" s="59">
        <f t="shared" si="67"/>
        <v>1</v>
      </c>
      <c r="CG14" s="59">
        <f t="shared" si="68"/>
        <v>1</v>
      </c>
      <c r="CH14" s="59">
        <f t="shared" si="69"/>
        <v>1</v>
      </c>
      <c r="CI14" s="59">
        <f t="shared" si="70"/>
        <v>1</v>
      </c>
      <c r="CJ14" s="59">
        <f t="shared" si="71"/>
        <v>2.7153762268266064</v>
      </c>
      <c r="CK14" s="59">
        <f t="shared" si="72"/>
        <v>2.7153762268266064</v>
      </c>
      <c r="CL14" s="59">
        <f t="shared" si="73"/>
        <v>2.7153762268266064</v>
      </c>
      <c r="CM14" s="59">
        <f t="shared" si="74"/>
        <v>58.358583613995073</v>
      </c>
      <c r="CN14" s="59">
        <f t="shared" si="75"/>
        <v>54.51461613874082</v>
      </c>
      <c r="CO14" s="59">
        <f t="shared" si="76"/>
        <v>58.859070206399061</v>
      </c>
      <c r="CP14" s="59">
        <f t="shared" si="77"/>
        <v>57.238365577379675</v>
      </c>
      <c r="CQ14" s="59">
        <f t="shared" si="78"/>
        <v>1.0776525966864141</v>
      </c>
      <c r="CR14" s="64">
        <f t="shared" si="79"/>
        <v>59.012390391300642</v>
      </c>
    </row>
    <row r="15" spans="1:97" ht="43" thickBot="1">
      <c r="A15" s="122" t="s">
        <v>328</v>
      </c>
      <c r="B15" s="129" t="s">
        <v>8</v>
      </c>
      <c r="C15" s="122" t="s">
        <v>30</v>
      </c>
      <c r="D15" s="122" t="s">
        <v>76</v>
      </c>
      <c r="E15" s="122">
        <v>4</v>
      </c>
      <c r="F15" s="122">
        <v>1800</v>
      </c>
      <c r="G15" s="135" t="s">
        <v>571</v>
      </c>
      <c r="H15" s="130">
        <v>25</v>
      </c>
      <c r="I15" s="65" t="s">
        <v>581</v>
      </c>
      <c r="J15" s="123">
        <v>9</v>
      </c>
      <c r="K15" s="124">
        <v>349.83050847457628</v>
      </c>
      <c r="L15" s="124">
        <v>424.42976156276899</v>
      </c>
      <c r="M15" s="124">
        <v>51.414352154260818</v>
      </c>
      <c r="N15" s="124">
        <v>262.37288135593218</v>
      </c>
      <c r="O15" s="124">
        <v>498.89112324044811</v>
      </c>
      <c r="P15" s="124">
        <v>49.201251494128293</v>
      </c>
      <c r="Q15" s="124">
        <v>384.81355932203388</v>
      </c>
      <c r="R15" s="124">
        <v>383.47601264004595</v>
      </c>
      <c r="S15" s="124">
        <v>51.808353464019966</v>
      </c>
      <c r="T15" s="123" t="s">
        <v>10</v>
      </c>
      <c r="U15" s="123" t="s">
        <v>11</v>
      </c>
      <c r="V15" s="123" t="s">
        <v>9</v>
      </c>
      <c r="W15" s="72" t="str">
        <f t="shared" si="12"/>
        <v>ST-1800</v>
      </c>
      <c r="X15" s="59">
        <f t="shared" si="13"/>
        <v>1870.8064374574258</v>
      </c>
      <c r="Y15" s="63" t="str">
        <f t="shared" si="14"/>
        <v>ST-25-1800</v>
      </c>
      <c r="Z15" s="39">
        <f>VLOOKUP(Y15,Lookup!$U$28:$V$227,2,FALSE)</f>
        <v>78.5</v>
      </c>
      <c r="AA15" s="63">
        <f t="shared" si="15"/>
        <v>6.8471337579617817</v>
      </c>
      <c r="AB15" s="63" t="str">
        <f t="shared" si="16"/>
        <v/>
      </c>
      <c r="AC15" s="73">
        <f>VLOOKUP(W15,Lookup!$N$27:$P$36,3,FALSE)</f>
        <v>138.78</v>
      </c>
      <c r="AD15" s="76">
        <f t="shared" si="17"/>
        <v>66.945633243152429</v>
      </c>
      <c r="AE15" s="59">
        <f t="shared" si="18"/>
        <v>37.532477072610376</v>
      </c>
      <c r="AF15" s="59">
        <f t="shared" si="19"/>
        <v>33.087841629801275</v>
      </c>
      <c r="AG15" s="59">
        <f t="shared" si="20"/>
        <v>37.302014494094372</v>
      </c>
      <c r="AH15" s="59">
        <f t="shared" si="21"/>
        <v>56.064115393888528</v>
      </c>
      <c r="AI15" s="59">
        <f t="shared" si="22"/>
        <v>52.191070574536404</v>
      </c>
      <c r="AJ15" s="59">
        <f t="shared" si="23"/>
        <v>56.568387871828079</v>
      </c>
      <c r="AK15" s="59">
        <f t="shared" si="24"/>
        <v>1</v>
      </c>
      <c r="AL15" s="59">
        <f t="shared" si="25"/>
        <v>1</v>
      </c>
      <c r="AM15" s="59">
        <f t="shared" si="26"/>
        <v>1</v>
      </c>
      <c r="AN15" s="59">
        <f t="shared" si="27"/>
        <v>1</v>
      </c>
      <c r="AO15" s="59">
        <f t="shared" si="28"/>
        <v>1</v>
      </c>
      <c r="AP15" s="59">
        <f t="shared" si="29"/>
        <v>1</v>
      </c>
      <c r="AQ15" s="59">
        <f t="shared" si="30"/>
        <v>6.8471337579617817</v>
      </c>
      <c r="AR15" s="59">
        <f t="shared" si="31"/>
        <v>6.8471337579617817</v>
      </c>
      <c r="AS15" s="59">
        <f t="shared" si="32"/>
        <v>6.8471337579617817</v>
      </c>
      <c r="AT15" s="59">
        <f t="shared" si="33"/>
        <v>62.911249151850313</v>
      </c>
      <c r="AU15" s="59">
        <f t="shared" si="34"/>
        <v>59.038204332498182</v>
      </c>
      <c r="AV15" s="59">
        <f t="shared" si="35"/>
        <v>63.415521629789865</v>
      </c>
      <c r="AW15" s="77">
        <f t="shared" si="36"/>
        <v>61.782146205542311</v>
      </c>
      <c r="AX15" s="76">
        <f t="shared" si="37"/>
        <v>3.2133970096413011</v>
      </c>
      <c r="AY15" s="59">
        <f t="shared" si="38"/>
        <v>10.282870430852164</v>
      </c>
      <c r="AZ15" s="59">
        <f t="shared" si="39"/>
        <v>25.064496675202157</v>
      </c>
      <c r="BA15" s="59">
        <f t="shared" si="40"/>
        <v>1</v>
      </c>
      <c r="BB15" s="59">
        <f t="shared" si="41"/>
        <v>0.12853588038565206</v>
      </c>
      <c r="BC15" s="59">
        <f t="shared" si="42"/>
        <v>0.41131481723408653</v>
      </c>
      <c r="BD15" s="59">
        <f t="shared" si="43"/>
        <v>1</v>
      </c>
      <c r="BE15" s="59">
        <f>INDEX(Lookup!$F$58:$F$61,MATCH('SectionVII (Method C.1)'!H15,Lookup!$D$58:$D$61,-1))</f>
        <v>-1.5122</v>
      </c>
      <c r="BF15" s="59">
        <f>INDEX(Lookup!$G$58:$G$61,MATCH('SectionVII (Method C.1)'!$H15,Lookup!$D$58:$D$61,-1))</f>
        <v>3.0777000000000001</v>
      </c>
      <c r="BG15" s="59">
        <f>INDEX(Lookup!$H$58:$H$61,MATCH('SectionVII (Method C.1)'!$H15,Lookup!$D$58:$D$61,-1))</f>
        <v>0.1847</v>
      </c>
      <c r="BH15" s="59">
        <f t="shared" si="44"/>
        <v>1.7502000000000002</v>
      </c>
      <c r="BI15" s="59">
        <f t="shared" si="45"/>
        <v>0.55531110827808194</v>
      </c>
      <c r="BJ15" s="59">
        <f t="shared" si="46"/>
        <v>1.1947698001645921</v>
      </c>
      <c r="BK15" s="59">
        <f t="shared" si="47"/>
        <v>1.7502000000000002</v>
      </c>
      <c r="BL15" s="156">
        <f t="shared" si="48"/>
        <v>11.983853503184712</v>
      </c>
      <c r="BM15" s="59">
        <f t="shared" si="49"/>
        <v>3.8022894356620252</v>
      </c>
      <c r="BN15" s="59">
        <f t="shared" si="50"/>
        <v>8.1807486317002311</v>
      </c>
      <c r="BO15" s="59">
        <f t="shared" si="51"/>
        <v>11.983853503184712</v>
      </c>
      <c r="BP15" s="59">
        <f t="shared" si="52"/>
        <v>63.39820565744553</v>
      </c>
      <c r="BQ15" s="59">
        <f t="shared" si="53"/>
        <v>7.0156864453033263</v>
      </c>
      <c r="BR15" s="59">
        <f t="shared" si="54"/>
        <v>18.463619062552397</v>
      </c>
      <c r="BS15" s="59">
        <f t="shared" si="55"/>
        <v>37.048350178386869</v>
      </c>
      <c r="BT15" s="59">
        <f t="shared" si="56"/>
        <v>31.481465335922032</v>
      </c>
      <c r="BU15" s="77">
        <f t="shared" si="57"/>
        <v>0.50955603308416486</v>
      </c>
      <c r="BV15" s="58">
        <f>VLOOKUP(W15,Lookup!$N$27:$P$36,2,FALSE)</f>
        <v>138.78</v>
      </c>
      <c r="BW15" s="59">
        <f t="shared" si="58"/>
        <v>66.945633243152429</v>
      </c>
      <c r="BX15" s="59">
        <f t="shared" si="59"/>
        <v>37.532477072610376</v>
      </c>
      <c r="BY15" s="59">
        <f t="shared" si="60"/>
        <v>33.087841629801275</v>
      </c>
      <c r="BZ15" s="59">
        <f t="shared" si="61"/>
        <v>37.302014494094372</v>
      </c>
      <c r="CA15" s="59">
        <f t="shared" si="62"/>
        <v>56.064115393888528</v>
      </c>
      <c r="CB15" s="59">
        <f t="shared" si="63"/>
        <v>52.191070574536404</v>
      </c>
      <c r="CC15" s="59">
        <f t="shared" si="64"/>
        <v>56.568387871828079</v>
      </c>
      <c r="CD15" s="59">
        <f t="shared" si="65"/>
        <v>1</v>
      </c>
      <c r="CE15" s="59">
        <f t="shared" si="66"/>
        <v>1</v>
      </c>
      <c r="CF15" s="59">
        <f t="shared" si="67"/>
        <v>1</v>
      </c>
      <c r="CG15" s="59">
        <f t="shared" si="68"/>
        <v>1</v>
      </c>
      <c r="CH15" s="59">
        <f t="shared" si="69"/>
        <v>1</v>
      </c>
      <c r="CI15" s="59">
        <f t="shared" si="70"/>
        <v>1</v>
      </c>
      <c r="CJ15" s="59">
        <f t="shared" si="71"/>
        <v>6.8471337579617817</v>
      </c>
      <c r="CK15" s="59">
        <f t="shared" si="72"/>
        <v>6.8471337579617817</v>
      </c>
      <c r="CL15" s="59">
        <f t="shared" si="73"/>
        <v>6.8471337579617817</v>
      </c>
      <c r="CM15" s="59">
        <f t="shared" si="74"/>
        <v>62.911249151850313</v>
      </c>
      <c r="CN15" s="59">
        <f t="shared" si="75"/>
        <v>59.038204332498182</v>
      </c>
      <c r="CO15" s="59">
        <f t="shared" si="76"/>
        <v>63.415521629789865</v>
      </c>
      <c r="CP15" s="59">
        <f t="shared" si="77"/>
        <v>61.782146205542311</v>
      </c>
      <c r="CQ15" s="59">
        <f t="shared" si="78"/>
        <v>1</v>
      </c>
      <c r="CR15" s="64">
        <f t="shared" si="79"/>
        <v>49.044396691583515</v>
      </c>
    </row>
    <row r="16" spans="1:97" ht="43" thickBot="1">
      <c r="A16" s="122" t="s">
        <v>328</v>
      </c>
      <c r="B16" s="129" t="s">
        <v>8</v>
      </c>
      <c r="C16" s="122" t="s">
        <v>30</v>
      </c>
      <c r="D16" s="122" t="s">
        <v>75</v>
      </c>
      <c r="E16" s="122">
        <v>4</v>
      </c>
      <c r="F16" s="122">
        <v>3600</v>
      </c>
      <c r="G16" s="135" t="s">
        <v>571</v>
      </c>
      <c r="H16" s="130">
        <v>20</v>
      </c>
      <c r="I16" s="65" t="s">
        <v>581</v>
      </c>
      <c r="J16" s="123">
        <v>9</v>
      </c>
      <c r="K16" s="124">
        <v>349.83050847457628</v>
      </c>
      <c r="L16" s="124">
        <v>424.42976156276899</v>
      </c>
      <c r="M16" s="124">
        <v>51.414352154260818</v>
      </c>
      <c r="N16" s="124">
        <v>262.37288135593218</v>
      </c>
      <c r="O16" s="124">
        <v>498.89112324044811</v>
      </c>
      <c r="P16" s="124">
        <v>49.201251494128293</v>
      </c>
      <c r="Q16" s="124">
        <v>384.81355932203388</v>
      </c>
      <c r="R16" s="124">
        <v>383.47601264004595</v>
      </c>
      <c r="S16" s="124">
        <v>51.808353464019966</v>
      </c>
      <c r="T16" s="123" t="s">
        <v>10</v>
      </c>
      <c r="U16" s="123" t="s">
        <v>11</v>
      </c>
      <c r="V16" s="123" t="s">
        <v>9</v>
      </c>
      <c r="W16" s="72" t="str">
        <f t="shared" si="12"/>
        <v>RSV-3600</v>
      </c>
      <c r="X16" s="59">
        <f t="shared" si="13"/>
        <v>3741.6128749148515</v>
      </c>
      <c r="Y16" s="63" t="str">
        <f t="shared" si="14"/>
        <v>RSV-20-3600</v>
      </c>
      <c r="Z16" s="39">
        <f>VLOOKUP(Y16,Lookup!$U$28:$V$227,2,FALSE)</f>
        <v>91</v>
      </c>
      <c r="AA16" s="63">
        <f t="shared" si="15"/>
        <v>1.9780219780219781</v>
      </c>
      <c r="AB16" s="63" t="str">
        <f t="shared" si="16"/>
        <v/>
      </c>
      <c r="AC16" s="73">
        <f>VLOOKUP(W16,Lookup!$N$27:$P$36,3,FALSE)</f>
        <v>133.19999999999999</v>
      </c>
      <c r="AD16" s="76">
        <f t="shared" si="17"/>
        <v>70.192037427421042</v>
      </c>
      <c r="AE16" s="59">
        <f t="shared" si="18"/>
        <v>37.532477072610376</v>
      </c>
      <c r="AF16" s="59">
        <f t="shared" si="19"/>
        <v>33.087841629801275</v>
      </c>
      <c r="AG16" s="59">
        <f t="shared" si="20"/>
        <v>37.302014494094372</v>
      </c>
      <c r="AH16" s="59">
        <f t="shared" si="21"/>
        <v>53.471132122955069</v>
      </c>
      <c r="AI16" s="59">
        <f t="shared" si="22"/>
        <v>49.777216865419774</v>
      </c>
      <c r="AJ16" s="59">
        <f t="shared" si="23"/>
        <v>53.952081837481643</v>
      </c>
      <c r="AK16" s="59">
        <f t="shared" si="24"/>
        <v>1</v>
      </c>
      <c r="AL16" s="59">
        <f t="shared" si="25"/>
        <v>1</v>
      </c>
      <c r="AM16" s="59">
        <f t="shared" si="26"/>
        <v>1</v>
      </c>
      <c r="AN16" s="59">
        <f t="shared" si="27"/>
        <v>1</v>
      </c>
      <c r="AO16" s="59">
        <f t="shared" si="28"/>
        <v>1</v>
      </c>
      <c r="AP16" s="59">
        <f t="shared" si="29"/>
        <v>1</v>
      </c>
      <c r="AQ16" s="59">
        <f t="shared" si="30"/>
        <v>1.9780219780219781</v>
      </c>
      <c r="AR16" s="59">
        <f t="shared" si="31"/>
        <v>1.9780219780219781</v>
      </c>
      <c r="AS16" s="59">
        <f t="shared" si="32"/>
        <v>1.9780219780219781</v>
      </c>
      <c r="AT16" s="59">
        <f t="shared" si="33"/>
        <v>55.449154100977047</v>
      </c>
      <c r="AU16" s="59">
        <f t="shared" si="34"/>
        <v>51.755238843441752</v>
      </c>
      <c r="AV16" s="59">
        <f t="shared" si="35"/>
        <v>55.930103815503621</v>
      </c>
      <c r="AW16" s="77">
        <f t="shared" si="36"/>
        <v>54.372727770082136</v>
      </c>
      <c r="AX16" s="76">
        <f t="shared" si="37"/>
        <v>3.2133970096413011</v>
      </c>
      <c r="AY16" s="59">
        <f t="shared" si="38"/>
        <v>10.282870430852164</v>
      </c>
      <c r="AZ16" s="59">
        <f t="shared" si="39"/>
        <v>25.064496675202157</v>
      </c>
      <c r="BA16" s="59">
        <f t="shared" si="40"/>
        <v>1</v>
      </c>
      <c r="BB16" s="59">
        <f t="shared" si="41"/>
        <v>0.16066985048206506</v>
      </c>
      <c r="BC16" s="59">
        <f t="shared" si="42"/>
        <v>0.51414352154260823</v>
      </c>
      <c r="BD16" s="59">
        <f t="shared" si="43"/>
        <v>1</v>
      </c>
      <c r="BE16" s="59">
        <f>INDEX(Lookup!$F$58:$F$61,MATCH('SectionVII (Method C.1)'!H16,Lookup!$D$58:$D$61,-1))</f>
        <v>-1.3198000000000001</v>
      </c>
      <c r="BF16" s="59">
        <f>INDEX(Lookup!$G$58:$G$61,MATCH('SectionVII (Method C.1)'!$H16,Lookup!$D$58:$D$61,-1))</f>
        <v>2.9550999999999998</v>
      </c>
      <c r="BG16" s="59">
        <f>INDEX(Lookup!$H$58:$H$61,MATCH('SectionVII (Method C.1)'!$H16,Lookup!$D$58:$D$61,-1))</f>
        <v>0.1052</v>
      </c>
      <c r="BH16" s="59">
        <f t="shared" si="44"/>
        <v>1.7404999999999997</v>
      </c>
      <c r="BI16" s="59">
        <f t="shared" si="45"/>
        <v>0.54592510099253477</v>
      </c>
      <c r="BJ16" s="59">
        <f t="shared" si="46"/>
        <v>1.2756648890403208</v>
      </c>
      <c r="BK16" s="59">
        <f t="shared" si="47"/>
        <v>1.7404999999999997</v>
      </c>
      <c r="BL16" s="156">
        <f t="shared" si="48"/>
        <v>3.4427472527472522</v>
      </c>
      <c r="BM16" s="59">
        <f t="shared" si="49"/>
        <v>1.0798518481171018</v>
      </c>
      <c r="BN16" s="59">
        <f t="shared" si="50"/>
        <v>2.5232931871127224</v>
      </c>
      <c r="BO16" s="59">
        <f t="shared" si="51"/>
        <v>3.4427472527472522</v>
      </c>
      <c r="BP16" s="59">
        <f t="shared" si="52"/>
        <v>54.857099407008072</v>
      </c>
      <c r="BQ16" s="59">
        <f t="shared" si="53"/>
        <v>4.2932488577584031</v>
      </c>
      <c r="BR16" s="59">
        <f t="shared" si="54"/>
        <v>12.806163617964886</v>
      </c>
      <c r="BS16" s="59">
        <f t="shared" si="55"/>
        <v>28.507243927949411</v>
      </c>
      <c r="BT16" s="59">
        <f t="shared" si="56"/>
        <v>25.115938952670191</v>
      </c>
      <c r="BU16" s="77">
        <f t="shared" si="57"/>
        <v>0.46192162841037193</v>
      </c>
      <c r="BV16" s="58">
        <f>VLOOKUP(W16,Lookup!$N$27:$P$36,2,FALSE)</f>
        <v>133.19999999999999</v>
      </c>
      <c r="BW16" s="59">
        <f t="shared" si="58"/>
        <v>70.192037427421042</v>
      </c>
      <c r="BX16" s="59">
        <f t="shared" si="59"/>
        <v>37.532477072610376</v>
      </c>
      <c r="BY16" s="59">
        <f t="shared" si="60"/>
        <v>33.087841629801275</v>
      </c>
      <c r="BZ16" s="59">
        <f t="shared" si="61"/>
        <v>37.302014494094372</v>
      </c>
      <c r="CA16" s="59">
        <f t="shared" si="62"/>
        <v>53.471132122955069</v>
      </c>
      <c r="CB16" s="59">
        <f t="shared" si="63"/>
        <v>49.777216865419774</v>
      </c>
      <c r="CC16" s="59">
        <f t="shared" si="64"/>
        <v>53.952081837481643</v>
      </c>
      <c r="CD16" s="59">
        <f t="shared" si="65"/>
        <v>1</v>
      </c>
      <c r="CE16" s="59">
        <f t="shared" si="66"/>
        <v>1</v>
      </c>
      <c r="CF16" s="59">
        <f t="shared" si="67"/>
        <v>1</v>
      </c>
      <c r="CG16" s="59">
        <f t="shared" si="68"/>
        <v>1</v>
      </c>
      <c r="CH16" s="59">
        <f t="shared" si="69"/>
        <v>1</v>
      </c>
      <c r="CI16" s="59">
        <f t="shared" si="70"/>
        <v>1</v>
      </c>
      <c r="CJ16" s="59">
        <f t="shared" si="71"/>
        <v>1.9780219780219781</v>
      </c>
      <c r="CK16" s="59">
        <f t="shared" si="72"/>
        <v>1.9780219780219781</v>
      </c>
      <c r="CL16" s="59">
        <f t="shared" si="73"/>
        <v>1.9780219780219781</v>
      </c>
      <c r="CM16" s="59">
        <f t="shared" si="74"/>
        <v>55.449154100977047</v>
      </c>
      <c r="CN16" s="59">
        <f t="shared" si="75"/>
        <v>51.755238843441752</v>
      </c>
      <c r="CO16" s="59">
        <f t="shared" si="76"/>
        <v>55.930103815503621</v>
      </c>
      <c r="CP16" s="59">
        <f t="shared" si="77"/>
        <v>54.372727770082136</v>
      </c>
      <c r="CQ16" s="59">
        <f t="shared" si="78"/>
        <v>1</v>
      </c>
      <c r="CR16" s="64">
        <f t="shared" si="79"/>
        <v>53.807837158962798</v>
      </c>
    </row>
    <row r="17" spans="1:96" ht="43" thickBot="1">
      <c r="A17" s="122" t="s">
        <v>328</v>
      </c>
      <c r="B17" s="129" t="s">
        <v>8</v>
      </c>
      <c r="C17" s="122" t="s">
        <v>30</v>
      </c>
      <c r="D17" s="122" t="s">
        <v>74</v>
      </c>
      <c r="E17" s="122">
        <v>4</v>
      </c>
      <c r="F17" s="122">
        <v>1800</v>
      </c>
      <c r="G17" s="135" t="s">
        <v>571</v>
      </c>
      <c r="H17" s="130">
        <v>15</v>
      </c>
      <c r="I17" s="65" t="s">
        <v>581</v>
      </c>
      <c r="J17" s="123">
        <v>9</v>
      </c>
      <c r="K17" s="124">
        <v>349.83050847457628</v>
      </c>
      <c r="L17" s="124">
        <v>424.42976156276899</v>
      </c>
      <c r="M17" s="124">
        <v>51.414352154260818</v>
      </c>
      <c r="N17" s="124">
        <v>262.37288135593218</v>
      </c>
      <c r="O17" s="124">
        <v>498.89112324044811</v>
      </c>
      <c r="P17" s="124">
        <v>49.201251494128293</v>
      </c>
      <c r="Q17" s="124">
        <v>384.81355932203388</v>
      </c>
      <c r="R17" s="124">
        <v>383.47601264004595</v>
      </c>
      <c r="S17" s="124">
        <v>51.808353464019966</v>
      </c>
      <c r="T17" s="123" t="s">
        <v>10</v>
      </c>
      <c r="U17" s="123" t="s">
        <v>11</v>
      </c>
      <c r="V17" s="123" t="s">
        <v>9</v>
      </c>
      <c r="W17" s="72" t="str">
        <f t="shared" si="12"/>
        <v>IL-1800</v>
      </c>
      <c r="X17" s="59">
        <f t="shared" si="13"/>
        <v>1870.8064374574258</v>
      </c>
      <c r="Y17" s="63" t="str">
        <f t="shared" si="14"/>
        <v>IL-15-1800</v>
      </c>
      <c r="Z17" s="39">
        <f>VLOOKUP(Y17,Lookup!$U$28:$V$227,2,FALSE)</f>
        <v>92.4</v>
      </c>
      <c r="AA17" s="63">
        <f t="shared" si="15"/>
        <v>1.2337662337662323</v>
      </c>
      <c r="AB17" s="63" t="str">
        <f t="shared" si="16"/>
        <v/>
      </c>
      <c r="AC17" s="73">
        <f>VLOOKUP(W17,Lookup!$N$27:$P$36,3,FALSE)</f>
        <v>129.30000000000001</v>
      </c>
      <c r="AD17" s="76">
        <f t="shared" si="17"/>
        <v>76.425633243152333</v>
      </c>
      <c r="AE17" s="59">
        <f t="shared" si="18"/>
        <v>37.532477072610376</v>
      </c>
      <c r="AF17" s="59">
        <f t="shared" si="19"/>
        <v>33.087841629801275</v>
      </c>
      <c r="AG17" s="59">
        <f t="shared" si="20"/>
        <v>37.302014494094372</v>
      </c>
      <c r="AH17" s="59">
        <f t="shared" si="21"/>
        <v>49.109801881783234</v>
      </c>
      <c r="AI17" s="59">
        <f t="shared" si="22"/>
        <v>45.717177875833364</v>
      </c>
      <c r="AJ17" s="59">
        <f t="shared" si="23"/>
        <v>49.551523316466685</v>
      </c>
      <c r="AK17" s="59">
        <f t="shared" si="24"/>
        <v>1</v>
      </c>
      <c r="AL17" s="59">
        <f t="shared" si="25"/>
        <v>1</v>
      </c>
      <c r="AM17" s="59">
        <f t="shared" si="26"/>
        <v>1</v>
      </c>
      <c r="AN17" s="59">
        <f t="shared" si="27"/>
        <v>1</v>
      </c>
      <c r="AO17" s="59">
        <f t="shared" si="28"/>
        <v>1</v>
      </c>
      <c r="AP17" s="59">
        <f t="shared" si="29"/>
        <v>1</v>
      </c>
      <c r="AQ17" s="59">
        <f t="shared" si="30"/>
        <v>1.2337662337662323</v>
      </c>
      <c r="AR17" s="59">
        <f t="shared" si="31"/>
        <v>1.2337662337662323</v>
      </c>
      <c r="AS17" s="59">
        <f t="shared" si="32"/>
        <v>1.2337662337662323</v>
      </c>
      <c r="AT17" s="59">
        <f t="shared" si="33"/>
        <v>50.343568115549466</v>
      </c>
      <c r="AU17" s="59">
        <f t="shared" si="34"/>
        <v>46.950944109599597</v>
      </c>
      <c r="AV17" s="59">
        <f t="shared" si="35"/>
        <v>50.785289550232918</v>
      </c>
      <c r="AW17" s="77">
        <f t="shared" si="36"/>
        <v>49.354997931734815</v>
      </c>
      <c r="AX17" s="76">
        <f t="shared" si="37"/>
        <v>3.2133970096413011</v>
      </c>
      <c r="AY17" s="59">
        <f t="shared" si="38"/>
        <v>10.282870430852164</v>
      </c>
      <c r="AZ17" s="59">
        <f t="shared" si="39"/>
        <v>25.064496675202157</v>
      </c>
      <c r="BA17" s="59">
        <f t="shared" si="40"/>
        <v>1</v>
      </c>
      <c r="BB17" s="59">
        <f t="shared" si="41"/>
        <v>0.21422646730942008</v>
      </c>
      <c r="BC17" s="59">
        <f t="shared" si="42"/>
        <v>0.68552469539014427</v>
      </c>
      <c r="BD17" s="59">
        <f t="shared" si="43"/>
        <v>1</v>
      </c>
      <c r="BE17" s="59">
        <f>INDEX(Lookup!$F$58:$F$61,MATCH('SectionVII (Method C.1)'!H17,Lookup!$D$58:$D$61,-1))</f>
        <v>-1.3198000000000001</v>
      </c>
      <c r="BF17" s="59">
        <f>INDEX(Lookup!$G$58:$G$61,MATCH('SectionVII (Method C.1)'!$H17,Lookup!$D$58:$D$61,-1))</f>
        <v>2.9550999999999998</v>
      </c>
      <c r="BG17" s="59">
        <f>INDEX(Lookup!$H$58:$H$61,MATCH('SectionVII (Method C.1)'!$H17,Lookup!$D$58:$D$61,-1))</f>
        <v>0.1052</v>
      </c>
      <c r="BH17" s="59">
        <f t="shared" si="44"/>
        <v>1.7404999999999997</v>
      </c>
      <c r="BI17" s="59">
        <f t="shared" si="45"/>
        <v>0.67769107947137264</v>
      </c>
      <c r="BJ17" s="59">
        <f t="shared" si="46"/>
        <v>1.5107617936225433</v>
      </c>
      <c r="BK17" s="59">
        <f t="shared" si="47"/>
        <v>1.7404999999999997</v>
      </c>
      <c r="BL17" s="156">
        <f t="shared" si="48"/>
        <v>2.1473701298701271</v>
      </c>
      <c r="BM17" s="59">
        <f t="shared" si="49"/>
        <v>0.8361123707763678</v>
      </c>
      <c r="BN17" s="59">
        <f t="shared" si="50"/>
        <v>1.863926888235603</v>
      </c>
      <c r="BO17" s="59">
        <f t="shared" si="51"/>
        <v>2.1473701298701271</v>
      </c>
      <c r="BP17" s="59">
        <f t="shared" si="52"/>
        <v>53.561722284130944</v>
      </c>
      <c r="BQ17" s="59">
        <f t="shared" si="53"/>
        <v>4.0495093804176694</v>
      </c>
      <c r="BR17" s="59">
        <f t="shared" si="54"/>
        <v>12.146797319087767</v>
      </c>
      <c r="BS17" s="59">
        <f t="shared" si="55"/>
        <v>27.211866805072283</v>
      </c>
      <c r="BT17" s="59">
        <f t="shared" si="56"/>
        <v>24.242473947177167</v>
      </c>
      <c r="BU17" s="77">
        <f t="shared" si="57"/>
        <v>0.49118579603038492</v>
      </c>
      <c r="BV17" s="58">
        <f>VLOOKUP(W17,Lookup!$N$27:$P$36,2,FALSE)</f>
        <v>135.91999999999999</v>
      </c>
      <c r="BW17" s="59">
        <f t="shared" si="58"/>
        <v>69.805633243152442</v>
      </c>
      <c r="BX17" s="59">
        <f t="shared" si="59"/>
        <v>37.532477072610376</v>
      </c>
      <c r="BY17" s="59">
        <f t="shared" si="60"/>
        <v>33.087841629801275</v>
      </c>
      <c r="BZ17" s="59">
        <f t="shared" si="61"/>
        <v>37.302014494094372</v>
      </c>
      <c r="CA17" s="59">
        <f t="shared" si="62"/>
        <v>53.76711782253205</v>
      </c>
      <c r="CB17" s="59">
        <f t="shared" si="63"/>
        <v>50.052755156305928</v>
      </c>
      <c r="CC17" s="59">
        <f t="shared" si="64"/>
        <v>54.250729800453165</v>
      </c>
      <c r="CD17" s="59">
        <f t="shared" si="65"/>
        <v>1</v>
      </c>
      <c r="CE17" s="59">
        <f t="shared" si="66"/>
        <v>1</v>
      </c>
      <c r="CF17" s="59">
        <f t="shared" si="67"/>
        <v>1</v>
      </c>
      <c r="CG17" s="59">
        <f t="shared" si="68"/>
        <v>1</v>
      </c>
      <c r="CH17" s="59">
        <f t="shared" si="69"/>
        <v>1</v>
      </c>
      <c r="CI17" s="59">
        <f t="shared" si="70"/>
        <v>1</v>
      </c>
      <c r="CJ17" s="59">
        <f t="shared" si="71"/>
        <v>1.2337662337662323</v>
      </c>
      <c r="CK17" s="59">
        <f t="shared" si="72"/>
        <v>1.2337662337662323</v>
      </c>
      <c r="CL17" s="59">
        <f t="shared" si="73"/>
        <v>1.2337662337662323</v>
      </c>
      <c r="CM17" s="59">
        <f t="shared" si="74"/>
        <v>55.000884056298283</v>
      </c>
      <c r="CN17" s="59">
        <f t="shared" si="75"/>
        <v>51.28652139007216</v>
      </c>
      <c r="CO17" s="59">
        <f t="shared" si="76"/>
        <v>55.484496034219397</v>
      </c>
      <c r="CP17" s="59">
        <f t="shared" si="77"/>
        <v>53.918574763480592</v>
      </c>
      <c r="CQ17" s="59">
        <f t="shared" si="78"/>
        <v>1.0924643303208699</v>
      </c>
      <c r="CR17" s="64">
        <f t="shared" si="79"/>
        <v>60.127853429048493</v>
      </c>
    </row>
    <row r="18" spans="1:96" ht="43" thickBot="1">
      <c r="A18" s="122" t="s">
        <v>328</v>
      </c>
      <c r="B18" s="129" t="s">
        <v>8</v>
      </c>
      <c r="C18" s="122" t="s">
        <v>30</v>
      </c>
      <c r="D18" s="122" t="s">
        <v>77</v>
      </c>
      <c r="E18" s="122">
        <v>4</v>
      </c>
      <c r="F18" s="122">
        <v>3600</v>
      </c>
      <c r="G18" s="135" t="s">
        <v>571</v>
      </c>
      <c r="H18" s="130">
        <v>10</v>
      </c>
      <c r="I18" s="65" t="s">
        <v>581</v>
      </c>
      <c r="J18" s="123">
        <v>9</v>
      </c>
      <c r="K18" s="124">
        <v>349.83050847457628</v>
      </c>
      <c r="L18" s="124">
        <v>424.42976156276899</v>
      </c>
      <c r="M18" s="124">
        <v>51.414352154260818</v>
      </c>
      <c r="N18" s="124">
        <v>262.37288135593218</v>
      </c>
      <c r="O18" s="124">
        <v>498.89112324044811</v>
      </c>
      <c r="P18" s="124">
        <v>49.201251494128293</v>
      </c>
      <c r="Q18" s="124">
        <v>384.81355932203388</v>
      </c>
      <c r="R18" s="124">
        <v>383.47601264004595</v>
      </c>
      <c r="S18" s="124">
        <v>51.808353464019966</v>
      </c>
      <c r="T18" s="123" t="s">
        <v>10</v>
      </c>
      <c r="U18" s="123" t="s">
        <v>11</v>
      </c>
      <c r="V18" s="123" t="s">
        <v>9</v>
      </c>
      <c r="W18" s="72" t="str">
        <f t="shared" si="12"/>
        <v>ESCC-3600</v>
      </c>
      <c r="X18" s="59">
        <f t="shared" si="13"/>
        <v>3741.6128749148515</v>
      </c>
      <c r="Y18" s="63" t="str">
        <f t="shared" si="14"/>
        <v>ESCC-10-3600</v>
      </c>
      <c r="Z18" s="39">
        <f>VLOOKUP(Y18,Lookup!$U$28:$V$227,2,FALSE)</f>
        <v>89.5</v>
      </c>
      <c r="AA18" s="63">
        <f t="shared" si="15"/>
        <v>1.1731843575418992</v>
      </c>
      <c r="AB18" s="63" t="str">
        <f t="shared" si="16"/>
        <v/>
      </c>
      <c r="AC18" s="73">
        <f>VLOOKUP(W18,Lookup!$N$27:$P$36,3,FALSE)</f>
        <v>130.41999999999999</v>
      </c>
      <c r="AD18" s="76">
        <f t="shared" si="17"/>
        <v>72.972037427421014</v>
      </c>
      <c r="AE18" s="59">
        <f t="shared" si="18"/>
        <v>37.532477072610376</v>
      </c>
      <c r="AF18" s="59">
        <f t="shared" si="19"/>
        <v>33.087841629801275</v>
      </c>
      <c r="AG18" s="59">
        <f t="shared" si="20"/>
        <v>37.302014494094372</v>
      </c>
      <c r="AH18" s="59">
        <f t="shared" si="21"/>
        <v>51.434053914063583</v>
      </c>
      <c r="AI18" s="59">
        <f t="shared" si="22"/>
        <v>47.880864950845634</v>
      </c>
      <c r="AJ18" s="59">
        <f t="shared" si="23"/>
        <v>51.896680990857668</v>
      </c>
      <c r="AK18" s="59">
        <f t="shared" si="24"/>
        <v>1</v>
      </c>
      <c r="AL18" s="59">
        <f t="shared" si="25"/>
        <v>1</v>
      </c>
      <c r="AM18" s="59">
        <f t="shared" si="26"/>
        <v>1</v>
      </c>
      <c r="AN18" s="59">
        <f t="shared" si="27"/>
        <v>1</v>
      </c>
      <c r="AO18" s="59">
        <f t="shared" si="28"/>
        <v>1</v>
      </c>
      <c r="AP18" s="59">
        <f t="shared" si="29"/>
        <v>1</v>
      </c>
      <c r="AQ18" s="59">
        <f t="shared" si="30"/>
        <v>1.1731843575418992</v>
      </c>
      <c r="AR18" s="59">
        <f t="shared" si="31"/>
        <v>1.1731843575418992</v>
      </c>
      <c r="AS18" s="59">
        <f t="shared" si="32"/>
        <v>1.1731843575418992</v>
      </c>
      <c r="AT18" s="59">
        <f t="shared" si="33"/>
        <v>52.607238271605482</v>
      </c>
      <c r="AU18" s="59">
        <f t="shared" si="34"/>
        <v>49.054049308387533</v>
      </c>
      <c r="AV18" s="59">
        <f t="shared" si="35"/>
        <v>53.069865348399567</v>
      </c>
      <c r="AW18" s="77">
        <f t="shared" si="36"/>
        <v>51.57189327103324</v>
      </c>
      <c r="AX18" s="76">
        <f t="shared" si="37"/>
        <v>3.2133970096413011</v>
      </c>
      <c r="AY18" s="59">
        <f t="shared" si="38"/>
        <v>10.282870430852164</v>
      </c>
      <c r="AZ18" s="59">
        <f t="shared" si="39"/>
        <v>25.064496675202157</v>
      </c>
      <c r="BA18" s="59">
        <f t="shared" si="40"/>
        <v>1</v>
      </c>
      <c r="BB18" s="59">
        <f t="shared" si="41"/>
        <v>0.32133970096413011</v>
      </c>
      <c r="BC18" s="59">
        <f t="shared" si="42"/>
        <v>1</v>
      </c>
      <c r="BD18" s="59">
        <f t="shared" si="43"/>
        <v>1</v>
      </c>
      <c r="BE18" s="59">
        <f>INDEX(Lookup!$F$58:$F$61,MATCH('SectionVII (Method C.1)'!H18,Lookup!$D$58:$D$61,-1))</f>
        <v>-1.3198000000000001</v>
      </c>
      <c r="BF18" s="59">
        <f>INDEX(Lookup!$G$58:$G$61,MATCH('SectionVII (Method C.1)'!$H18,Lookup!$D$58:$D$61,-1))</f>
        <v>2.9550999999999998</v>
      </c>
      <c r="BG18" s="59">
        <f>INDEX(Lookup!$H$58:$H$61,MATCH('SectionVII (Method C.1)'!$H18,Lookup!$D$58:$D$61,-1))</f>
        <v>0.1052</v>
      </c>
      <c r="BH18" s="59">
        <f t="shared" si="44"/>
        <v>1.7404999999999997</v>
      </c>
      <c r="BI18" s="59">
        <f t="shared" si="45"/>
        <v>0.91850945365103809</v>
      </c>
      <c r="BJ18" s="59">
        <f t="shared" si="46"/>
        <v>1.7404999999999997</v>
      </c>
      <c r="BK18" s="59">
        <f t="shared" si="47"/>
        <v>1.7404999999999997</v>
      </c>
      <c r="BL18" s="156">
        <f t="shared" si="48"/>
        <v>2.0419273743016753</v>
      </c>
      <c r="BM18" s="59">
        <f t="shared" si="49"/>
        <v>1.077580923277754</v>
      </c>
      <c r="BN18" s="59">
        <f t="shared" si="50"/>
        <v>2.0419273743016753</v>
      </c>
      <c r="BO18" s="59">
        <f t="shared" si="51"/>
        <v>2.0419273743016753</v>
      </c>
      <c r="BP18" s="59">
        <f t="shared" si="52"/>
        <v>53.45627952856249</v>
      </c>
      <c r="BQ18" s="59">
        <f t="shared" si="53"/>
        <v>4.2909779329190556</v>
      </c>
      <c r="BR18" s="59">
        <f t="shared" si="54"/>
        <v>12.324797805153839</v>
      </c>
      <c r="BS18" s="59">
        <f t="shared" si="55"/>
        <v>27.106424049503833</v>
      </c>
      <c r="BT18" s="59">
        <f t="shared" si="56"/>
        <v>24.294619829034804</v>
      </c>
      <c r="BU18" s="77">
        <f t="shared" si="57"/>
        <v>0.47108256626057471</v>
      </c>
      <c r="BV18" s="58">
        <f>VLOOKUP(W18,Lookup!$N$27:$P$36,2,FALSE)</f>
        <v>135.94</v>
      </c>
      <c r="BW18" s="59">
        <f t="shared" si="58"/>
        <v>67.452037427421033</v>
      </c>
      <c r="BX18" s="59">
        <f t="shared" si="59"/>
        <v>37.532477072610376</v>
      </c>
      <c r="BY18" s="59">
        <f t="shared" si="60"/>
        <v>33.087841629801275</v>
      </c>
      <c r="BZ18" s="59">
        <f t="shared" si="61"/>
        <v>37.302014494094372</v>
      </c>
      <c r="CA18" s="59">
        <f t="shared" si="62"/>
        <v>55.643207387168466</v>
      </c>
      <c r="CB18" s="59">
        <f t="shared" si="63"/>
        <v>51.799239911914214</v>
      </c>
      <c r="CC18" s="59">
        <f t="shared" si="64"/>
        <v>56.143693979572454</v>
      </c>
      <c r="CD18" s="59">
        <f t="shared" si="65"/>
        <v>1</v>
      </c>
      <c r="CE18" s="59">
        <f t="shared" si="66"/>
        <v>1</v>
      </c>
      <c r="CF18" s="59">
        <f t="shared" si="67"/>
        <v>1</v>
      </c>
      <c r="CG18" s="59">
        <f t="shared" si="68"/>
        <v>1</v>
      </c>
      <c r="CH18" s="59">
        <f t="shared" si="69"/>
        <v>1</v>
      </c>
      <c r="CI18" s="59">
        <f t="shared" si="70"/>
        <v>1</v>
      </c>
      <c r="CJ18" s="59">
        <f t="shared" si="71"/>
        <v>1.1731843575418992</v>
      </c>
      <c r="CK18" s="59">
        <f t="shared" si="72"/>
        <v>1.1731843575418992</v>
      </c>
      <c r="CL18" s="59">
        <f t="shared" si="73"/>
        <v>1.1731843575418992</v>
      </c>
      <c r="CM18" s="59">
        <f t="shared" si="74"/>
        <v>56.816391744710366</v>
      </c>
      <c r="CN18" s="59">
        <f t="shared" si="75"/>
        <v>52.972424269456113</v>
      </c>
      <c r="CO18" s="59">
        <f t="shared" si="76"/>
        <v>57.316878337114353</v>
      </c>
      <c r="CP18" s="59">
        <f t="shared" si="77"/>
        <v>55.696327927281899</v>
      </c>
      <c r="CQ18" s="59">
        <f t="shared" si="78"/>
        <v>1.0799744666067022</v>
      </c>
      <c r="CR18" s="64">
        <f t="shared" si="79"/>
        <v>60.889190034612753</v>
      </c>
    </row>
    <row r="19" spans="1:96" ht="43" thickBot="1">
      <c r="A19" s="122" t="s">
        <v>328</v>
      </c>
      <c r="B19" s="129" t="s">
        <v>8</v>
      </c>
      <c r="C19" s="122" t="s">
        <v>30</v>
      </c>
      <c r="D19" s="122" t="s">
        <v>76</v>
      </c>
      <c r="E19" s="122">
        <v>4</v>
      </c>
      <c r="F19" s="122">
        <v>1800</v>
      </c>
      <c r="G19" s="135" t="s">
        <v>571</v>
      </c>
      <c r="H19" s="130">
        <v>7.5</v>
      </c>
      <c r="I19" s="65" t="s">
        <v>581</v>
      </c>
      <c r="J19" s="123">
        <v>9</v>
      </c>
      <c r="K19" s="124">
        <v>349.83050847457628</v>
      </c>
      <c r="L19" s="124">
        <v>424.42976156276899</v>
      </c>
      <c r="M19" s="124">
        <v>51.414352154260818</v>
      </c>
      <c r="N19" s="124">
        <v>262.37288135593218</v>
      </c>
      <c r="O19" s="124">
        <v>498.89112324044811</v>
      </c>
      <c r="P19" s="124">
        <v>49.201251494128293</v>
      </c>
      <c r="Q19" s="124">
        <v>384.81355932203388</v>
      </c>
      <c r="R19" s="124">
        <v>383.47601264004595</v>
      </c>
      <c r="S19" s="124">
        <v>51.808353464019966</v>
      </c>
      <c r="T19" s="123" t="s">
        <v>10</v>
      </c>
      <c r="U19" s="123" t="s">
        <v>11</v>
      </c>
      <c r="V19" s="123" t="s">
        <v>9</v>
      </c>
      <c r="W19" s="72" t="str">
        <f t="shared" si="12"/>
        <v>ST-1800</v>
      </c>
      <c r="X19" s="59">
        <f t="shared" si="13"/>
        <v>1870.8064374574258</v>
      </c>
      <c r="Y19" s="63" t="str">
        <f t="shared" si="14"/>
        <v>ST-7.5-1800</v>
      </c>
      <c r="Z19" s="39">
        <f>VLOOKUP(Y19,Lookup!$U$28:$V$227,2,FALSE)</f>
        <v>74</v>
      </c>
      <c r="AA19" s="63">
        <f t="shared" si="15"/>
        <v>2.6351351351351351</v>
      </c>
      <c r="AB19" s="63" t="str">
        <f t="shared" si="16"/>
        <v/>
      </c>
      <c r="AC19" s="73">
        <f>VLOOKUP(W19,Lookup!$N$27:$P$36,3,FALSE)</f>
        <v>138.78</v>
      </c>
      <c r="AD19" s="76">
        <f t="shared" si="17"/>
        <v>66.945633243152429</v>
      </c>
      <c r="AE19" s="59">
        <f t="shared" si="18"/>
        <v>37.532477072610376</v>
      </c>
      <c r="AF19" s="59">
        <f t="shared" si="19"/>
        <v>33.087841629801275</v>
      </c>
      <c r="AG19" s="59">
        <f t="shared" si="20"/>
        <v>37.302014494094372</v>
      </c>
      <c r="AH19" s="59">
        <f t="shared" si="21"/>
        <v>56.064115393888528</v>
      </c>
      <c r="AI19" s="59">
        <f t="shared" si="22"/>
        <v>52.191070574536404</v>
      </c>
      <c r="AJ19" s="59">
        <f t="shared" si="23"/>
        <v>56.568387871828079</v>
      </c>
      <c r="AK19" s="59">
        <f t="shared" si="24"/>
        <v>1</v>
      </c>
      <c r="AL19" s="59">
        <f t="shared" si="25"/>
        <v>1</v>
      </c>
      <c r="AM19" s="59">
        <f t="shared" si="26"/>
        <v>1</v>
      </c>
      <c r="AN19" s="59">
        <f t="shared" si="27"/>
        <v>1</v>
      </c>
      <c r="AO19" s="59">
        <f t="shared" si="28"/>
        <v>1</v>
      </c>
      <c r="AP19" s="59">
        <f t="shared" si="29"/>
        <v>1</v>
      </c>
      <c r="AQ19" s="59">
        <f t="shared" si="30"/>
        <v>2.6351351351351351</v>
      </c>
      <c r="AR19" s="59">
        <f t="shared" si="31"/>
        <v>2.6351351351351351</v>
      </c>
      <c r="AS19" s="59">
        <f t="shared" si="32"/>
        <v>2.6351351351351351</v>
      </c>
      <c r="AT19" s="59">
        <f t="shared" si="33"/>
        <v>58.699250529023665</v>
      </c>
      <c r="AU19" s="59">
        <f t="shared" si="34"/>
        <v>54.826205709671541</v>
      </c>
      <c r="AV19" s="59">
        <f t="shared" si="35"/>
        <v>59.203523006963216</v>
      </c>
      <c r="AW19" s="77">
        <f t="shared" si="36"/>
        <v>57.570568782577951</v>
      </c>
      <c r="AX19" s="76">
        <f t="shared" si="37"/>
        <v>3.2133970096413011</v>
      </c>
      <c r="AY19" s="59">
        <f t="shared" si="38"/>
        <v>10.282870430852164</v>
      </c>
      <c r="AZ19" s="59">
        <f t="shared" si="39"/>
        <v>25.064496675202157</v>
      </c>
      <c r="BA19" s="59">
        <f t="shared" si="40"/>
        <v>1</v>
      </c>
      <c r="BB19" s="59">
        <f t="shared" si="41"/>
        <v>0.42845293461884015</v>
      </c>
      <c r="BC19" s="59">
        <f t="shared" si="42"/>
        <v>1</v>
      </c>
      <c r="BD19" s="59">
        <f t="shared" si="43"/>
        <v>1</v>
      </c>
      <c r="BE19" s="59">
        <f>INDEX(Lookup!$F$58:$F$61,MATCH('SectionVII (Method C.1)'!H19,Lookup!$D$58:$D$61,-1))</f>
        <v>-1.3198000000000001</v>
      </c>
      <c r="BF19" s="59">
        <f>INDEX(Lookup!$G$58:$G$61,MATCH('SectionVII (Method C.1)'!$H19,Lookup!$D$58:$D$61,-1))</f>
        <v>2.9550999999999998</v>
      </c>
      <c r="BG19" s="59">
        <f>INDEX(Lookup!$H$58:$H$61,MATCH('SectionVII (Method C.1)'!$H19,Lookup!$D$58:$D$61,-1))</f>
        <v>0.1052</v>
      </c>
      <c r="BH19" s="59">
        <f t="shared" si="44"/>
        <v>1.7404999999999997</v>
      </c>
      <c r="BI19" s="59">
        <f t="shared" si="45"/>
        <v>1.1290430507933562</v>
      </c>
      <c r="BJ19" s="59">
        <f t="shared" si="46"/>
        <v>1.7404999999999997</v>
      </c>
      <c r="BK19" s="59">
        <f t="shared" si="47"/>
        <v>1.7404999999999997</v>
      </c>
      <c r="BL19" s="156">
        <f t="shared" si="48"/>
        <v>4.5864527027027018</v>
      </c>
      <c r="BM19" s="59">
        <f t="shared" si="49"/>
        <v>2.9751810122257361</v>
      </c>
      <c r="BN19" s="59">
        <f t="shared" si="50"/>
        <v>4.5864527027027018</v>
      </c>
      <c r="BO19" s="59">
        <f t="shared" si="51"/>
        <v>4.5864527027027018</v>
      </c>
      <c r="BP19" s="59">
        <f t="shared" si="52"/>
        <v>56.000804856963519</v>
      </c>
      <c r="BQ19" s="59">
        <f t="shared" si="53"/>
        <v>6.1885780218670376</v>
      </c>
      <c r="BR19" s="59">
        <f t="shared" si="54"/>
        <v>14.869323133554865</v>
      </c>
      <c r="BS19" s="59">
        <f t="shared" si="55"/>
        <v>29.650949377904858</v>
      </c>
      <c r="BT19" s="59">
        <f t="shared" si="56"/>
        <v>26.677413847572566</v>
      </c>
      <c r="BU19" s="77">
        <f t="shared" si="57"/>
        <v>0.46338631720528883</v>
      </c>
      <c r="BV19" s="58">
        <f>VLOOKUP(W19,Lookup!$N$27:$P$36,2,FALSE)</f>
        <v>138.78</v>
      </c>
      <c r="BW19" s="59">
        <f t="shared" si="58"/>
        <v>66.945633243152429</v>
      </c>
      <c r="BX19" s="59">
        <f t="shared" si="59"/>
        <v>37.532477072610376</v>
      </c>
      <c r="BY19" s="59">
        <f t="shared" si="60"/>
        <v>33.087841629801275</v>
      </c>
      <c r="BZ19" s="59">
        <f t="shared" si="61"/>
        <v>37.302014494094372</v>
      </c>
      <c r="CA19" s="59">
        <f t="shared" si="62"/>
        <v>56.064115393888528</v>
      </c>
      <c r="CB19" s="59">
        <f t="shared" si="63"/>
        <v>52.191070574536404</v>
      </c>
      <c r="CC19" s="59">
        <f t="shared" si="64"/>
        <v>56.568387871828079</v>
      </c>
      <c r="CD19" s="59">
        <f t="shared" si="65"/>
        <v>1</v>
      </c>
      <c r="CE19" s="59">
        <f t="shared" si="66"/>
        <v>1</v>
      </c>
      <c r="CF19" s="59">
        <f t="shared" si="67"/>
        <v>1</v>
      </c>
      <c r="CG19" s="59">
        <f t="shared" si="68"/>
        <v>1</v>
      </c>
      <c r="CH19" s="59">
        <f t="shared" si="69"/>
        <v>1</v>
      </c>
      <c r="CI19" s="59">
        <f t="shared" si="70"/>
        <v>1</v>
      </c>
      <c r="CJ19" s="59">
        <f t="shared" si="71"/>
        <v>2.6351351351351351</v>
      </c>
      <c r="CK19" s="59">
        <f t="shared" si="72"/>
        <v>2.6351351351351351</v>
      </c>
      <c r="CL19" s="59">
        <f t="shared" si="73"/>
        <v>2.6351351351351351</v>
      </c>
      <c r="CM19" s="59">
        <f t="shared" si="74"/>
        <v>58.699250529023665</v>
      </c>
      <c r="CN19" s="59">
        <f t="shared" si="75"/>
        <v>54.826205709671541</v>
      </c>
      <c r="CO19" s="59">
        <f t="shared" si="76"/>
        <v>59.203523006963216</v>
      </c>
      <c r="CP19" s="59">
        <f t="shared" si="77"/>
        <v>57.570568782577951</v>
      </c>
      <c r="CQ19" s="59">
        <f t="shared" si="78"/>
        <v>1</v>
      </c>
      <c r="CR19" s="64">
        <f t="shared" si="79"/>
        <v>53.66136827947112</v>
      </c>
    </row>
    <row r="20" spans="1:96" ht="43" thickBot="1">
      <c r="A20" s="122" t="s">
        <v>328</v>
      </c>
      <c r="B20" s="129" t="s">
        <v>8</v>
      </c>
      <c r="C20" s="122" t="s">
        <v>30</v>
      </c>
      <c r="D20" s="122" t="s">
        <v>75</v>
      </c>
      <c r="E20" s="122">
        <v>4</v>
      </c>
      <c r="F20" s="122">
        <v>3600</v>
      </c>
      <c r="G20" s="135" t="s">
        <v>571</v>
      </c>
      <c r="H20" s="130">
        <v>5</v>
      </c>
      <c r="I20" s="65" t="s">
        <v>581</v>
      </c>
      <c r="J20" s="123">
        <v>9</v>
      </c>
      <c r="K20" s="124">
        <v>349.83050847457628</v>
      </c>
      <c r="L20" s="124">
        <v>424.42976156276899</v>
      </c>
      <c r="M20" s="124">
        <v>51.414352154260818</v>
      </c>
      <c r="N20" s="124">
        <v>262.37288135593218</v>
      </c>
      <c r="O20" s="124">
        <v>498.89112324044811</v>
      </c>
      <c r="P20" s="124">
        <v>49.201251494128293</v>
      </c>
      <c r="Q20" s="124">
        <v>384.81355932203388</v>
      </c>
      <c r="R20" s="124">
        <v>383.47601264004595</v>
      </c>
      <c r="S20" s="124">
        <v>51.808353464019966</v>
      </c>
      <c r="T20" s="123" t="s">
        <v>10</v>
      </c>
      <c r="U20" s="123" t="s">
        <v>11</v>
      </c>
      <c r="V20" s="123" t="s">
        <v>9</v>
      </c>
      <c r="W20" s="72" t="str">
        <f t="shared" si="12"/>
        <v>RSV-3600</v>
      </c>
      <c r="X20" s="59">
        <f t="shared" si="13"/>
        <v>3741.6128749148515</v>
      </c>
      <c r="Y20" s="63" t="str">
        <f t="shared" si="14"/>
        <v>RSV-5-3600</v>
      </c>
      <c r="Z20" s="39">
        <f>VLOOKUP(Y20,Lookup!$U$28:$V$227,2,FALSE)</f>
        <v>86.5</v>
      </c>
      <c r="AA20" s="63">
        <f t="shared" si="15"/>
        <v>0.78034682080924878</v>
      </c>
      <c r="AB20" s="63" t="str">
        <f t="shared" si="16"/>
        <v/>
      </c>
      <c r="AC20" s="73">
        <f>VLOOKUP(W20,Lookup!$N$27:$P$36,3,FALSE)</f>
        <v>133.19999999999999</v>
      </c>
      <c r="AD20" s="76">
        <f t="shared" si="17"/>
        <v>70.192037427421042</v>
      </c>
      <c r="AE20" s="59">
        <f t="shared" si="18"/>
        <v>37.532477072610376</v>
      </c>
      <c r="AF20" s="59">
        <f t="shared" si="19"/>
        <v>33.087841629801275</v>
      </c>
      <c r="AG20" s="59">
        <f t="shared" si="20"/>
        <v>37.302014494094372</v>
      </c>
      <c r="AH20" s="59">
        <f t="shared" si="21"/>
        <v>53.471132122955069</v>
      </c>
      <c r="AI20" s="59">
        <f t="shared" si="22"/>
        <v>49.777216865419774</v>
      </c>
      <c r="AJ20" s="59">
        <f t="shared" si="23"/>
        <v>53.952081837481643</v>
      </c>
      <c r="AK20" s="59">
        <f t="shared" si="24"/>
        <v>1</v>
      </c>
      <c r="AL20" s="59">
        <f t="shared" si="25"/>
        <v>1</v>
      </c>
      <c r="AM20" s="59">
        <f t="shared" si="26"/>
        <v>1</v>
      </c>
      <c r="AN20" s="59">
        <f t="shared" si="27"/>
        <v>1</v>
      </c>
      <c r="AO20" s="59">
        <f t="shared" si="28"/>
        <v>1</v>
      </c>
      <c r="AP20" s="59">
        <f t="shared" si="29"/>
        <v>1</v>
      </c>
      <c r="AQ20" s="59">
        <f t="shared" si="30"/>
        <v>0.78034682080924878</v>
      </c>
      <c r="AR20" s="59">
        <f t="shared" si="31"/>
        <v>0.78034682080924878</v>
      </c>
      <c r="AS20" s="59">
        <f t="shared" si="32"/>
        <v>0.78034682080924878</v>
      </c>
      <c r="AT20" s="59">
        <f t="shared" si="33"/>
        <v>54.251478943764319</v>
      </c>
      <c r="AU20" s="59">
        <f t="shared" si="34"/>
        <v>50.557563686229024</v>
      </c>
      <c r="AV20" s="59">
        <f t="shared" si="35"/>
        <v>54.732428658290893</v>
      </c>
      <c r="AW20" s="77">
        <f t="shared" si="36"/>
        <v>53.175172380385128</v>
      </c>
      <c r="AX20" s="76">
        <f t="shared" si="37"/>
        <v>3.2133970096413011</v>
      </c>
      <c r="AY20" s="59">
        <f t="shared" si="38"/>
        <v>10.282870430852164</v>
      </c>
      <c r="AZ20" s="59">
        <f t="shared" si="39"/>
        <v>25.064496675202157</v>
      </c>
      <c r="BA20" s="59">
        <f t="shared" si="40"/>
        <v>1</v>
      </c>
      <c r="BB20" s="59">
        <f t="shared" si="41"/>
        <v>0.64267940192826023</v>
      </c>
      <c r="BC20" s="59">
        <f t="shared" si="42"/>
        <v>1</v>
      </c>
      <c r="BD20" s="59">
        <f t="shared" si="43"/>
        <v>1</v>
      </c>
      <c r="BE20" s="59">
        <f>INDEX(Lookup!$F$58:$F$61,MATCH('SectionVII (Method C.1)'!H20,Lookup!$D$58:$D$61,-1))</f>
        <v>-0.46579999999999999</v>
      </c>
      <c r="BF20" s="59">
        <f>INDEX(Lookup!$G$58:$G$61,MATCH('SectionVII (Method C.1)'!$H20,Lookup!$D$58:$D$61,-1))</f>
        <v>1.4964999999999999</v>
      </c>
      <c r="BG20" s="59">
        <f>INDEX(Lookup!$H$58:$H$61,MATCH('SectionVII (Method C.1)'!$H20,Lookup!$D$58:$D$61,-1))</f>
        <v>0.53029999999999999</v>
      </c>
      <c r="BH20" s="59">
        <f t="shared" si="44"/>
        <v>1.5609999999999999</v>
      </c>
      <c r="BI20" s="59">
        <f t="shared" si="45"/>
        <v>1.2996771771814783</v>
      </c>
      <c r="BJ20" s="59">
        <f t="shared" si="46"/>
        <v>1.5609999999999999</v>
      </c>
      <c r="BK20" s="59">
        <f t="shared" si="47"/>
        <v>1.5609999999999999</v>
      </c>
      <c r="BL20" s="156">
        <f t="shared" si="48"/>
        <v>1.2181213872832373</v>
      </c>
      <c r="BM20" s="59">
        <f t="shared" si="49"/>
        <v>1.0141989532919053</v>
      </c>
      <c r="BN20" s="59">
        <f t="shared" si="50"/>
        <v>1.2181213872832373</v>
      </c>
      <c r="BO20" s="59">
        <f t="shared" si="51"/>
        <v>1.2181213872832373</v>
      </c>
      <c r="BP20" s="59">
        <f t="shared" si="52"/>
        <v>52.632473541544059</v>
      </c>
      <c r="BQ20" s="59">
        <f t="shared" si="53"/>
        <v>4.2275959629332061</v>
      </c>
      <c r="BR20" s="59">
        <f t="shared" si="54"/>
        <v>11.5009918181354</v>
      </c>
      <c r="BS20" s="59">
        <f t="shared" si="55"/>
        <v>26.282618062485394</v>
      </c>
      <c r="BT20" s="59">
        <f t="shared" si="56"/>
        <v>23.660919846274517</v>
      </c>
      <c r="BU20" s="77">
        <f t="shared" si="57"/>
        <v>0.44496178925415925</v>
      </c>
      <c r="BV20" s="58">
        <f>VLOOKUP(W20,Lookup!$N$27:$P$36,2,FALSE)</f>
        <v>133.19999999999999</v>
      </c>
      <c r="BW20" s="59">
        <f t="shared" si="58"/>
        <v>70.192037427421042</v>
      </c>
      <c r="BX20" s="59">
        <f t="shared" si="59"/>
        <v>37.532477072610376</v>
      </c>
      <c r="BY20" s="59">
        <f t="shared" si="60"/>
        <v>33.087841629801275</v>
      </c>
      <c r="BZ20" s="59">
        <f t="shared" si="61"/>
        <v>37.302014494094372</v>
      </c>
      <c r="CA20" s="59">
        <f t="shared" si="62"/>
        <v>53.471132122955069</v>
      </c>
      <c r="CB20" s="59">
        <f t="shared" si="63"/>
        <v>49.777216865419774</v>
      </c>
      <c r="CC20" s="59">
        <f t="shared" si="64"/>
        <v>53.952081837481643</v>
      </c>
      <c r="CD20" s="59">
        <f t="shared" si="65"/>
        <v>1</v>
      </c>
      <c r="CE20" s="59">
        <f t="shared" si="66"/>
        <v>1</v>
      </c>
      <c r="CF20" s="59">
        <f t="shared" si="67"/>
        <v>1</v>
      </c>
      <c r="CG20" s="59">
        <f t="shared" si="68"/>
        <v>1</v>
      </c>
      <c r="CH20" s="59">
        <f t="shared" si="69"/>
        <v>1</v>
      </c>
      <c r="CI20" s="59">
        <f t="shared" si="70"/>
        <v>1</v>
      </c>
      <c r="CJ20" s="59">
        <f t="shared" si="71"/>
        <v>0.78034682080924878</v>
      </c>
      <c r="CK20" s="59">
        <f t="shared" si="72"/>
        <v>0.78034682080924878</v>
      </c>
      <c r="CL20" s="59">
        <f t="shared" si="73"/>
        <v>0.78034682080924878</v>
      </c>
      <c r="CM20" s="59">
        <f t="shared" si="74"/>
        <v>54.251478943764319</v>
      </c>
      <c r="CN20" s="59">
        <f t="shared" si="75"/>
        <v>50.557563686229024</v>
      </c>
      <c r="CO20" s="59">
        <f t="shared" si="76"/>
        <v>54.732428658290893</v>
      </c>
      <c r="CP20" s="59">
        <f t="shared" si="77"/>
        <v>53.175172380385128</v>
      </c>
      <c r="CQ20" s="59">
        <f t="shared" si="78"/>
        <v>1</v>
      </c>
      <c r="CR20" s="64">
        <f t="shared" si="79"/>
        <v>55.503821074584067</v>
      </c>
    </row>
    <row r="21" spans="1:96" ht="43" thickBot="1">
      <c r="A21" s="122" t="s">
        <v>328</v>
      </c>
      <c r="B21" s="129" t="s">
        <v>8</v>
      </c>
      <c r="C21" s="122" t="s">
        <v>30</v>
      </c>
      <c r="D21" s="122" t="s">
        <v>74</v>
      </c>
      <c r="E21" s="122">
        <v>4</v>
      </c>
      <c r="F21" s="122">
        <v>1800</v>
      </c>
      <c r="G21" s="135" t="s">
        <v>571</v>
      </c>
      <c r="H21" s="130">
        <v>3</v>
      </c>
      <c r="I21" s="65" t="s">
        <v>581</v>
      </c>
      <c r="J21" s="123">
        <v>9</v>
      </c>
      <c r="K21" s="124">
        <v>349.83050847457628</v>
      </c>
      <c r="L21" s="124">
        <v>424.42976156276899</v>
      </c>
      <c r="M21" s="124">
        <v>51.414352154260818</v>
      </c>
      <c r="N21" s="124">
        <v>262.37288135593218</v>
      </c>
      <c r="O21" s="124">
        <v>498.89112324044811</v>
      </c>
      <c r="P21" s="124">
        <v>49.201251494128293</v>
      </c>
      <c r="Q21" s="124">
        <v>384.81355932203388</v>
      </c>
      <c r="R21" s="124">
        <v>383.47601264004595</v>
      </c>
      <c r="S21" s="124">
        <v>51.808353464019966</v>
      </c>
      <c r="T21" s="123" t="s">
        <v>10</v>
      </c>
      <c r="U21" s="123" t="s">
        <v>11</v>
      </c>
      <c r="V21" s="123" t="s">
        <v>9</v>
      </c>
      <c r="W21" s="72" t="str">
        <f t="shared" si="12"/>
        <v>IL-1800</v>
      </c>
      <c r="X21" s="59">
        <f t="shared" si="13"/>
        <v>1870.8064374574258</v>
      </c>
      <c r="Y21" s="63" t="str">
        <f t="shared" si="14"/>
        <v>IL-3-1800</v>
      </c>
      <c r="Z21" s="39">
        <f>VLOOKUP(Y21,Lookup!$U$28:$V$227,2,FALSE)</f>
        <v>89.5</v>
      </c>
      <c r="AA21" s="63">
        <f t="shared" si="15"/>
        <v>0.35195530726256985</v>
      </c>
      <c r="AB21" s="63" t="str">
        <f t="shared" si="16"/>
        <v/>
      </c>
      <c r="AC21" s="73">
        <f>VLOOKUP(W21,Lookup!$N$27:$P$36,3,FALSE)</f>
        <v>129.30000000000001</v>
      </c>
      <c r="AD21" s="76">
        <f t="shared" si="17"/>
        <v>76.425633243152333</v>
      </c>
      <c r="AE21" s="59">
        <f t="shared" si="18"/>
        <v>37.532477072610376</v>
      </c>
      <c r="AF21" s="59">
        <f t="shared" si="19"/>
        <v>33.087841629801275</v>
      </c>
      <c r="AG21" s="59">
        <f t="shared" si="20"/>
        <v>37.302014494094372</v>
      </c>
      <c r="AH21" s="59">
        <f t="shared" si="21"/>
        <v>49.109801881783234</v>
      </c>
      <c r="AI21" s="59">
        <f t="shared" si="22"/>
        <v>45.717177875833364</v>
      </c>
      <c r="AJ21" s="59">
        <f t="shared" si="23"/>
        <v>49.551523316466685</v>
      </c>
      <c r="AK21" s="59">
        <f t="shared" si="24"/>
        <v>1</v>
      </c>
      <c r="AL21" s="59">
        <f t="shared" si="25"/>
        <v>1</v>
      </c>
      <c r="AM21" s="59">
        <f t="shared" si="26"/>
        <v>1</v>
      </c>
      <c r="AN21" s="59">
        <f t="shared" si="27"/>
        <v>1</v>
      </c>
      <c r="AO21" s="59">
        <f t="shared" si="28"/>
        <v>1</v>
      </c>
      <c r="AP21" s="59">
        <f t="shared" si="29"/>
        <v>1</v>
      </c>
      <c r="AQ21" s="59">
        <f t="shared" si="30"/>
        <v>0.35195530726256985</v>
      </c>
      <c r="AR21" s="59">
        <f t="shared" si="31"/>
        <v>0.35195530726256985</v>
      </c>
      <c r="AS21" s="59">
        <f t="shared" si="32"/>
        <v>0.35195530726256985</v>
      </c>
      <c r="AT21" s="59">
        <f t="shared" si="33"/>
        <v>49.461757189045805</v>
      </c>
      <c r="AU21" s="59">
        <f t="shared" si="34"/>
        <v>46.069133183095936</v>
      </c>
      <c r="AV21" s="59">
        <f t="shared" si="35"/>
        <v>49.903478623729256</v>
      </c>
      <c r="AW21" s="77">
        <f t="shared" si="36"/>
        <v>48.473275186323804</v>
      </c>
      <c r="AX21" s="76">
        <f t="shared" si="37"/>
        <v>3.2133970096413011</v>
      </c>
      <c r="AY21" s="59">
        <f t="shared" si="38"/>
        <v>10.282870430852164</v>
      </c>
      <c r="AZ21" s="59">
        <f t="shared" si="39"/>
        <v>25.064496675202157</v>
      </c>
      <c r="BA21" s="59">
        <f t="shared" si="40"/>
        <v>1</v>
      </c>
      <c r="BB21" s="59">
        <f t="shared" si="41"/>
        <v>1</v>
      </c>
      <c r="BC21" s="59">
        <f t="shared" si="42"/>
        <v>1</v>
      </c>
      <c r="BD21" s="59">
        <f t="shared" si="43"/>
        <v>1</v>
      </c>
      <c r="BE21" s="59">
        <f>INDEX(Lookup!$F$58:$F$61,MATCH('SectionVII (Method C.1)'!H21,Lookup!$D$58:$D$61,-1))</f>
        <v>-0.46579999999999999</v>
      </c>
      <c r="BF21" s="59">
        <f>INDEX(Lookup!$G$58:$G$61,MATCH('SectionVII (Method C.1)'!$H21,Lookup!$D$58:$D$61,-1))</f>
        <v>1.4964999999999999</v>
      </c>
      <c r="BG21" s="59">
        <f>INDEX(Lookup!$H$58:$H$61,MATCH('SectionVII (Method C.1)'!$H21,Lookup!$D$58:$D$61,-1))</f>
        <v>0.53029999999999999</v>
      </c>
      <c r="BH21" s="59">
        <f t="shared" si="44"/>
        <v>1.5609999999999999</v>
      </c>
      <c r="BI21" s="59">
        <f t="shared" si="45"/>
        <v>1.5609999999999999</v>
      </c>
      <c r="BJ21" s="59">
        <f t="shared" si="46"/>
        <v>1.5609999999999999</v>
      </c>
      <c r="BK21" s="59">
        <f t="shared" si="47"/>
        <v>1.5609999999999999</v>
      </c>
      <c r="BL21" s="156">
        <f t="shared" si="48"/>
        <v>0.54940223463687154</v>
      </c>
      <c r="BM21" s="59">
        <f t="shared" si="49"/>
        <v>0.54940223463687154</v>
      </c>
      <c r="BN21" s="59">
        <f t="shared" si="50"/>
        <v>0.54940223463687154</v>
      </c>
      <c r="BO21" s="59">
        <f t="shared" si="51"/>
        <v>0.54940223463687154</v>
      </c>
      <c r="BP21" s="59">
        <f t="shared" si="52"/>
        <v>51.963754388897691</v>
      </c>
      <c r="BQ21" s="59">
        <f t="shared" si="53"/>
        <v>3.7627992442781726</v>
      </c>
      <c r="BR21" s="59">
        <f t="shared" si="54"/>
        <v>10.832272665489036</v>
      </c>
      <c r="BS21" s="59">
        <f t="shared" si="55"/>
        <v>25.61389890983903</v>
      </c>
      <c r="BT21" s="59">
        <f t="shared" si="56"/>
        <v>23.04318130212598</v>
      </c>
      <c r="BU21" s="77">
        <f t="shared" si="57"/>
        <v>0.47537908700312781</v>
      </c>
      <c r="BV21" s="58">
        <f>VLOOKUP(W21,Lookup!$N$27:$P$36,2,FALSE)</f>
        <v>135.91999999999999</v>
      </c>
      <c r="BW21" s="59">
        <f t="shared" si="58"/>
        <v>69.805633243152442</v>
      </c>
      <c r="BX21" s="59">
        <f t="shared" si="59"/>
        <v>37.532477072610376</v>
      </c>
      <c r="BY21" s="59">
        <f t="shared" si="60"/>
        <v>33.087841629801275</v>
      </c>
      <c r="BZ21" s="59">
        <f t="shared" si="61"/>
        <v>37.302014494094372</v>
      </c>
      <c r="CA21" s="59">
        <f t="shared" si="62"/>
        <v>53.76711782253205</v>
      </c>
      <c r="CB21" s="59">
        <f t="shared" si="63"/>
        <v>50.052755156305928</v>
      </c>
      <c r="CC21" s="59">
        <f t="shared" si="64"/>
        <v>54.250729800453165</v>
      </c>
      <c r="CD21" s="59">
        <f t="shared" si="65"/>
        <v>1</v>
      </c>
      <c r="CE21" s="59">
        <f t="shared" si="66"/>
        <v>1</v>
      </c>
      <c r="CF21" s="59">
        <f t="shared" si="67"/>
        <v>1</v>
      </c>
      <c r="CG21" s="59">
        <f t="shared" si="68"/>
        <v>1</v>
      </c>
      <c r="CH21" s="59">
        <f t="shared" si="69"/>
        <v>1</v>
      </c>
      <c r="CI21" s="59">
        <f t="shared" si="70"/>
        <v>1</v>
      </c>
      <c r="CJ21" s="59">
        <f t="shared" si="71"/>
        <v>0.35195530726256985</v>
      </c>
      <c r="CK21" s="59">
        <f t="shared" si="72"/>
        <v>0.35195530726256985</v>
      </c>
      <c r="CL21" s="59">
        <f t="shared" si="73"/>
        <v>0.35195530726256985</v>
      </c>
      <c r="CM21" s="59">
        <f t="shared" si="74"/>
        <v>54.119073129794621</v>
      </c>
      <c r="CN21" s="59">
        <f t="shared" si="75"/>
        <v>50.404710463568499</v>
      </c>
      <c r="CO21" s="59">
        <f t="shared" si="76"/>
        <v>54.602685107715736</v>
      </c>
      <c r="CP21" s="59">
        <f t="shared" si="77"/>
        <v>53.036852018069581</v>
      </c>
      <c r="CQ21" s="59">
        <f t="shared" si="78"/>
        <v>1.0941462447957992</v>
      </c>
      <c r="CR21" s="64">
        <f t="shared" si="79"/>
        <v>61.876715779267144</v>
      </c>
    </row>
    <row r="22" spans="1:96" ht="43" thickBot="1">
      <c r="A22" s="122" t="s">
        <v>328</v>
      </c>
      <c r="B22" s="129" t="s">
        <v>8</v>
      </c>
      <c r="C22" s="122" t="s">
        <v>30</v>
      </c>
      <c r="D22" s="122" t="s">
        <v>77</v>
      </c>
      <c r="E22" s="122">
        <v>4</v>
      </c>
      <c r="F22" s="122">
        <v>3600</v>
      </c>
      <c r="G22" s="135" t="s">
        <v>571</v>
      </c>
      <c r="H22" s="130">
        <v>2</v>
      </c>
      <c r="I22" s="65" t="s">
        <v>581</v>
      </c>
      <c r="J22" s="123">
        <v>9</v>
      </c>
      <c r="K22" s="124">
        <v>349.83050847457628</v>
      </c>
      <c r="L22" s="124">
        <v>424.42976156276899</v>
      </c>
      <c r="M22" s="124">
        <v>51.414352154260818</v>
      </c>
      <c r="N22" s="124">
        <v>262.37288135593218</v>
      </c>
      <c r="O22" s="124">
        <v>498.89112324044811</v>
      </c>
      <c r="P22" s="124">
        <v>49.201251494128293</v>
      </c>
      <c r="Q22" s="124">
        <v>384.81355932203388</v>
      </c>
      <c r="R22" s="124">
        <v>383.47601264004595</v>
      </c>
      <c r="S22" s="124">
        <v>51.808353464019966</v>
      </c>
      <c r="T22" s="123" t="s">
        <v>10</v>
      </c>
      <c r="U22" s="123" t="s">
        <v>11</v>
      </c>
      <c r="V22" s="123" t="s">
        <v>9</v>
      </c>
      <c r="W22" s="72" t="str">
        <f t="shared" si="12"/>
        <v>ESCC-3600</v>
      </c>
      <c r="X22" s="59">
        <f t="shared" si="13"/>
        <v>3741.6128749148515</v>
      </c>
      <c r="Y22" s="63" t="str">
        <f t="shared" si="14"/>
        <v>ESCC-2-3600</v>
      </c>
      <c r="Z22" s="39">
        <f>VLOOKUP(Y22,Lookup!$U$28:$V$227,2,FALSE)</f>
        <v>85.5</v>
      </c>
      <c r="AA22" s="63">
        <f t="shared" si="15"/>
        <v>0.33918128654970747</v>
      </c>
      <c r="AB22" s="63" t="str">
        <f t="shared" si="16"/>
        <v/>
      </c>
      <c r="AC22" s="73">
        <f>VLOOKUP(W22,Lookup!$N$27:$P$36,3,FALSE)</f>
        <v>130.41999999999999</v>
      </c>
      <c r="AD22" s="76">
        <f t="shared" si="17"/>
        <v>72.972037427421014</v>
      </c>
      <c r="AE22" s="59">
        <f t="shared" si="18"/>
        <v>37.532477072610376</v>
      </c>
      <c r="AF22" s="59">
        <f t="shared" si="19"/>
        <v>33.087841629801275</v>
      </c>
      <c r="AG22" s="59">
        <f t="shared" si="20"/>
        <v>37.302014494094372</v>
      </c>
      <c r="AH22" s="59">
        <f t="shared" si="21"/>
        <v>51.434053914063583</v>
      </c>
      <c r="AI22" s="59">
        <f t="shared" si="22"/>
        <v>47.880864950845634</v>
      </c>
      <c r="AJ22" s="59">
        <f t="shared" si="23"/>
        <v>51.896680990857668</v>
      </c>
      <c r="AK22" s="59">
        <f t="shared" si="24"/>
        <v>1</v>
      </c>
      <c r="AL22" s="59">
        <f t="shared" si="25"/>
        <v>1</v>
      </c>
      <c r="AM22" s="59">
        <f t="shared" si="26"/>
        <v>1</v>
      </c>
      <c r="AN22" s="59">
        <f t="shared" si="27"/>
        <v>1</v>
      </c>
      <c r="AO22" s="59">
        <f t="shared" si="28"/>
        <v>1</v>
      </c>
      <c r="AP22" s="59">
        <f t="shared" si="29"/>
        <v>1</v>
      </c>
      <c r="AQ22" s="59">
        <f t="shared" si="30"/>
        <v>0.33918128654970747</v>
      </c>
      <c r="AR22" s="59">
        <f t="shared" si="31"/>
        <v>0.33918128654970747</v>
      </c>
      <c r="AS22" s="59">
        <f t="shared" si="32"/>
        <v>0.33918128654970747</v>
      </c>
      <c r="AT22" s="59">
        <f t="shared" si="33"/>
        <v>51.773235200613293</v>
      </c>
      <c r="AU22" s="59">
        <f t="shared" si="34"/>
        <v>48.220046237395344</v>
      </c>
      <c r="AV22" s="59">
        <f t="shared" si="35"/>
        <v>52.235862277407378</v>
      </c>
      <c r="AW22" s="77">
        <f t="shared" si="36"/>
        <v>50.737973600348155</v>
      </c>
      <c r="AX22" s="76">
        <f t="shared" si="37"/>
        <v>3.2133970096413011</v>
      </c>
      <c r="AY22" s="59">
        <f t="shared" si="38"/>
        <v>10.282870430852164</v>
      </c>
      <c r="AZ22" s="59">
        <f t="shared" si="39"/>
        <v>25.064496675202157</v>
      </c>
      <c r="BA22" s="59">
        <f t="shared" si="40"/>
        <v>1</v>
      </c>
      <c r="BB22" s="59">
        <f t="shared" si="41"/>
        <v>1</v>
      </c>
      <c r="BC22" s="59">
        <f t="shared" si="42"/>
        <v>1</v>
      </c>
      <c r="BD22" s="59">
        <f t="shared" si="43"/>
        <v>1</v>
      </c>
      <c r="BE22" s="59">
        <f>INDEX(Lookup!$F$58:$F$61,MATCH('SectionVII (Method C.1)'!H22,Lookup!$D$58:$D$61,-1))</f>
        <v>-0.46579999999999999</v>
      </c>
      <c r="BF22" s="59">
        <f>INDEX(Lookup!$G$58:$G$61,MATCH('SectionVII (Method C.1)'!$H22,Lookup!$D$58:$D$61,-1))</f>
        <v>1.4964999999999999</v>
      </c>
      <c r="BG22" s="59">
        <f>INDEX(Lookup!$H$58:$H$61,MATCH('SectionVII (Method C.1)'!$H22,Lookup!$D$58:$D$61,-1))</f>
        <v>0.53029999999999999</v>
      </c>
      <c r="BH22" s="59">
        <f t="shared" si="44"/>
        <v>1.5609999999999999</v>
      </c>
      <c r="BI22" s="59">
        <f t="shared" si="45"/>
        <v>1.5609999999999999</v>
      </c>
      <c r="BJ22" s="59">
        <f t="shared" si="46"/>
        <v>1.5609999999999999</v>
      </c>
      <c r="BK22" s="59">
        <f t="shared" si="47"/>
        <v>1.5609999999999999</v>
      </c>
      <c r="BL22" s="156">
        <f t="shared" si="48"/>
        <v>0.5294619883040933</v>
      </c>
      <c r="BM22" s="59">
        <f t="shared" si="49"/>
        <v>0.5294619883040933</v>
      </c>
      <c r="BN22" s="59">
        <f t="shared" si="50"/>
        <v>0.5294619883040933</v>
      </c>
      <c r="BO22" s="59">
        <f t="shared" si="51"/>
        <v>0.5294619883040933</v>
      </c>
      <c r="BP22" s="59">
        <f t="shared" si="52"/>
        <v>51.943814142564911</v>
      </c>
      <c r="BQ22" s="59">
        <f t="shared" si="53"/>
        <v>3.7428589979453943</v>
      </c>
      <c r="BR22" s="59">
        <f t="shared" si="54"/>
        <v>10.812332419156258</v>
      </c>
      <c r="BS22" s="59">
        <f t="shared" si="55"/>
        <v>25.59395866350625</v>
      </c>
      <c r="BT22" s="59">
        <f t="shared" si="56"/>
        <v>23.023241055793207</v>
      </c>
      <c r="BU22" s="77">
        <f t="shared" si="57"/>
        <v>0.45376745309424865</v>
      </c>
      <c r="BV22" s="58">
        <f>VLOOKUP(W22,Lookup!$N$27:$P$36,2,FALSE)</f>
        <v>135.94</v>
      </c>
      <c r="BW22" s="59">
        <f t="shared" si="58"/>
        <v>67.452037427421033</v>
      </c>
      <c r="BX22" s="59">
        <f t="shared" si="59"/>
        <v>37.532477072610376</v>
      </c>
      <c r="BY22" s="59">
        <f t="shared" si="60"/>
        <v>33.087841629801275</v>
      </c>
      <c r="BZ22" s="59">
        <f t="shared" si="61"/>
        <v>37.302014494094372</v>
      </c>
      <c r="CA22" s="59">
        <f t="shared" si="62"/>
        <v>55.643207387168466</v>
      </c>
      <c r="CB22" s="59">
        <f t="shared" si="63"/>
        <v>51.799239911914214</v>
      </c>
      <c r="CC22" s="59">
        <f t="shared" si="64"/>
        <v>56.143693979572454</v>
      </c>
      <c r="CD22" s="59">
        <f t="shared" si="65"/>
        <v>1</v>
      </c>
      <c r="CE22" s="59">
        <f t="shared" si="66"/>
        <v>1</v>
      </c>
      <c r="CF22" s="59">
        <f t="shared" si="67"/>
        <v>1</v>
      </c>
      <c r="CG22" s="59">
        <f t="shared" si="68"/>
        <v>1</v>
      </c>
      <c r="CH22" s="59">
        <f t="shared" si="69"/>
        <v>1</v>
      </c>
      <c r="CI22" s="59">
        <f t="shared" si="70"/>
        <v>1</v>
      </c>
      <c r="CJ22" s="59">
        <f t="shared" si="71"/>
        <v>0.33918128654970747</v>
      </c>
      <c r="CK22" s="59">
        <f t="shared" si="72"/>
        <v>0.33918128654970747</v>
      </c>
      <c r="CL22" s="59">
        <f t="shared" si="73"/>
        <v>0.33918128654970747</v>
      </c>
      <c r="CM22" s="59">
        <f t="shared" si="74"/>
        <v>55.982388673718177</v>
      </c>
      <c r="CN22" s="59">
        <f t="shared" si="75"/>
        <v>52.138421198463924</v>
      </c>
      <c r="CO22" s="59">
        <f t="shared" si="76"/>
        <v>56.482875266122164</v>
      </c>
      <c r="CP22" s="59">
        <f t="shared" si="77"/>
        <v>54.862408256596808</v>
      </c>
      <c r="CQ22" s="59">
        <f t="shared" si="78"/>
        <v>1.0812889117081403</v>
      </c>
      <c r="CR22" s="64">
        <f t="shared" si="79"/>
        <v>62.752145861389174</v>
      </c>
    </row>
    <row r="23" spans="1:96" ht="43" thickBot="1">
      <c r="A23" s="122" t="s">
        <v>328</v>
      </c>
      <c r="B23" s="129" t="s">
        <v>8</v>
      </c>
      <c r="C23" s="122" t="s">
        <v>30</v>
      </c>
      <c r="D23" s="122" t="s">
        <v>76</v>
      </c>
      <c r="E23" s="122">
        <v>4</v>
      </c>
      <c r="F23" s="122">
        <v>1800</v>
      </c>
      <c r="G23" s="135" t="s">
        <v>571</v>
      </c>
      <c r="H23" s="130">
        <v>1.5</v>
      </c>
      <c r="I23" s="65" t="s">
        <v>581</v>
      </c>
      <c r="J23" s="123">
        <v>9</v>
      </c>
      <c r="K23" s="124">
        <v>349.83050847457628</v>
      </c>
      <c r="L23" s="124">
        <v>424.42976156276899</v>
      </c>
      <c r="M23" s="124">
        <v>51.414352154260818</v>
      </c>
      <c r="N23" s="124">
        <v>262.37288135593218</v>
      </c>
      <c r="O23" s="124">
        <v>498.89112324044811</v>
      </c>
      <c r="P23" s="124">
        <v>49.201251494128293</v>
      </c>
      <c r="Q23" s="124">
        <v>384.81355932203388</v>
      </c>
      <c r="R23" s="124">
        <v>383.47601264004595</v>
      </c>
      <c r="S23" s="124">
        <v>51.808353464019966</v>
      </c>
      <c r="T23" s="123" t="s">
        <v>10</v>
      </c>
      <c r="U23" s="123" t="s">
        <v>11</v>
      </c>
      <c r="V23" s="123" t="s">
        <v>9</v>
      </c>
      <c r="W23" s="72" t="str">
        <f t="shared" si="12"/>
        <v>ST-1800</v>
      </c>
      <c r="X23" s="59">
        <f t="shared" si="13"/>
        <v>1870.8064374574258</v>
      </c>
      <c r="Y23" s="63" t="str">
        <f t="shared" si="14"/>
        <v>ST-1.5-1800</v>
      </c>
      <c r="Z23" s="39">
        <f>VLOOKUP(Y23,Lookup!$U$28:$V$227,2,FALSE)</f>
        <v>70</v>
      </c>
      <c r="AA23" s="63">
        <f t="shared" si="15"/>
        <v>0.64285714285714279</v>
      </c>
      <c r="AB23" s="63" t="str">
        <f t="shared" si="16"/>
        <v/>
      </c>
      <c r="AC23" s="73">
        <f>VLOOKUP(W23,Lookup!$N$27:$P$36,3,FALSE)</f>
        <v>138.78</v>
      </c>
      <c r="AD23" s="76">
        <f t="shared" si="17"/>
        <v>66.945633243152429</v>
      </c>
      <c r="AE23" s="59">
        <f t="shared" si="18"/>
        <v>37.532477072610376</v>
      </c>
      <c r="AF23" s="59">
        <f t="shared" si="19"/>
        <v>33.087841629801275</v>
      </c>
      <c r="AG23" s="59">
        <f t="shared" si="20"/>
        <v>37.302014494094372</v>
      </c>
      <c r="AH23" s="59">
        <f t="shared" si="21"/>
        <v>56.064115393888528</v>
      </c>
      <c r="AI23" s="59">
        <f t="shared" si="22"/>
        <v>52.191070574536404</v>
      </c>
      <c r="AJ23" s="59">
        <f t="shared" si="23"/>
        <v>56.568387871828079</v>
      </c>
      <c r="AK23" s="59">
        <f t="shared" si="24"/>
        <v>1</v>
      </c>
      <c r="AL23" s="59">
        <f t="shared" si="25"/>
        <v>1</v>
      </c>
      <c r="AM23" s="59">
        <f t="shared" si="26"/>
        <v>1</v>
      </c>
      <c r="AN23" s="59">
        <f t="shared" si="27"/>
        <v>1</v>
      </c>
      <c r="AO23" s="59">
        <f t="shared" si="28"/>
        <v>1</v>
      </c>
      <c r="AP23" s="59">
        <f t="shared" si="29"/>
        <v>1</v>
      </c>
      <c r="AQ23" s="59">
        <f t="shared" si="30"/>
        <v>0.64285714285714279</v>
      </c>
      <c r="AR23" s="59">
        <f t="shared" si="31"/>
        <v>0.64285714285714279</v>
      </c>
      <c r="AS23" s="59">
        <f t="shared" si="32"/>
        <v>0.64285714285714279</v>
      </c>
      <c r="AT23" s="59">
        <f t="shared" si="33"/>
        <v>56.706972536745674</v>
      </c>
      <c r="AU23" s="59">
        <f t="shared" si="34"/>
        <v>52.83392771739355</v>
      </c>
      <c r="AV23" s="59">
        <f t="shared" si="35"/>
        <v>57.211245014685225</v>
      </c>
      <c r="AW23" s="77">
        <f t="shared" si="36"/>
        <v>55.578490018099188</v>
      </c>
      <c r="AX23" s="76">
        <f t="shared" si="37"/>
        <v>3.2133970096413011</v>
      </c>
      <c r="AY23" s="59">
        <f t="shared" si="38"/>
        <v>10.282870430852164</v>
      </c>
      <c r="AZ23" s="59">
        <f t="shared" si="39"/>
        <v>25.064496675202157</v>
      </c>
      <c r="BA23" s="59">
        <f t="shared" si="40"/>
        <v>1</v>
      </c>
      <c r="BB23" s="59">
        <f t="shared" si="41"/>
        <v>1</v>
      </c>
      <c r="BC23" s="59">
        <f t="shared" si="42"/>
        <v>1</v>
      </c>
      <c r="BD23" s="59">
        <f t="shared" si="43"/>
        <v>1</v>
      </c>
      <c r="BE23" s="59">
        <f>INDEX(Lookup!$F$58:$F$61,MATCH('SectionVII (Method C.1)'!H23,Lookup!$D$58:$D$61,-1))</f>
        <v>-0.46579999999999999</v>
      </c>
      <c r="BF23" s="59">
        <f>INDEX(Lookup!$G$58:$G$61,MATCH('SectionVII (Method C.1)'!$H23,Lookup!$D$58:$D$61,-1))</f>
        <v>1.4964999999999999</v>
      </c>
      <c r="BG23" s="59">
        <f>INDEX(Lookup!$H$58:$H$61,MATCH('SectionVII (Method C.1)'!$H23,Lookup!$D$58:$D$61,-1))</f>
        <v>0.53029999999999999</v>
      </c>
      <c r="BH23" s="59">
        <f t="shared" si="44"/>
        <v>1.5609999999999999</v>
      </c>
      <c r="BI23" s="59">
        <f t="shared" si="45"/>
        <v>1.5609999999999999</v>
      </c>
      <c r="BJ23" s="59">
        <f t="shared" si="46"/>
        <v>1.5609999999999999</v>
      </c>
      <c r="BK23" s="59">
        <f t="shared" si="47"/>
        <v>1.5609999999999999</v>
      </c>
      <c r="BL23" s="156">
        <f t="shared" si="48"/>
        <v>1.0034999999999998</v>
      </c>
      <c r="BM23" s="59">
        <f t="shared" si="49"/>
        <v>1.0034999999999998</v>
      </c>
      <c r="BN23" s="59">
        <f t="shared" si="50"/>
        <v>1.0034999999999998</v>
      </c>
      <c r="BO23" s="59">
        <f t="shared" si="51"/>
        <v>1.0034999999999998</v>
      </c>
      <c r="BP23" s="59">
        <f t="shared" si="52"/>
        <v>52.417852154260821</v>
      </c>
      <c r="BQ23" s="59">
        <f t="shared" si="53"/>
        <v>4.2168970096413005</v>
      </c>
      <c r="BR23" s="59">
        <f t="shared" si="54"/>
        <v>11.286370430852163</v>
      </c>
      <c r="BS23" s="59">
        <f t="shared" si="55"/>
        <v>26.067996675202156</v>
      </c>
      <c r="BT23" s="59">
        <f t="shared" si="56"/>
        <v>23.49727906748911</v>
      </c>
      <c r="BU23" s="77">
        <f t="shared" si="57"/>
        <v>0.42277649248544175</v>
      </c>
      <c r="BV23" s="58">
        <f>VLOOKUP(W23,Lookup!$N$27:$P$36,2,FALSE)</f>
        <v>138.78</v>
      </c>
      <c r="BW23" s="59">
        <f t="shared" si="58"/>
        <v>66.945633243152429</v>
      </c>
      <c r="BX23" s="59">
        <f t="shared" si="59"/>
        <v>37.532477072610376</v>
      </c>
      <c r="BY23" s="59">
        <f t="shared" si="60"/>
        <v>33.087841629801275</v>
      </c>
      <c r="BZ23" s="59">
        <f t="shared" si="61"/>
        <v>37.302014494094372</v>
      </c>
      <c r="CA23" s="59">
        <f t="shared" si="62"/>
        <v>56.064115393888528</v>
      </c>
      <c r="CB23" s="59">
        <f t="shared" si="63"/>
        <v>52.191070574536404</v>
      </c>
      <c r="CC23" s="59">
        <f t="shared" si="64"/>
        <v>56.568387871828079</v>
      </c>
      <c r="CD23" s="59">
        <f t="shared" si="65"/>
        <v>1</v>
      </c>
      <c r="CE23" s="59">
        <f t="shared" si="66"/>
        <v>1</v>
      </c>
      <c r="CF23" s="59">
        <f t="shared" si="67"/>
        <v>1</v>
      </c>
      <c r="CG23" s="59">
        <f t="shared" si="68"/>
        <v>1</v>
      </c>
      <c r="CH23" s="59">
        <f t="shared" si="69"/>
        <v>1</v>
      </c>
      <c r="CI23" s="59">
        <f t="shared" si="70"/>
        <v>1</v>
      </c>
      <c r="CJ23" s="59">
        <f t="shared" si="71"/>
        <v>0.64285714285714279</v>
      </c>
      <c r="CK23" s="59">
        <f t="shared" si="72"/>
        <v>0.64285714285714279</v>
      </c>
      <c r="CL23" s="59">
        <f t="shared" si="73"/>
        <v>0.64285714285714279</v>
      </c>
      <c r="CM23" s="59">
        <f t="shared" si="74"/>
        <v>56.706972536745674</v>
      </c>
      <c r="CN23" s="59">
        <f t="shared" si="75"/>
        <v>52.83392771739355</v>
      </c>
      <c r="CO23" s="59">
        <f t="shared" si="76"/>
        <v>57.211245014685225</v>
      </c>
      <c r="CP23" s="59">
        <f t="shared" si="77"/>
        <v>55.578490018099188</v>
      </c>
      <c r="CQ23" s="59">
        <f t="shared" si="78"/>
        <v>1</v>
      </c>
      <c r="CR23" s="64">
        <f t="shared" si="79"/>
        <v>57.722350751455821</v>
      </c>
    </row>
    <row r="24" spans="1:96" ht="43" thickBot="1">
      <c r="A24" s="122" t="s">
        <v>328</v>
      </c>
      <c r="B24" s="129" t="s">
        <v>8</v>
      </c>
      <c r="C24" s="122" t="s">
        <v>30</v>
      </c>
      <c r="D24" s="122" t="s">
        <v>76</v>
      </c>
      <c r="E24" s="122">
        <v>4</v>
      </c>
      <c r="F24" s="122">
        <v>1800</v>
      </c>
      <c r="G24" s="135" t="s">
        <v>571</v>
      </c>
      <c r="H24" s="130">
        <v>1</v>
      </c>
      <c r="I24" s="65" t="s">
        <v>581</v>
      </c>
      <c r="J24" s="123">
        <v>9</v>
      </c>
      <c r="K24" s="124">
        <v>349.83050847457628</v>
      </c>
      <c r="L24" s="124">
        <v>424.42976156276899</v>
      </c>
      <c r="M24" s="124">
        <v>51.414352154260818</v>
      </c>
      <c r="N24" s="124">
        <v>262.37288135593218</v>
      </c>
      <c r="O24" s="124">
        <v>498.89112324044811</v>
      </c>
      <c r="P24" s="124">
        <v>49.201251494128293</v>
      </c>
      <c r="Q24" s="124">
        <v>384.81355932203388</v>
      </c>
      <c r="R24" s="124">
        <v>383.47601264004595</v>
      </c>
      <c r="S24" s="124">
        <v>51.808353464019966</v>
      </c>
      <c r="T24" s="123" t="s">
        <v>10</v>
      </c>
      <c r="U24" s="123" t="s">
        <v>11</v>
      </c>
      <c r="V24" s="123" t="s">
        <v>9</v>
      </c>
      <c r="W24" s="72" t="str">
        <f t="shared" ref="W24" si="80">D24&amp;-F24</f>
        <v>ST-1800</v>
      </c>
      <c r="X24" s="59">
        <f t="shared" ref="X24" si="81">((F24*SQRT(K24)/(L24/J24)^0.75))</f>
        <v>1870.8064374574258</v>
      </c>
      <c r="Y24" s="63" t="str">
        <f t="shared" ref="Y24" si="82">D24&amp;-H24&amp;-F24</f>
        <v>ST-1-1800</v>
      </c>
      <c r="Z24" s="39">
        <f>VLOOKUP(Y24,Lookup!$U$28:$V$227,2,FALSE)</f>
        <v>68</v>
      </c>
      <c r="AA24" s="63">
        <f t="shared" ref="AA24" si="83">H24/(Z24/100)-H24</f>
        <v>0.47058823529411753</v>
      </c>
      <c r="AB24" s="63" t="str">
        <f t="shared" ref="AB24" si="84">IFERROR(H24/(I24/100)-H24,"")</f>
        <v/>
      </c>
      <c r="AC24" s="73">
        <f>VLOOKUP(W24,Lookup!$N$27:$P$36,3,FALSE)</f>
        <v>138.78</v>
      </c>
      <c r="AD24" s="76">
        <f t="shared" ref="AD24" si="85">-0.85*(LN(K24))^2-0.38*LN(X24)*LN(K24)-11.48*(LN(X24))^2+17.8*LN(K24)+179.8*LN(X24)-(AC24+555.6)</f>
        <v>66.945633243152429</v>
      </c>
      <c r="AE24" s="59">
        <f t="shared" ref="AE24" si="86">K24*L24/3956</f>
        <v>37.532477072610376</v>
      </c>
      <c r="AF24" s="59">
        <f t="shared" ref="AF24" si="87">N24*O24/3956</f>
        <v>33.087841629801275</v>
      </c>
      <c r="AG24" s="59">
        <f t="shared" ref="AG24" si="88">Q24*R24/3956</f>
        <v>37.302014494094372</v>
      </c>
      <c r="AH24" s="59">
        <f t="shared" ref="AH24" si="89">AE24/(AD24/100)</f>
        <v>56.064115393888528</v>
      </c>
      <c r="AI24" s="59">
        <f t="shared" ref="AI24" si="90">AF24/(AD24/100*0.947)</f>
        <v>52.191070574536404</v>
      </c>
      <c r="AJ24" s="59">
        <f t="shared" ref="AJ24" si="91">AG24/(AD24/100*0.985)</f>
        <v>56.568387871828079</v>
      </c>
      <c r="AK24" s="59">
        <f t="shared" ref="AK24" si="92">IF((AH24/H24)&gt;=1,1,(AH24/H24))</f>
        <v>1</v>
      </c>
      <c r="AL24" s="59">
        <f t="shared" ref="AL24" si="93">IF((AI24/H24)&gt;=1,1,(AI24/H24))</f>
        <v>1</v>
      </c>
      <c r="AM24" s="59">
        <f t="shared" ref="AM24" si="94">IF((AJ24/H24)&gt;=1,1,(AJ24/H24))</f>
        <v>1</v>
      </c>
      <c r="AN24" s="59">
        <f t="shared" ref="AN24" si="95">-0.4508*AK24^3+1.2399*AK24^2+-0.4301*AK24+0.641</f>
        <v>1</v>
      </c>
      <c r="AO24" s="59">
        <f t="shared" ref="AO24" si="96">-0.4508*AL24^3+1.2399*AL24^2+-0.4301*AL24+0.641</f>
        <v>1</v>
      </c>
      <c r="AP24" s="59">
        <f t="shared" ref="AP24" si="97">-0.4508*AM24^3+1.2399*AM24^2+-0.4301*AM24+0.641</f>
        <v>1</v>
      </c>
      <c r="AQ24" s="59">
        <f t="shared" ref="AQ24" si="98">AN24*AA24</f>
        <v>0.47058823529411753</v>
      </c>
      <c r="AR24" s="59">
        <f t="shared" ref="AR24" si="99">AO24*AA24</f>
        <v>0.47058823529411753</v>
      </c>
      <c r="AS24" s="59">
        <f t="shared" ref="AS24" si="100">AP24*AA24</f>
        <v>0.47058823529411753</v>
      </c>
      <c r="AT24" s="59">
        <f t="shared" ref="AT24" si="101">AQ24+AH24</f>
        <v>56.534703629182644</v>
      </c>
      <c r="AU24" s="59">
        <f t="shared" ref="AU24" si="102">AR24+AI24</f>
        <v>52.66165880983052</v>
      </c>
      <c r="AV24" s="59">
        <f t="shared" ref="AV24" si="103">AS24+AJ24</f>
        <v>57.038976107122195</v>
      </c>
      <c r="AW24" s="77">
        <f t="shared" ref="AW24" si="104">0.3333*(AT24)+0.3333*(AU24)+0.3333*(AV24)</f>
        <v>55.406238337426913</v>
      </c>
      <c r="AX24" s="76">
        <f t="shared" si="37"/>
        <v>3.2133970096413011</v>
      </c>
      <c r="AY24" s="59">
        <f t="shared" si="38"/>
        <v>10.282870430852164</v>
      </c>
      <c r="AZ24" s="59">
        <f t="shared" si="39"/>
        <v>25.064496675202157</v>
      </c>
      <c r="BA24" s="59">
        <f t="shared" ref="BA24" si="105">IF((M24/H24)&gt;=1,1,(M24/H24))</f>
        <v>1</v>
      </c>
      <c r="BB24" s="59">
        <f t="shared" ref="BB24" si="106">IF((AX24/H24)&gt;=1,1,(AX24/H24))</f>
        <v>1</v>
      </c>
      <c r="BC24" s="59">
        <f t="shared" ref="BC24" si="107">IF((AY24/H24)&gt;=1,1,(AY24/H24))</f>
        <v>1</v>
      </c>
      <c r="BD24" s="59">
        <f t="shared" ref="BD24" si="108">IF((AZ24/$H24)&gt;=1,1,(AZ24/$H24))</f>
        <v>1</v>
      </c>
      <c r="BE24" s="59">
        <f>INDEX(Lookup!$F$58:$F$61,MATCH('SectionVII (Method C.1)'!H24,Lookup!$D$58:$D$61,-1))</f>
        <v>-0.46579999999999999</v>
      </c>
      <c r="BF24" s="59">
        <f>INDEX(Lookup!$G$58:$G$61,MATCH('SectionVII (Method C.1)'!$H24,Lookup!$D$58:$D$61,-1))</f>
        <v>1.4964999999999999</v>
      </c>
      <c r="BG24" s="59">
        <f>INDEX(Lookup!$H$58:$H$61,MATCH('SectionVII (Method C.1)'!$H24,Lookup!$D$58:$D$61,-1))</f>
        <v>0.53029999999999999</v>
      </c>
      <c r="BH24" s="59">
        <f t="shared" ref="BH24" si="109">$BE24*BA24^2+$BF24*BA24+$BG24</f>
        <v>1.5609999999999999</v>
      </c>
      <c r="BI24" s="59">
        <f t="shared" ref="BI24" si="110">$BE24*BB24^2+$BF24*BB24+$BG24</f>
        <v>1.5609999999999999</v>
      </c>
      <c r="BJ24" s="59">
        <f t="shared" ref="BJ24" si="111">$BE24*BC24^2+$BF24*BC24+$BG24</f>
        <v>1.5609999999999999</v>
      </c>
      <c r="BK24" s="59">
        <f t="shared" ref="BK24" si="112">$BE24*BD24^2+$BF24*BD24+$BG24</f>
        <v>1.5609999999999999</v>
      </c>
      <c r="BL24" s="156">
        <f t="shared" ref="BL24" si="113">IF($AB24="",$AA24*BH24,$AB24*BH24)</f>
        <v>0.73458823529411743</v>
      </c>
      <c r="BM24" s="59">
        <f t="shared" ref="BM24" si="114">IF($AB24="",$AA24*BI24,$AB24*BI24)</f>
        <v>0.73458823529411743</v>
      </c>
      <c r="BN24" s="59">
        <f t="shared" ref="BN24" si="115">IF($AB24="",$AA24*BJ24,$AB24*BJ24)</f>
        <v>0.73458823529411743</v>
      </c>
      <c r="BO24" s="59">
        <f t="shared" ref="BO24" si="116">IF($AB24="",$AA24*BK24,$AB24*BK24)</f>
        <v>0.73458823529411743</v>
      </c>
      <c r="BP24" s="59">
        <f t="shared" ref="BP24" si="117">M24+BL24</f>
        <v>52.148940389554937</v>
      </c>
      <c r="BQ24" s="59">
        <f t="shared" ref="BQ24" si="118">AX24+BM24</f>
        <v>3.9479852449354187</v>
      </c>
      <c r="BR24" s="59">
        <f t="shared" ref="BR24" si="119">AY24+BN24</f>
        <v>11.017458666146281</v>
      </c>
      <c r="BS24" s="59">
        <f t="shared" ref="BS24" si="120">AZ24+BO24</f>
        <v>25.799084910496276</v>
      </c>
      <c r="BT24" s="59">
        <f t="shared" ref="BT24" si="121">0.25*(BP24)+0.25*(BQ24)+0.25*(BR24)+0.25*BS24</f>
        <v>23.228367302783226</v>
      </c>
      <c r="BU24" s="77">
        <f t="shared" ref="BU24" si="122">BT24/AW24</f>
        <v>0.41923739997148418</v>
      </c>
      <c r="BV24" s="58">
        <f>VLOOKUP(W24,Lookup!$N$27:$P$36,2,FALSE)</f>
        <v>138.78</v>
      </c>
      <c r="BW24" s="59">
        <f t="shared" ref="BW24" si="123">-0.85*(LN(K24))^2-0.38*LN(X24)*LN(K24)-11.48*(LN(X24))^2+17.8*LN(K24)+179.8*LN(X24)-(BV24+555.6)</f>
        <v>66.945633243152429</v>
      </c>
      <c r="BX24" s="59">
        <f t="shared" ref="BX24" si="124">AE24</f>
        <v>37.532477072610376</v>
      </c>
      <c r="BY24" s="59">
        <f t="shared" ref="BY24" si="125">AF24</f>
        <v>33.087841629801275</v>
      </c>
      <c r="BZ24" s="59">
        <f t="shared" ref="BZ24" si="126">AG24</f>
        <v>37.302014494094372</v>
      </c>
      <c r="CA24" s="59">
        <f t="shared" ref="CA24" si="127">AE24/(BW24/100)</f>
        <v>56.064115393888528</v>
      </c>
      <c r="CB24" s="59">
        <f t="shared" ref="CB24" si="128">AF24/(BW24/100*0.947)</f>
        <v>52.191070574536404</v>
      </c>
      <c r="CC24" s="59">
        <f t="shared" ref="CC24" si="129">AG24/(BW24/100*0.985)</f>
        <v>56.568387871828079</v>
      </c>
      <c r="CD24" s="59">
        <f t="shared" ref="CD24" si="130">IF((CA24/$H24)&gt;=1,1,(CA24/$H24))</f>
        <v>1</v>
      </c>
      <c r="CE24" s="59">
        <f t="shared" ref="CE24" si="131">IF((CB24/$H24)&gt;=1,1,(CB24/$H24))</f>
        <v>1</v>
      </c>
      <c r="CF24" s="59">
        <f t="shared" ref="CF24" si="132">IF((CC24/$H24)&gt;=1,1,(CC24/$H24))</f>
        <v>1</v>
      </c>
      <c r="CG24" s="59">
        <f t="shared" ref="CG24" si="133">-0.4508*CD24^3+1.2399*CD24^2+-0.4301*CD24+0.641</f>
        <v>1</v>
      </c>
      <c r="CH24" s="59">
        <f t="shared" ref="CH24" si="134">-0.4508*CE24^3+1.2399*CE24^2+-0.4301*CE24+0.641</f>
        <v>1</v>
      </c>
      <c r="CI24" s="59">
        <f t="shared" ref="CI24" si="135">-0.4508*CF24^3+1.2399*CF24^2+-0.4301*CF24+0.641</f>
        <v>1</v>
      </c>
      <c r="CJ24" s="59">
        <f t="shared" ref="CJ24" si="136">CG24*AA24</f>
        <v>0.47058823529411753</v>
      </c>
      <c r="CK24" s="59">
        <f t="shared" ref="CK24" si="137">CH24*AA24</f>
        <v>0.47058823529411753</v>
      </c>
      <c r="CL24" s="59">
        <f t="shared" ref="CL24" si="138">CI24*AA24</f>
        <v>0.47058823529411753</v>
      </c>
      <c r="CM24" s="59">
        <f t="shared" ref="CM24" si="139">CJ24+CA24</f>
        <v>56.534703629182644</v>
      </c>
      <c r="CN24" s="59">
        <f t="shared" ref="CN24" si="140">CK24+CB24</f>
        <v>52.66165880983052</v>
      </c>
      <c r="CO24" s="59">
        <f t="shared" ref="CO24" si="141">CL24+CC24</f>
        <v>57.038976107122195</v>
      </c>
      <c r="CP24" s="59">
        <f t="shared" ref="CP24" si="142">0.3333*(CA24+CJ24)+0.3333*(CB24+CK24)+0.3333*(CC24+CL24)</f>
        <v>55.406238337426913</v>
      </c>
      <c r="CQ24" s="59">
        <f t="shared" ref="CQ24" si="143">CP24/AW24</f>
        <v>1</v>
      </c>
      <c r="CR24" s="64">
        <f t="shared" ref="CR24" si="144">(CQ24-BU24)*100</f>
        <v>58.076260002851576</v>
      </c>
    </row>
    <row r="25" spans="1:96">
      <c r="D25" s="122"/>
    </row>
  </sheetData>
  <mergeCells count="7">
    <mergeCell ref="A2:BU2"/>
    <mergeCell ref="BV2:CR2"/>
    <mergeCell ref="BV3:CR3"/>
    <mergeCell ref="AX3:BU3"/>
    <mergeCell ref="AD3:AW3"/>
    <mergeCell ref="W3:AC3"/>
    <mergeCell ref="A3:V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E6:E24</xm:sqref>
        </x14:dataValidation>
        <x14:dataValidation type="list" allowBlank="1" showInputMessage="1" showErrorMessage="1">
          <x14:formula1>
            <xm:f>Lookup!$E$11:$E$20</xm:f>
          </x14:formula1>
          <xm:sqref>D6:D9 D11:D13 D15:D17 D19:D21 D23:D25</xm:sqref>
        </x14:dataValidation>
        <x14:dataValidation type="list" allowBlank="1" showInputMessage="1" showErrorMessage="1">
          <x14:formula1>
            <xm:f>Lookup!$F$11:$F$12</xm:f>
          </x14:formula1>
          <xm:sqref>F6:F24</xm:sqref>
        </x14:dataValidation>
        <x14:dataValidation type="list" allowBlank="1" showInputMessage="1" showErrorMessage="1">
          <x14:formula1>
            <xm:f>Lookup!$A$60:$A$61</xm:f>
          </x14:formula1>
          <xm:sqref>G6:G24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222" t="s">
        <v>2</v>
      </c>
      <c r="O25" s="215" t="s">
        <v>94</v>
      </c>
      <c r="P25" s="216"/>
      <c r="U25" s="223" t="s">
        <v>335</v>
      </c>
      <c r="V25" s="224"/>
      <c r="W25" s="225"/>
      <c r="Y25" s="210"/>
      <c r="Z25" s="211"/>
      <c r="AA25" s="212"/>
      <c r="AB25" s="8"/>
      <c r="AD25" t="s">
        <v>68</v>
      </c>
    </row>
    <row r="26" spans="3:32" ht="45" customHeight="1" thickBot="1">
      <c r="H26">
        <v>1</v>
      </c>
      <c r="N26" s="222"/>
      <c r="O26" s="2" t="s">
        <v>92</v>
      </c>
      <c r="P26" s="3" t="s">
        <v>93</v>
      </c>
      <c r="U26" s="226" t="s">
        <v>39</v>
      </c>
      <c r="V26" s="228" t="s">
        <v>40</v>
      </c>
      <c r="W26" s="229"/>
      <c r="Y26" s="9"/>
      <c r="Z26" s="213"/>
      <c r="AA26" s="214"/>
      <c r="AB26" s="8"/>
      <c r="AD26" t="s">
        <v>69</v>
      </c>
    </row>
    <row r="27" spans="3:32" ht="32.25" customHeight="1" thickBot="1">
      <c r="E27">
        <v>250</v>
      </c>
      <c r="G27">
        <v>1</v>
      </c>
      <c r="H27">
        <v>2</v>
      </c>
      <c r="N27" t="s">
        <v>79</v>
      </c>
      <c r="O27" s="2">
        <v>134.43</v>
      </c>
      <c r="P27" s="4">
        <v>128.47</v>
      </c>
      <c r="U27" s="227"/>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217" t="s">
        <v>528</v>
      </c>
      <c r="F56" s="219" t="s">
        <v>529</v>
      </c>
      <c r="G56" s="220"/>
      <c r="H56" s="221"/>
      <c r="U56" s="5" t="s">
        <v>125</v>
      </c>
      <c r="V56" s="7">
        <v>92.4</v>
      </c>
      <c r="Y56" s="5"/>
      <c r="Z56" s="14"/>
    </row>
    <row r="57" spans="1:26" ht="16" thickBot="1">
      <c r="E57" s="218"/>
      <c r="F57" s="117" t="s">
        <v>530</v>
      </c>
      <c r="G57" s="117" t="s">
        <v>531</v>
      </c>
      <c r="H57" s="117" t="s">
        <v>532</v>
      </c>
      <c r="U57" s="5" t="s">
        <v>126</v>
      </c>
      <c r="V57" s="7">
        <v>91.7</v>
      </c>
      <c r="Y57" s="5"/>
      <c r="Z57" s="14"/>
    </row>
    <row r="58" spans="1:26" ht="29" thickBot="1">
      <c r="D58">
        <v>200</v>
      </c>
      <c r="E58" s="118" t="s">
        <v>536</v>
      </c>
      <c r="F58" s="116">
        <v>-0.89139999999999997</v>
      </c>
      <c r="G58" s="116">
        <v>2.8845999999999998</v>
      </c>
      <c r="H58" s="116">
        <v>0.26250000000000001</v>
      </c>
      <c r="J58" s="118" t="s">
        <v>533</v>
      </c>
      <c r="K58" s="116">
        <v>-0.46579999999999999</v>
      </c>
      <c r="L58" s="116">
        <v>1.4964999999999999</v>
      </c>
      <c r="M58" s="116">
        <v>0.53029999999999999</v>
      </c>
      <c r="U58" s="5" t="s">
        <v>127</v>
      </c>
      <c r="V58" s="7">
        <v>91.7</v>
      </c>
      <c r="Y58" s="5"/>
      <c r="Z58" s="14"/>
    </row>
    <row r="59" spans="1:26" ht="43" thickBot="1">
      <c r="D59">
        <v>50</v>
      </c>
      <c r="E59" s="118" t="s">
        <v>535</v>
      </c>
      <c r="F59" s="116">
        <v>-1.5122</v>
      </c>
      <c r="G59" s="116">
        <v>3.0777000000000001</v>
      </c>
      <c r="H59" s="116">
        <v>0.1847</v>
      </c>
      <c r="J59" s="118" t="s">
        <v>534</v>
      </c>
      <c r="K59" s="116">
        <v>-1.3198000000000001</v>
      </c>
      <c r="L59" s="116">
        <v>2.9550999999999998</v>
      </c>
      <c r="M59" s="116">
        <v>0.1052</v>
      </c>
      <c r="U59" s="5" t="s">
        <v>128</v>
      </c>
      <c r="V59" s="7">
        <v>91</v>
      </c>
      <c r="Y59" s="5"/>
      <c r="Z59" s="14"/>
    </row>
    <row r="60" spans="1:26" ht="43" thickBot="1">
      <c r="A60" t="s">
        <v>570</v>
      </c>
      <c r="D60">
        <v>20</v>
      </c>
      <c r="E60" s="118" t="s">
        <v>534</v>
      </c>
      <c r="F60" s="116">
        <v>-1.3198000000000001</v>
      </c>
      <c r="G60" s="116">
        <v>2.9550999999999998</v>
      </c>
      <c r="H60" s="116">
        <v>0.1052</v>
      </c>
      <c r="J60" s="118" t="s">
        <v>535</v>
      </c>
      <c r="K60" s="116">
        <v>-1.5122</v>
      </c>
      <c r="L60" s="116">
        <v>3.0777000000000001</v>
      </c>
      <c r="M60" s="116">
        <v>0.1847</v>
      </c>
      <c r="U60" s="5" t="s">
        <v>129</v>
      </c>
      <c r="V60" s="7">
        <v>90.2</v>
      </c>
      <c r="Y60" s="5"/>
      <c r="Z60" s="14"/>
    </row>
    <row r="61" spans="1:26" ht="29" thickBot="1">
      <c r="A61" t="s">
        <v>571</v>
      </c>
      <c r="D61">
        <v>5</v>
      </c>
      <c r="E61" s="118" t="s">
        <v>533</v>
      </c>
      <c r="F61" s="116">
        <v>-0.46579999999999999</v>
      </c>
      <c r="G61" s="116">
        <v>1.4964999999999999</v>
      </c>
      <c r="H61" s="116">
        <v>0.53029999999999999</v>
      </c>
      <c r="J61" s="118" t="s">
        <v>536</v>
      </c>
      <c r="K61" s="116">
        <v>-0.89139999999999997</v>
      </c>
      <c r="L61" s="116">
        <v>2.8845999999999998</v>
      </c>
      <c r="M61" s="116">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233" t="s">
        <v>580</v>
      </c>
      <c r="B2" s="233"/>
      <c r="C2" s="233"/>
      <c r="D2" s="233"/>
      <c r="E2" s="233"/>
      <c r="F2" s="233"/>
      <c r="G2" s="233"/>
      <c r="H2" s="233"/>
      <c r="I2" s="233"/>
      <c r="J2" s="233"/>
      <c r="K2" s="233"/>
      <c r="L2" s="233"/>
      <c r="M2" s="233"/>
      <c r="N2" s="233"/>
      <c r="O2" s="233"/>
    </row>
    <row r="3" spans="1:45" ht="15" thickBot="1"/>
    <row r="4" spans="1:45" s="16" customFormat="1" ht="34.5" customHeight="1" thickBot="1">
      <c r="A4" s="243" t="s">
        <v>579</v>
      </c>
      <c r="B4" s="244"/>
      <c r="C4" s="244"/>
      <c r="D4" s="244"/>
      <c r="E4" s="244"/>
      <c r="F4" s="244"/>
      <c r="G4" s="244"/>
      <c r="H4" s="244"/>
      <c r="I4" s="244"/>
      <c r="J4" s="244"/>
      <c r="K4" s="244"/>
      <c r="L4" s="244"/>
      <c r="M4" s="244"/>
      <c r="N4" s="244"/>
      <c r="O4" s="244"/>
      <c r="P4" s="244"/>
      <c r="Q4" s="244"/>
      <c r="R4" s="244"/>
      <c r="S4" s="244"/>
      <c r="T4" s="245"/>
    </row>
    <row r="5" spans="1:45" s="16" customFormat="1" ht="56">
      <c r="A5" s="70"/>
      <c r="B5" s="141"/>
      <c r="C5" s="141"/>
      <c r="D5" s="141"/>
      <c r="E5" s="142"/>
      <c r="F5" s="141"/>
      <c r="G5" s="60" t="s">
        <v>367</v>
      </c>
      <c r="H5" s="141"/>
      <c r="I5" s="60" t="s">
        <v>574</v>
      </c>
      <c r="J5" s="141"/>
      <c r="K5" s="60" t="s">
        <v>352</v>
      </c>
      <c r="L5" s="60" t="s">
        <v>353</v>
      </c>
      <c r="M5" s="60" t="s">
        <v>355</v>
      </c>
      <c r="N5" s="60" t="s">
        <v>356</v>
      </c>
      <c r="O5" s="60" t="s">
        <v>358</v>
      </c>
      <c r="P5" s="60" t="s">
        <v>359</v>
      </c>
      <c r="Q5" s="141"/>
      <c r="R5" s="60" t="s">
        <v>351</v>
      </c>
      <c r="S5" s="141"/>
      <c r="T5" s="71" t="s">
        <v>575</v>
      </c>
    </row>
    <row r="6" spans="1:45" s="16" customFormat="1" ht="56">
      <c r="A6" s="41" t="s">
        <v>0</v>
      </c>
      <c r="B6" s="88" t="s">
        <v>3</v>
      </c>
      <c r="C6" s="36" t="s">
        <v>12</v>
      </c>
      <c r="D6" s="88" t="s">
        <v>27</v>
      </c>
      <c r="E6" s="93" t="s">
        <v>329</v>
      </c>
      <c r="F6" s="88" t="s">
        <v>89</v>
      </c>
      <c r="G6" s="88" t="s">
        <v>4</v>
      </c>
      <c r="H6" s="88" t="s">
        <v>2</v>
      </c>
      <c r="I6" s="88" t="s">
        <v>63</v>
      </c>
      <c r="J6" s="88" t="s">
        <v>73</v>
      </c>
      <c r="K6" s="88" t="s">
        <v>13</v>
      </c>
      <c r="L6" s="88" t="s">
        <v>24</v>
      </c>
      <c r="M6" s="88" t="s">
        <v>49</v>
      </c>
      <c r="N6" s="88" t="s">
        <v>50</v>
      </c>
      <c r="O6" s="88" t="s">
        <v>51</v>
      </c>
      <c r="P6" s="88" t="s">
        <v>52</v>
      </c>
      <c r="Q6" s="88" t="s">
        <v>14</v>
      </c>
      <c r="R6" s="88" t="s">
        <v>15</v>
      </c>
      <c r="S6" s="88" t="s">
        <v>48</v>
      </c>
      <c r="T6" s="47" t="s">
        <v>43</v>
      </c>
    </row>
    <row r="7" spans="1:45" s="16" customFormat="1" ht="42">
      <c r="A7" s="20" t="s">
        <v>11</v>
      </c>
      <c r="B7" s="17" t="s">
        <v>10</v>
      </c>
      <c r="C7" s="38" t="s">
        <v>7</v>
      </c>
      <c r="D7" s="134" t="s">
        <v>28</v>
      </c>
      <c r="E7" s="138"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88" t="s">
        <v>34</v>
      </c>
      <c r="C8" s="88" t="s">
        <v>36</v>
      </c>
      <c r="D8" s="88" t="s">
        <v>36</v>
      </c>
      <c r="E8" s="93" t="s">
        <v>36</v>
      </c>
      <c r="F8" s="88" t="s">
        <v>35</v>
      </c>
      <c r="G8" s="88" t="s">
        <v>36</v>
      </c>
      <c r="H8" s="88" t="s">
        <v>90</v>
      </c>
      <c r="I8" s="88" t="s">
        <v>72</v>
      </c>
      <c r="J8" s="88" t="s">
        <v>91</v>
      </c>
      <c r="K8" s="234" t="s">
        <v>37</v>
      </c>
      <c r="L8" s="235"/>
      <c r="M8" s="235"/>
      <c r="N8" s="235"/>
      <c r="O8" s="235"/>
      <c r="P8" s="235"/>
      <c r="Q8" s="235"/>
      <c r="R8" s="235"/>
      <c r="S8" s="235"/>
      <c r="T8" s="236"/>
    </row>
    <row r="9" spans="1:45" s="16" customFormat="1" ht="81" customHeight="1" thickBot="1">
      <c r="A9" s="50"/>
      <c r="B9" s="86" t="s">
        <v>5</v>
      </c>
      <c r="C9" s="51"/>
      <c r="D9" s="86"/>
      <c r="E9" s="139" t="s">
        <v>330</v>
      </c>
      <c r="F9" s="51"/>
      <c r="G9" s="86"/>
      <c r="H9" s="86"/>
      <c r="I9" s="86"/>
      <c r="J9" s="52"/>
      <c r="K9" s="86"/>
      <c r="L9" s="86"/>
      <c r="M9" s="86"/>
      <c r="N9" s="86"/>
      <c r="O9" s="86"/>
      <c r="P9" s="86"/>
      <c r="Q9" s="86"/>
      <c r="R9" s="86"/>
      <c r="S9" s="86" t="s">
        <v>6</v>
      </c>
      <c r="T9" s="140"/>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57" t="s">
        <v>336</v>
      </c>
      <c r="B11" s="258"/>
      <c r="C11" s="258"/>
      <c r="D11" s="258"/>
      <c r="E11" s="258"/>
      <c r="F11" s="258"/>
      <c r="G11" s="258"/>
      <c r="H11" s="258"/>
      <c r="I11" s="258"/>
      <c r="J11" s="258"/>
      <c r="K11" s="258"/>
      <c r="L11" s="258"/>
      <c r="M11" s="258"/>
      <c r="N11" s="258"/>
      <c r="O11" s="259"/>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54" t="s">
        <v>322</v>
      </c>
      <c r="B13" s="255"/>
      <c r="C13" s="255"/>
      <c r="D13" s="255"/>
      <c r="E13" s="255"/>
      <c r="F13" s="255"/>
      <c r="G13" s="255"/>
      <c r="H13" s="255"/>
      <c r="I13" s="255"/>
      <c r="J13" s="255"/>
      <c r="K13" s="255"/>
      <c r="L13" s="255"/>
      <c r="M13" s="255"/>
      <c r="N13" s="255"/>
      <c r="O13" s="25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39" t="s">
        <v>331</v>
      </c>
      <c r="B14" s="240"/>
      <c r="C14" s="240"/>
      <c r="D14" s="241"/>
      <c r="E14" s="237" t="s">
        <v>334</v>
      </c>
      <c r="F14" s="263" t="s">
        <v>332</v>
      </c>
      <c r="G14" s="240"/>
      <c r="H14" s="240"/>
      <c r="I14" s="240"/>
      <c r="J14" s="237" t="s">
        <v>334</v>
      </c>
      <c r="K14" s="246" t="s">
        <v>333</v>
      </c>
      <c r="L14" s="246"/>
      <c r="M14" s="246"/>
      <c r="N14" s="246"/>
      <c r="O14" s="24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9" t="s">
        <v>396</v>
      </c>
      <c r="B15" s="79" t="s">
        <v>395</v>
      </c>
      <c r="C15" s="79" t="s">
        <v>397</v>
      </c>
      <c r="D15" s="85"/>
      <c r="E15" s="237"/>
      <c r="F15" s="79" t="s">
        <v>396</v>
      </c>
      <c r="G15" s="79" t="s">
        <v>395</v>
      </c>
      <c r="H15" s="79" t="s">
        <v>397</v>
      </c>
      <c r="I15" s="84"/>
      <c r="J15" s="237"/>
      <c r="K15" s="79" t="s">
        <v>578</v>
      </c>
      <c r="L15" s="79" t="s">
        <v>481</v>
      </c>
      <c r="M15" s="79" t="s">
        <v>484</v>
      </c>
      <c r="N15" s="79" t="s">
        <v>577</v>
      </c>
      <c r="O15" s="91"/>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37"/>
      <c r="F16" s="34" t="s">
        <v>16</v>
      </c>
      <c r="G16" s="34" t="s">
        <v>19</v>
      </c>
      <c r="H16" s="34" t="s">
        <v>17</v>
      </c>
      <c r="I16" s="36" t="s">
        <v>32</v>
      </c>
      <c r="J16" s="237"/>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37"/>
      <c r="F17" s="17">
        <v>35</v>
      </c>
      <c r="G17" s="17">
        <v>40</v>
      </c>
      <c r="H17" s="17">
        <v>45</v>
      </c>
      <c r="I17" s="38">
        <v>4</v>
      </c>
      <c r="J17" s="237"/>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248" t="s">
        <v>38</v>
      </c>
      <c r="B18" s="242"/>
      <c r="C18" s="242"/>
      <c r="D18" s="45" t="s">
        <v>36</v>
      </c>
      <c r="E18" s="238"/>
      <c r="F18" s="242" t="s">
        <v>38</v>
      </c>
      <c r="G18" s="242"/>
      <c r="H18" s="242"/>
      <c r="I18" s="45" t="s">
        <v>36</v>
      </c>
      <c r="J18" s="238"/>
      <c r="K18" s="249" t="s">
        <v>38</v>
      </c>
      <c r="L18" s="249"/>
      <c r="M18" s="249"/>
      <c r="N18" s="249"/>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50" t="s">
        <v>47</v>
      </c>
      <c r="B19" s="251"/>
      <c r="C19" s="251"/>
      <c r="D19" s="251"/>
      <c r="E19" s="251"/>
      <c r="F19" s="251"/>
      <c r="G19" s="251"/>
      <c r="H19" s="251"/>
      <c r="I19" s="251"/>
      <c r="J19" s="251"/>
      <c r="K19" s="251"/>
      <c r="L19" s="251"/>
      <c r="M19" s="251"/>
      <c r="N19" s="251"/>
      <c r="O19" s="251"/>
      <c r="P19" s="252"/>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50"/>
      <c r="B20" s="251"/>
      <c r="C20" s="251"/>
      <c r="D20" s="251"/>
      <c r="E20" s="251"/>
      <c r="F20" s="251"/>
      <c r="G20" s="251"/>
      <c r="H20" s="251"/>
      <c r="I20" s="251"/>
      <c r="J20" s="251"/>
      <c r="K20" s="251"/>
      <c r="L20" s="251"/>
      <c r="M20" s="251"/>
      <c r="N20" s="251"/>
      <c r="O20" s="251"/>
      <c r="P20" s="253"/>
      <c r="AP20"/>
      <c r="AQ20"/>
      <c r="AR20"/>
      <c r="AS20"/>
    </row>
    <row r="21" spans="1:51" ht="31" thickBot="1">
      <c r="A21" s="254" t="s">
        <v>323</v>
      </c>
      <c r="B21" s="255"/>
      <c r="C21" s="255"/>
      <c r="D21" s="255"/>
      <c r="E21" s="255"/>
      <c r="F21" s="255"/>
      <c r="G21" s="255"/>
      <c r="H21" s="255"/>
      <c r="I21" s="255"/>
      <c r="J21" s="255"/>
      <c r="K21" s="255"/>
      <c r="L21" s="255"/>
      <c r="M21" s="255"/>
      <c r="N21" s="255"/>
      <c r="O21" s="255"/>
      <c r="P21" s="256"/>
      <c r="AP21"/>
      <c r="AQ21"/>
      <c r="AR21"/>
      <c r="AS21"/>
    </row>
    <row r="22" spans="1:51" ht="24" thickBot="1">
      <c r="A22" s="239" t="s">
        <v>331</v>
      </c>
      <c r="B22" s="240"/>
      <c r="C22" s="241"/>
      <c r="D22" s="237" t="s">
        <v>334</v>
      </c>
      <c r="E22" s="263" t="s">
        <v>332</v>
      </c>
      <c r="F22" s="240"/>
      <c r="G22" s="240"/>
      <c r="H22" s="240"/>
      <c r="I22" s="241"/>
      <c r="J22" s="237" t="s">
        <v>334</v>
      </c>
      <c r="K22" s="260" t="s">
        <v>333</v>
      </c>
      <c r="L22" s="261"/>
      <c r="M22" s="261"/>
      <c r="N22" s="261"/>
      <c r="O22" s="261"/>
      <c r="P22" s="262"/>
      <c r="AM22"/>
      <c r="AN22"/>
      <c r="AO22"/>
      <c r="AP22"/>
      <c r="AQ22"/>
      <c r="AR22"/>
      <c r="AS22"/>
    </row>
    <row r="23" spans="1:51" ht="32">
      <c r="A23" s="79" t="s">
        <v>396</v>
      </c>
      <c r="B23" s="79" t="s">
        <v>395</v>
      </c>
      <c r="C23" s="79" t="s">
        <v>397</v>
      </c>
      <c r="D23" s="237"/>
      <c r="E23" s="79" t="s">
        <v>396</v>
      </c>
      <c r="F23" s="79" t="s">
        <v>395</v>
      </c>
      <c r="G23" s="79" t="s">
        <v>397</v>
      </c>
      <c r="H23" s="84"/>
      <c r="I23" s="85"/>
      <c r="J23" s="237"/>
      <c r="K23" s="79" t="s">
        <v>578</v>
      </c>
      <c r="L23" s="79" t="s">
        <v>481</v>
      </c>
      <c r="M23" s="79" t="s">
        <v>484</v>
      </c>
      <c r="N23" s="79" t="s">
        <v>577</v>
      </c>
      <c r="O23" s="89"/>
      <c r="P23" s="90"/>
      <c r="AM23"/>
      <c r="AN23"/>
      <c r="AO23"/>
      <c r="AP23"/>
      <c r="AQ23"/>
      <c r="AR23"/>
      <c r="AS23"/>
    </row>
    <row r="24" spans="1:51" ht="42">
      <c r="A24" s="41" t="s">
        <v>16</v>
      </c>
      <c r="B24" s="34" t="s">
        <v>19</v>
      </c>
      <c r="C24" s="34" t="s">
        <v>17</v>
      </c>
      <c r="D24" s="237"/>
      <c r="E24" s="34" t="s">
        <v>16</v>
      </c>
      <c r="F24" s="34" t="s">
        <v>19</v>
      </c>
      <c r="G24" s="34" t="s">
        <v>17</v>
      </c>
      <c r="H24" s="40" t="s">
        <v>44</v>
      </c>
      <c r="I24" s="34" t="s">
        <v>46</v>
      </c>
      <c r="J24" s="237"/>
      <c r="K24" s="34" t="s">
        <v>18</v>
      </c>
      <c r="L24" s="34" t="s">
        <v>20</v>
      </c>
      <c r="M24" s="34" t="s">
        <v>21</v>
      </c>
      <c r="N24" s="34" t="s">
        <v>22</v>
      </c>
      <c r="O24" s="40" t="s">
        <v>44</v>
      </c>
      <c r="P24" s="47" t="s">
        <v>46</v>
      </c>
      <c r="AN24"/>
      <c r="AO24"/>
      <c r="AP24"/>
      <c r="AQ24"/>
      <c r="AR24"/>
      <c r="AS24"/>
    </row>
    <row r="25" spans="1:51">
      <c r="A25" s="20">
        <v>35</v>
      </c>
      <c r="B25" s="17">
        <v>40</v>
      </c>
      <c r="C25" s="17">
        <v>45</v>
      </c>
      <c r="D25" s="237"/>
      <c r="E25" s="17">
        <v>35</v>
      </c>
      <c r="F25" s="17">
        <v>40</v>
      </c>
      <c r="G25" s="17">
        <v>45</v>
      </c>
      <c r="H25" s="38" t="s">
        <v>1</v>
      </c>
      <c r="I25" s="17">
        <v>95</v>
      </c>
      <c r="J25" s="237"/>
      <c r="K25" s="17">
        <v>2.5</v>
      </c>
      <c r="L25" s="17">
        <v>10</v>
      </c>
      <c r="M25" s="17">
        <v>18</v>
      </c>
      <c r="N25" s="17">
        <v>40</v>
      </c>
      <c r="O25" s="38" t="s">
        <v>1</v>
      </c>
      <c r="P25" s="48">
        <v>95</v>
      </c>
      <c r="AN25"/>
      <c r="AO25"/>
      <c r="AP25"/>
      <c r="AQ25"/>
      <c r="AR25"/>
      <c r="AS25"/>
    </row>
    <row r="26" spans="1:51" ht="50.25" customHeight="1" thickBot="1">
      <c r="A26" s="248" t="s">
        <v>38</v>
      </c>
      <c r="B26" s="242"/>
      <c r="C26" s="242"/>
      <c r="D26" s="238"/>
      <c r="E26" s="242" t="s">
        <v>38</v>
      </c>
      <c r="F26" s="242"/>
      <c r="G26" s="242"/>
      <c r="H26" s="45" t="s">
        <v>36</v>
      </c>
      <c r="I26" s="45" t="s">
        <v>38</v>
      </c>
      <c r="J26" s="238"/>
      <c r="K26" s="249" t="s">
        <v>38</v>
      </c>
      <c r="L26" s="249"/>
      <c r="M26" s="249"/>
      <c r="N26" s="249"/>
      <c r="O26" s="45" t="s">
        <v>36</v>
      </c>
      <c r="P26" s="46" t="s">
        <v>38</v>
      </c>
      <c r="AN26"/>
      <c r="AO26"/>
      <c r="AP26"/>
      <c r="AQ26"/>
      <c r="AR26"/>
      <c r="AS26"/>
    </row>
    <row r="27" spans="1:51">
      <c r="AQ27"/>
      <c r="AR27"/>
      <c r="AS27"/>
    </row>
    <row r="29" spans="1:51" ht="15" thickBot="1"/>
    <row r="30" spans="1:51" ht="30.75" customHeight="1" thickBot="1">
      <c r="A30" s="230" t="s">
        <v>576</v>
      </c>
      <c r="B30" s="231"/>
      <c r="C30" s="231"/>
      <c r="D30" s="231"/>
      <c r="E30" s="231"/>
      <c r="F30" s="231"/>
      <c r="G30" s="231"/>
      <c r="H30" s="231"/>
      <c r="I30" s="231"/>
      <c r="J30" s="231"/>
      <c r="K30" s="231"/>
      <c r="L30" s="231"/>
      <c r="M30" s="231"/>
      <c r="N30" s="231"/>
      <c r="O30" s="231"/>
      <c r="P30" s="231"/>
      <c r="Q30" s="231"/>
      <c r="R30" s="231"/>
      <c r="S30" s="231"/>
      <c r="T30" s="231"/>
      <c r="U30" s="231"/>
      <c r="V30" s="231"/>
      <c r="W30" s="231"/>
      <c r="X30" s="231"/>
      <c r="Y30" s="231"/>
      <c r="Z30" s="231"/>
      <c r="AA30" s="231"/>
      <c r="AB30" s="231"/>
      <c r="AC30" s="231"/>
      <c r="AD30" s="231"/>
      <c r="AE30" s="231"/>
      <c r="AF30" s="231"/>
      <c r="AG30" s="231"/>
      <c r="AH30" s="231"/>
      <c r="AI30" s="231"/>
      <c r="AJ30" s="231"/>
      <c r="AK30" s="231"/>
      <c r="AL30" s="231"/>
      <c r="AM30" s="231"/>
      <c r="AN30" s="231"/>
      <c r="AO30" s="231"/>
      <c r="AP30" s="231"/>
      <c r="AQ30" s="231"/>
      <c r="AR30" s="231"/>
      <c r="AS30" s="232"/>
    </row>
    <row r="31" spans="1:51" s="23" customFormat="1" ht="30.75" customHeight="1">
      <c r="A31" s="78" t="s">
        <v>370</v>
      </c>
      <c r="B31" s="66" t="s">
        <v>375</v>
      </c>
      <c r="C31" s="66" t="s">
        <v>400</v>
      </c>
      <c r="D31" s="66"/>
      <c r="E31" s="107" t="s">
        <v>373</v>
      </c>
      <c r="F31" s="66" t="s">
        <v>374</v>
      </c>
      <c r="G31" s="113" t="s">
        <v>376</v>
      </c>
      <c r="H31" s="113" t="s">
        <v>401</v>
      </c>
      <c r="I31" s="66" t="s">
        <v>377</v>
      </c>
      <c r="J31" s="66" t="s">
        <v>378</v>
      </c>
      <c r="K31" s="66" t="s">
        <v>379</v>
      </c>
      <c r="L31" s="79" t="s">
        <v>380</v>
      </c>
      <c r="M31" s="79" t="s">
        <v>411</v>
      </c>
      <c r="N31" s="79" t="s">
        <v>381</v>
      </c>
      <c r="O31" s="79" t="s">
        <v>402</v>
      </c>
      <c r="P31" s="79" t="s">
        <v>403</v>
      </c>
      <c r="Q31" s="79" t="s">
        <v>404</v>
      </c>
      <c r="R31" s="66" t="s">
        <v>405</v>
      </c>
      <c r="S31" s="66" t="s">
        <v>406</v>
      </c>
      <c r="T31" s="66" t="s">
        <v>407</v>
      </c>
      <c r="U31" s="66" t="s">
        <v>415</v>
      </c>
      <c r="V31" s="66" t="s">
        <v>416</v>
      </c>
      <c r="W31" s="66" t="s">
        <v>417</v>
      </c>
      <c r="X31" s="66" t="s">
        <v>408</v>
      </c>
      <c r="Y31" s="66" t="s">
        <v>409</v>
      </c>
      <c r="Z31" s="66" t="s">
        <v>410</v>
      </c>
      <c r="AA31" s="66" t="s">
        <v>418</v>
      </c>
      <c r="AB31" s="66" t="s">
        <v>419</v>
      </c>
      <c r="AC31" s="66" t="s">
        <v>420</v>
      </c>
      <c r="AD31" s="66" t="s">
        <v>412</v>
      </c>
      <c r="AE31" s="66" t="s">
        <v>413</v>
      </c>
      <c r="AF31" s="66" t="s">
        <v>414</v>
      </c>
      <c r="AG31" s="66" t="s">
        <v>421</v>
      </c>
      <c r="AH31" s="66" t="s">
        <v>422</v>
      </c>
      <c r="AI31" s="66" t="s">
        <v>423</v>
      </c>
      <c r="AJ31" s="79" t="s">
        <v>391</v>
      </c>
      <c r="AK31" s="79" t="s">
        <v>392</v>
      </c>
      <c r="AL31" s="79" t="s">
        <v>393</v>
      </c>
      <c r="AM31" s="79" t="s">
        <v>424</v>
      </c>
      <c r="AN31" s="79" t="s">
        <v>425</v>
      </c>
      <c r="AO31" s="79" t="s">
        <v>426</v>
      </c>
      <c r="AP31" s="114" t="s">
        <v>394</v>
      </c>
      <c r="AQ31" s="114" t="s">
        <v>427</v>
      </c>
      <c r="AR31" s="114" t="s">
        <v>428</v>
      </c>
      <c r="AS31" s="115" t="s">
        <v>429</v>
      </c>
    </row>
    <row r="32" spans="1:51" ht="42">
      <c r="A32" s="41" t="s">
        <v>23</v>
      </c>
      <c r="B32" s="88" t="s">
        <v>54</v>
      </c>
      <c r="C32" s="88" t="s">
        <v>53</v>
      </c>
      <c r="D32" s="88" t="s">
        <v>96</v>
      </c>
      <c r="E32" s="88" t="s">
        <v>297</v>
      </c>
      <c r="F32" s="57" t="s">
        <v>298</v>
      </c>
      <c r="G32" s="88" t="s">
        <v>55</v>
      </c>
      <c r="H32" s="88" t="s">
        <v>59</v>
      </c>
      <c r="I32" s="57" t="s">
        <v>56</v>
      </c>
      <c r="J32" s="57" t="s">
        <v>57</v>
      </c>
      <c r="K32" s="57" t="s">
        <v>58</v>
      </c>
      <c r="L32" s="57" t="s">
        <v>60</v>
      </c>
      <c r="M32" s="57" t="s">
        <v>61</v>
      </c>
      <c r="N32" s="57" t="s">
        <v>62</v>
      </c>
      <c r="O32" s="57" t="s">
        <v>67</v>
      </c>
      <c r="P32" s="57" t="s">
        <v>66</v>
      </c>
      <c r="Q32" s="57" t="s">
        <v>65</v>
      </c>
      <c r="R32" s="57" t="s">
        <v>302</v>
      </c>
      <c r="S32" s="57" t="s">
        <v>301</v>
      </c>
      <c r="T32" s="57" t="s">
        <v>300</v>
      </c>
      <c r="U32" s="57" t="s">
        <v>303</v>
      </c>
      <c r="V32" s="57" t="s">
        <v>304</v>
      </c>
      <c r="W32" s="57" t="s">
        <v>305</v>
      </c>
      <c r="X32" s="57" t="s">
        <v>306</v>
      </c>
      <c r="Y32" s="57" t="s">
        <v>307</v>
      </c>
      <c r="Z32" s="57" t="s">
        <v>308</v>
      </c>
      <c r="AA32" s="57" t="s">
        <v>309</v>
      </c>
      <c r="AB32" s="57" t="s">
        <v>310</v>
      </c>
      <c r="AC32" s="57" t="s">
        <v>311</v>
      </c>
      <c r="AD32" s="57" t="s">
        <v>316</v>
      </c>
      <c r="AE32" s="57" t="s">
        <v>317</v>
      </c>
      <c r="AF32" s="57" t="s">
        <v>318</v>
      </c>
      <c r="AG32" s="57" t="s">
        <v>319</v>
      </c>
      <c r="AH32" s="57" t="s">
        <v>320</v>
      </c>
      <c r="AI32" s="57" t="s">
        <v>321</v>
      </c>
      <c r="AJ32" s="88" t="s">
        <v>362</v>
      </c>
      <c r="AK32" s="88" t="s">
        <v>363</v>
      </c>
      <c r="AL32" s="88" t="s">
        <v>363</v>
      </c>
      <c r="AM32" s="88" t="s">
        <v>364</v>
      </c>
      <c r="AN32" s="88" t="s">
        <v>365</v>
      </c>
      <c r="AO32" s="88" t="s">
        <v>365</v>
      </c>
      <c r="AP32" s="57" t="s">
        <v>312</v>
      </c>
      <c r="AQ32" s="57" t="s">
        <v>313</v>
      </c>
      <c r="AR32" s="57" t="s">
        <v>314</v>
      </c>
      <c r="AS32" s="137"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87" t="s">
        <v>26</v>
      </c>
      <c r="C34" s="87" t="s">
        <v>26</v>
      </c>
      <c r="D34" s="86" t="s">
        <v>95</v>
      </c>
      <c r="E34" s="87" t="s">
        <v>64</v>
      </c>
      <c r="F34" s="86" t="s">
        <v>299</v>
      </c>
      <c r="G34" s="86" t="s">
        <v>299</v>
      </c>
      <c r="H34" s="86" t="s">
        <v>299</v>
      </c>
      <c r="I34" s="86" t="s">
        <v>299</v>
      </c>
      <c r="J34" s="86" t="s">
        <v>299</v>
      </c>
      <c r="K34" s="86" t="s">
        <v>299</v>
      </c>
      <c r="L34" s="86" t="s">
        <v>299</v>
      </c>
      <c r="M34" s="86" t="s">
        <v>299</v>
      </c>
      <c r="N34" s="86" t="s">
        <v>299</v>
      </c>
      <c r="O34" s="86" t="s">
        <v>299</v>
      </c>
      <c r="P34" s="86" t="s">
        <v>299</v>
      </c>
      <c r="Q34" s="86" t="s">
        <v>299</v>
      </c>
      <c r="R34" s="86" t="s">
        <v>299</v>
      </c>
      <c r="S34" s="86" t="s">
        <v>299</v>
      </c>
      <c r="T34" s="86" t="s">
        <v>299</v>
      </c>
      <c r="U34" s="86" t="s">
        <v>299</v>
      </c>
      <c r="V34" s="86" t="s">
        <v>299</v>
      </c>
      <c r="W34" s="86" t="s">
        <v>299</v>
      </c>
      <c r="X34" s="86" t="s">
        <v>299</v>
      </c>
      <c r="Y34" s="86" t="s">
        <v>299</v>
      </c>
      <c r="Z34" s="86" t="s">
        <v>299</v>
      </c>
      <c r="AA34" s="86" t="s">
        <v>299</v>
      </c>
      <c r="AB34" s="86" t="s">
        <v>299</v>
      </c>
      <c r="AC34" s="86" t="s">
        <v>299</v>
      </c>
      <c r="AD34" s="86" t="s">
        <v>299</v>
      </c>
      <c r="AE34" s="86" t="s">
        <v>299</v>
      </c>
      <c r="AF34" s="86" t="s">
        <v>299</v>
      </c>
      <c r="AG34" s="86" t="s">
        <v>299</v>
      </c>
      <c r="AH34" s="86" t="s">
        <v>299</v>
      </c>
      <c r="AI34" s="86" t="s">
        <v>299</v>
      </c>
      <c r="AJ34" s="86" t="s">
        <v>299</v>
      </c>
      <c r="AK34" s="86" t="s">
        <v>299</v>
      </c>
      <c r="AL34" s="86" t="s">
        <v>299</v>
      </c>
      <c r="AM34" s="86" t="s">
        <v>299</v>
      </c>
      <c r="AN34" s="86" t="s">
        <v>299</v>
      </c>
      <c r="AO34" s="86" t="s">
        <v>299</v>
      </c>
      <c r="AP34" s="86" t="s">
        <v>299</v>
      </c>
      <c r="AQ34" s="86" t="s">
        <v>299</v>
      </c>
      <c r="AR34" s="86"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11:O11"/>
    <mergeCell ref="A13:O13"/>
    <mergeCell ref="K22:P22"/>
    <mergeCell ref="J22:J26"/>
    <mergeCell ref="E22:I22"/>
    <mergeCell ref="A14:D14"/>
    <mergeCell ref="E14:E18"/>
    <mergeCell ref="F14:I1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Section III (Method A.1)</vt:lpstr>
      <vt:lpstr>Section IV (Method B.2)</vt:lpstr>
      <vt:lpstr>Section V (Method B.1)</vt:lpstr>
      <vt:lpstr>Section VI-a (Method C2)</vt:lpstr>
      <vt:lpstr>Section VI-b (Method C2)</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2016-12-16T17:45:13Z</dcterms:modified>
</cp:coreProperties>
</file>