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II_V" sheetId="1" state="visible" r:id="rId2"/>
    <sheet name="III_VII" sheetId="2" state="visible" r:id="rId3"/>
    <sheet name="III Database Fields" sheetId="3" state="visible" r:id="rId4"/>
    <sheet name="V_VII" sheetId="4" state="visible" r:id="rId5"/>
    <sheet name="IV_VII" sheetId="5" state="visible" r:id="rId6"/>
    <sheet name="IV_V Database Fields" sheetId="6" state="visible" r:id="rId7"/>
    <sheet name="Minimum Motor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<sst xmlns="http://schemas.openxmlformats.org/spreadsheetml/2006/main" count="1495" uniqueCount="777">
  <si>
    <t xml:space="preserve">Would not apply to ST Pumps because you cannot calculate a value in excess of default, so this option would not show ST bare pump basic models for selection</t>
  </si>
  <si>
    <t xml:space="preserve">User inputs product information:</t>
  </si>
  <si>
    <t xml:space="preserve">Program Looks up: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</si>
  <si>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 full, NP</t>
    </r>
  </si>
  <si>
    <r>
      <rPr>
        <sz val="18"/>
        <color rgb="FF000000"/>
        <rFont val="Calibri"/>
        <family val="2"/>
        <charset val="1"/>
      </rPr>
      <t xml:space="preserve">MotorHP</t>
    </r>
    <r>
      <rPr>
        <vertAlign val="subscript"/>
        <sz val="18"/>
        <color rgb="FF000000"/>
        <rFont val="Calibri"/>
        <family val="2"/>
        <charset val="1"/>
      </rPr>
      <t xml:space="preserve">NP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</si>
  <si>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CL</t>
    </r>
  </si>
  <si>
    <r>
      <rPr>
        <sz val="22"/>
        <color rgb="FF000000"/>
        <rFont val="Calibri"/>
        <family val="2"/>
        <charset val="1"/>
      </rPr>
      <t xml:space="preserve">n</t>
    </r>
    <r>
      <rPr>
        <vertAlign val="subscript"/>
        <sz val="22"/>
        <color rgb="FF000000"/>
        <rFont val="Calibri"/>
        <family val="2"/>
        <charset val="1"/>
      </rPr>
      <t xml:space="preserve">sp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</si>
  <si>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75%,65%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</si>
  <si>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100%,90%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</si>
  <si>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110%,100%'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</si>
  <si>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t xml:space="preserve">MotorHP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</si>
  <si>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</si>
  <si>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PER</t>
    </r>
    <r>
      <rPr>
        <vertAlign val="subscript"/>
        <sz val="22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</si>
  <si>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</si>
  <si>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motor,full,ext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</si>
  <si>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motor,full,eqband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</si>
  <si>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</si>
  <si>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75%, 65%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</si>
  <si>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100%, 90%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</si>
  <si>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</si>
  <si>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</si>
  <si>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</si>
  <si>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</si>
  <si>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</si>
  <si>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</si>
  <si>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</si>
  <si>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 65%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</si>
  <si>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 90%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</si>
  <si>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 100%'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</si>
  <si>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</si>
  <si>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</si>
  <si>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</si>
  <si>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</si>
  <si>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</si>
  <si>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</si>
  <si>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</si>
  <si>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</si>
  <si>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</si>
  <si>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110%,100%'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</si>
  <si>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75%,65%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</si>
  <si>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100%,90%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</si>
  <si>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110%,100%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in,M,Ext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</si>
  <si>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</si>
  <si>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Certificate</t>
    </r>
  </si>
  <si>
    <t xml:space="preserve">PEI delta</t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</si>
  <si>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CL</t>
    </r>
    <r>
      <rPr>
        <b val="true"/>
        <vertAlign val="superscript"/>
        <sz val="18"/>
        <color rgb="FF000000"/>
        <rFont val="Calibri"/>
        <family val="2"/>
        <charset val="1"/>
      </rPr>
      <t xml:space="preserve">Ext</t>
    </r>
  </si>
  <si>
    <t xml:space="preserve">Rating ID</t>
  </si>
  <si>
    <t xml:space="preserve">Pump Manufacturers Name</t>
  </si>
  <si>
    <t xml:space="preserve">Basic pump model designation</t>
  </si>
  <si>
    <t xml:space="preserve">Extended Motor Manufacturer </t>
  </si>
  <si>
    <t xml:space="preserve">Extended Motor Model Number</t>
  </si>
  <si>
    <t xml:space="preserve">Extended Motor Nameplate Efficiency</t>
  </si>
  <si>
    <t xml:space="preserve">Extended motor type </t>
  </si>
  <si>
    <t xml:space="preserve">Extended Motor Nameplate HP</t>
  </si>
  <si>
    <t xml:space="preserve">DOE equipment class</t>
  </si>
  <si>
    <t xml:space="preserve">Pump Energy Index (Constant Load)</t>
  </si>
  <si>
    <t xml:space="preserve">Nominal Speed of rotation</t>
  </si>
  <si>
    <t xml:space="preserve">Power input to the driver at 75% of BEP rate of flow at the nominal speed of rotation</t>
  </si>
  <si>
    <t xml:space="preserve">Power input to the driver at 100% of BEP rate of flow at the nominal speed of rotation</t>
  </si>
  <si>
    <t xml:space="preserve">Power input to the driver at 110% of BEP rate of flow at the nominal speed of rotation</t>
  </si>
  <si>
    <t xml:space="preserve">Rated Motor power used for default losses</t>
  </si>
  <si>
    <t xml:space="preserve">Default Motor Efficiency</t>
  </si>
  <si>
    <t xml:space="preserve">Pump Energy Rating (Standard, Expected)</t>
  </si>
  <si>
    <t xml:space="preserve">Pump Energy Index (Baseline)</t>
  </si>
  <si>
    <t xml:space="preserve">Pump type - motorHP-Speed Extended</t>
  </si>
  <si>
    <t xml:space="preserve">Minimum Efficiency Extended</t>
  </si>
  <si>
    <t xml:space="preserve">Efficiency Check</t>
  </si>
  <si>
    <t xml:space="preserve">Defaullt efficency bands</t>
  </si>
  <si>
    <t xml:space="preserve">Motor efficinecy equivalent bands above nominal for default MotorHP</t>
  </si>
  <si>
    <t xml:space="preserve">Full load default motor losses</t>
  </si>
  <si>
    <t xml:space="preserve">Standard pump input to motor power ratio at 75% BEP flow</t>
  </si>
  <si>
    <t xml:space="preserve">Standard pump input to motor power ratio at 100% BEP flow</t>
  </si>
  <si>
    <t xml:space="preserve">Standard pump input to motor power ratio at 110% BEP flow</t>
  </si>
  <si>
    <t xml:space="preserve">Standard motor part load loss factor at 75% BEP</t>
  </si>
  <si>
    <t xml:space="preserve">Standard motor part load loss factor at 100% BEP</t>
  </si>
  <si>
    <t xml:space="preserve">Standard motor part load loss factor at 110% BEP</t>
  </si>
  <si>
    <t xml:space="preserve">Standard motor part load losses at 75% BEP</t>
  </si>
  <si>
    <t xml:space="preserve">Standard motor part load losses at 100% BEP</t>
  </si>
  <si>
    <t xml:space="preserve">Standard motor part load losses at 110% BEP</t>
  </si>
  <si>
    <t xml:space="preserve">Pump input power at 75% BEP</t>
  </si>
  <si>
    <t xml:space="preserve">Pump input power at 100% BEP</t>
  </si>
  <si>
    <t xml:space="preserve">Pump input power at 110% BEP</t>
  </si>
  <si>
    <t xml:space="preserve">Full load extended motor losses, equivalent bands above nominal</t>
  </si>
  <si>
    <t xml:space="preserve">Pump input to extended motor power ratio at 75% BEP</t>
  </si>
  <si>
    <t xml:space="preserve">Pump input to extended motor power ratio at 100% BEP</t>
  </si>
  <si>
    <t xml:space="preserve">Pump input to extended motor power ratio at 110% BEP</t>
  </si>
  <si>
    <t xml:space="preserve">Extended motor part load loss factor at 75% BEP</t>
  </si>
  <si>
    <t xml:space="preserve">Extended motor part load loss factor at 100% BEP</t>
  </si>
  <si>
    <t xml:space="preserve">Extended motor part load loss factor at 110% BEP</t>
  </si>
  <si>
    <t xml:space="preserve">Nameplate motor part load losses at 75% BEP</t>
  </si>
  <si>
    <t xml:space="preserve">Nameplate motor part load losses at 100% BEP</t>
  </si>
  <si>
    <t xml:space="preserve">Nameplate motor part load losses at 110% BEP</t>
  </si>
  <si>
    <t xml:space="preserve">Extended product driver power input to motor at 75% BEP</t>
  </si>
  <si>
    <t xml:space="preserve">Extended product driver power input to motor at 100% BEP</t>
  </si>
  <si>
    <t xml:space="preserve">Extended product driver power input to motor at 110% BEP</t>
  </si>
  <si>
    <t xml:space="preserve">Pump Energy Index (Constant Load, Certificate)</t>
  </si>
  <si>
    <t xml:space="preserve">Energy Rating</t>
  </si>
  <si>
    <t xml:space="preserve">rating_id</t>
  </si>
  <si>
    <t xml:space="preserve">  brand</t>
  </si>
  <si>
    <t xml:space="preserve">  basic_model</t>
  </si>
  <si>
    <t xml:space="preserve">Extended Motor efficiency</t>
  </si>
  <si>
    <t xml:space="preserve">Extended Motor hp</t>
  </si>
  <si>
    <t xml:space="preserve">  doe</t>
  </si>
  <si>
    <t xml:space="preserve"> pei</t>
  </si>
  <si>
    <t xml:space="preserve">  speed</t>
  </si>
  <si>
    <t xml:space="preserve">  driver_input_power.bep75</t>
  </si>
  <si>
    <t xml:space="preserve">  driver_input_power.bep100</t>
  </si>
  <si>
    <t xml:space="preserve">  driver_input_power.bep110</t>
  </si>
  <si>
    <t xml:space="preserve">  motor_power_rated</t>
  </si>
  <si>
    <t xml:space="preserve">results.default_motor_efficiency</t>
  </si>
  <si>
    <t xml:space="preserve">results.per_std (expected)</t>
  </si>
  <si>
    <t xml:space="preserve">  pei_baseline</t>
  </si>
  <si>
    <t xml:space="preserve">INPUT</t>
  </si>
  <si>
    <t xml:space="preserve">open</t>
  </si>
  <si>
    <t xml:space="preserve">enclosed</t>
  </si>
  <si>
    <t xml:space="preserve">Green values are at 65%, 90% and 100%, NOT 75%, 100% and 110%</t>
  </si>
  <si>
    <t xml:space="preserve">Added 3% to the original motor efficiency to test calculations</t>
  </si>
  <si>
    <t xml:space="preserve">reduced one frame size for all</t>
  </si>
  <si>
    <t xml:space="preserve">Error_Eff_Less_default</t>
  </si>
  <si>
    <t xml:space="preserve">eff bands above nominal = (find eff band number tat is less than or equal to extended eff) - (find eff band number that is greater than or equal to default extended eff)</t>
  </si>
  <si>
    <t xml:space="preserve">Returning the efficiency of the original listing MotorHP that is the appropriate number of bands above it </t>
  </si>
  <si>
    <t xml:space="preserve">Proceed</t>
  </si>
  <si>
    <t xml:space="preserve">final check 5/7/18</t>
  </si>
  <si>
    <t xml:space="preserve">Applies to all pump types but see special requirements for ST pumps</t>
  </si>
  <si>
    <r>
      <rPr>
        <sz val="18"/>
        <color rgb="FF000000"/>
        <rFont val="Calibri"/>
        <family val="2"/>
        <charset val="1"/>
      </rPr>
      <t xml:space="preserve">PER</t>
    </r>
    <r>
      <rPr>
        <vertAlign val="subscript"/>
        <sz val="18"/>
        <color rgb="FF000000"/>
        <rFont val="Calibri"/>
        <family val="2"/>
        <charset val="1"/>
      </rPr>
      <t xml:space="preserve">STD</t>
    </r>
  </si>
  <si>
    <r>
      <rPr>
        <sz val="18"/>
        <color rgb="FF000000"/>
        <rFont val="Calibri"/>
        <family val="2"/>
        <charset val="1"/>
      </rPr>
      <t xml:space="preserve">PEI</t>
    </r>
    <r>
      <rPr>
        <vertAlign val="subscript"/>
        <sz val="18"/>
        <color rgb="FF000000"/>
        <rFont val="Calibri"/>
        <family val="2"/>
        <charset val="1"/>
      </rPr>
      <t xml:space="preserve">Baseline</t>
    </r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</si>
  <si>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100%,100%'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</si>
  <si>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100%,100%'</t>
    </r>
  </si>
  <si>
    <r>
      <rPr>
        <sz val="22"/>
        <color rgb="FF000000"/>
        <rFont val="Calibri"/>
        <family val="2"/>
        <charset val="1"/>
      </rPr>
      <t xml:space="preserve">MotorHP</t>
    </r>
    <r>
      <rPr>
        <vertAlign val="subscript"/>
        <sz val="22"/>
        <color rgb="FF000000"/>
        <rFont val="Calibri"/>
        <family val="2"/>
        <charset val="1"/>
      </rPr>
      <t xml:space="preserve">default</t>
    </r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</si>
  <si>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 default</t>
    </r>
  </si>
  <si>
    <r>
      <rPr>
        <b val="true"/>
        <sz val="22"/>
        <color rgb="FF000000"/>
        <rFont val="Calibri"/>
        <family val="2"/>
        <charset val="1"/>
      </rPr>
      <t xml:space="preserve">η</t>
    </r>
    <r>
      <rPr>
        <b val="true"/>
        <vertAlign val="subscript"/>
        <sz val="22"/>
        <color rgb="FF000000"/>
        <rFont val="Calibri"/>
        <family val="2"/>
        <charset val="1"/>
      </rPr>
      <t xml:space="preserve">motor,full</t>
    </r>
  </si>
  <si>
    <r>
      <rPr>
        <sz val="22"/>
        <color rgb="FF000000"/>
        <rFont val="Calibri"/>
        <family val="2"/>
        <charset val="1"/>
      </rPr>
      <t xml:space="preserve">L</t>
    </r>
    <r>
      <rPr>
        <vertAlign val="subscript"/>
        <sz val="22"/>
        <color rgb="FF000000"/>
        <rFont val="Calibri"/>
        <family val="2"/>
        <charset val="1"/>
      </rPr>
      <t xml:space="preserve">full, STD</t>
    </r>
  </si>
  <si>
    <r>
      <rPr>
        <sz val="22"/>
        <color rgb="FF000000"/>
        <rFont val="Calibri"/>
        <family val="2"/>
        <charset val="1"/>
      </rPr>
      <t xml:space="preserve">X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</si>
  <si>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y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</si>
  <si>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STD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</si>
  <si>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</si>
  <si>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</si>
  <si>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</si>
  <si>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</si>
  <si>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</si>
  <si>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 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</si>
  <si>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NP,VL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</si>
  <si>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NP</t>
    </r>
  </si>
  <si>
    <t xml:space="preserve">a</t>
  </si>
  <si>
    <t xml:space="preserve">b</t>
  </si>
  <si>
    <t xml:space="preserve">c</t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</si>
  <si>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</si>
  <si>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</si>
  <si>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</si>
  <si>
    <r>
      <rPr>
        <b val="true"/>
        <sz val="18"/>
        <color rgb="FF000000"/>
        <rFont val="Calibri"/>
        <family val="2"/>
        <charset val="1"/>
      </rPr>
      <t xml:space="preserve">Z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</si>
  <si>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full, eqbands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</si>
  <si>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</si>
  <si>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</si>
  <si>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</si>
  <si>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M,C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</si>
  <si>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</si>
  <si>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</si>
  <si>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</si>
  <si>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in,C</t>
    </r>
  </si>
  <si>
    <r>
      <rPr>
        <b val="true"/>
        <sz val="18"/>
        <color rgb="FF000000"/>
        <rFont val="Calibri"/>
        <family val="2"/>
        <charset val="1"/>
      </rPr>
      <t xml:space="preserve">PER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</si>
  <si>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PEI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</si>
  <si>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ER</t>
    </r>
    <r>
      <rPr>
        <b val="true"/>
        <vertAlign val="sub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</si>
  <si>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1"/>
        <color rgb="FF000000"/>
        <rFont val="Calibri"/>
        <family val="2"/>
        <charset val="1"/>
      </rPr>
      <t xml:space="preserve">Extended Motor Nameplate Efficiency - </t>
    </r>
    <r>
      <rPr>
        <b val="true"/>
        <sz val="11"/>
        <color rgb="FFFF0000"/>
        <rFont val="Calibri"/>
        <family val="2"/>
        <charset val="1"/>
      </rPr>
      <t xml:space="preserve">Not applicable for ST Pumps</t>
    </r>
  </si>
  <si>
    <t xml:space="preserve">Extended Control Manufacturer</t>
  </si>
  <si>
    <t xml:space="preserve">Extended Control rated horsepower</t>
  </si>
  <si>
    <t xml:space="preserve">DOE Equipment Class</t>
  </si>
  <si>
    <t xml:space="preserve">Pump Energy Rating (Standard)</t>
  </si>
  <si>
    <t xml:space="preserve">Flow at 100% of BEP</t>
  </si>
  <si>
    <t xml:space="preserve">minimum Efficiency Extended</t>
  </si>
  <si>
    <t xml:space="preserve">Variable load pump input power at 25% BEP</t>
  </si>
  <si>
    <t xml:space="preserve">Variable load pump input power at 50% BEP</t>
  </si>
  <si>
    <t xml:space="preserve">Variable load pump input power at 75% BEP</t>
  </si>
  <si>
    <t xml:space="preserve">Pump input to motor power ratio at 25% BEP</t>
  </si>
  <si>
    <t xml:space="preserve">Pump input to motor power ratio at 50% BEP</t>
  </si>
  <si>
    <t xml:space="preserve">Pump input to motor power ratio at 75% BEP</t>
  </si>
  <si>
    <t xml:space="preserve">Pump input to motor power ratio at 100% BEP</t>
  </si>
  <si>
    <t xml:space="preserve">Coefficient</t>
  </si>
  <si>
    <t xml:space="preserve">Motor and control part load loss factor at 25% BEP</t>
  </si>
  <si>
    <t xml:space="preserve">Motor and control part load loss factor at 50% BEP</t>
  </si>
  <si>
    <t xml:space="preserve">Motor and control part load loss factor at 75% BEP</t>
  </si>
  <si>
    <t xml:space="preserve">Motor and control part load loss factor at 100% BEP</t>
  </si>
  <si>
    <t xml:space="preserve">Motor nameplate full load losses</t>
  </si>
  <si>
    <t xml:space="preserve">Motor and control default part load loss at 25% BEP</t>
  </si>
  <si>
    <t xml:space="preserve">Motor and control default part load loss at 50% BEP</t>
  </si>
  <si>
    <t xml:space="preserve">Motor and control default part load loss at 75% BEP</t>
  </si>
  <si>
    <t xml:space="preserve">Motor and control default part load loss at 100% BEP</t>
  </si>
  <si>
    <t xml:space="preserve">Driver power input to motor at 25% BEP</t>
  </si>
  <si>
    <t xml:space="preserve">Driver power input to motor at 50% BEP</t>
  </si>
  <si>
    <t xml:space="preserve">Driver power input to motor at 75% BEP</t>
  </si>
  <si>
    <t xml:space="preserve">Driver power input to motor at 100% BEP</t>
  </si>
  <si>
    <t xml:space="preserve">Variable load Pump Energy Rating</t>
  </si>
  <si>
    <t xml:space="preserve">Variable load Pump Energy Index</t>
  </si>
  <si>
    <t xml:space="preserve">Energy Rating (variable load)</t>
  </si>
  <si>
    <t xml:space="preserve">flow.bep100</t>
  </si>
  <si>
    <t xml:space="preserve">-</t>
  </si>
  <si>
    <t xml:space="preserve">ST</t>
  </si>
  <si>
    <t xml:space="preserve">For ST Pump, motor not regulated by DOE so defulat should be used.  This value is not entered by packager and should be lookedup instead</t>
  </si>
  <si>
    <t xml:space="preserve">I manually changed this from to ST from IL to check calculator.  Uses all other IL data</t>
  </si>
  <si>
    <t xml:space="preserve">Included If statement to use original default efficiency of base pump for ST pumps.</t>
  </si>
  <si>
    <t xml:space="preserve">Cells needing a value from a 100% load point reference a 110% load point from database (75%=65%, 100%=90%, and 110%=100%)</t>
  </si>
  <si>
    <t xml:space="preserve">basic_model</t>
  </si>
  <si>
    <t xml:space="preserve">brand</t>
  </si>
  <si>
    <t xml:space="preserve">xxx</t>
  </si>
  <si>
    <t xml:space="preserve">configuration</t>
  </si>
  <si>
    <t xml:space="preserve">bare</t>
  </si>
  <si>
    <t xml:space="preserve">diameter</t>
  </si>
  <si>
    <t xml:space="preserve">doe</t>
  </si>
  <si>
    <t xml:space="preserve">ESFM</t>
  </si>
  <si>
    <t xml:space="preserve">ESCC</t>
  </si>
  <si>
    <t xml:space="preserve">IL</t>
  </si>
  <si>
    <t xml:space="preserve">driver_input_power.bep100</t>
  </si>
  <si>
    <t xml:space="preserve">75%=65%, 100%=90%, and 110%=100%</t>
  </si>
  <si>
    <t xml:space="preserve">driver_input_power.bep110</t>
  </si>
  <si>
    <t xml:space="preserve">driver_input_power.bep75</t>
  </si>
  <si>
    <t xml:space="preserve">energy_rating</t>
  </si>
  <si>
    <t xml:space="preserve">energy_savings</t>
  </si>
  <si>
    <t xml:space="preserve">flow.bep110, 100</t>
  </si>
  <si>
    <t xml:space="preserve">flow.bep75</t>
  </si>
  <si>
    <t xml:space="preserve">head.bep100, 90</t>
  </si>
  <si>
    <t xml:space="preserve">head.bep110, 100</t>
  </si>
  <si>
    <t xml:space="preserve">head.bep75, 65</t>
  </si>
  <si>
    <t xml:space="preserve">individual_model</t>
  </si>
  <si>
    <t xml:space="preserve">6S</t>
  </si>
  <si>
    <t xml:space="preserve">6R</t>
  </si>
  <si>
    <t xml:space="preserve">GA4-1</t>
  </si>
  <si>
    <t xml:space="preserve">1P</t>
  </si>
  <si>
    <t xml:space="preserve">2.5P</t>
  </si>
  <si>
    <t xml:space="preserve">2Q</t>
  </si>
  <si>
    <t xml:space="preserve">GA5-1</t>
  </si>
  <si>
    <t xml:space="preserve">4GA6-1.5</t>
  </si>
  <si>
    <t xml:space="preserve">10</t>
  </si>
  <si>
    <t xml:space="preserve">100</t>
  </si>
  <si>
    <t xml:space="preserve">laboratory._id</t>
  </si>
  <si>
    <t xml:space="preserve">582f3be7d2a3d000114660e3</t>
  </si>
  <si>
    <t xml:space="preserve">582f3c33d2a3d000114660e5</t>
  </si>
  <si>
    <t xml:space="preserve">laboratory.address.city</t>
  </si>
  <si>
    <t xml:space="preserve">Piqua</t>
  </si>
  <si>
    <t xml:space="preserve">Seneca Falls</t>
  </si>
  <si>
    <t xml:space="preserve">laboratory.address.country</t>
  </si>
  <si>
    <t xml:space="preserve">United States</t>
  </si>
  <si>
    <t xml:space="preserve">laboratory.address.state</t>
  </si>
  <si>
    <t xml:space="preserve">OH</t>
  </si>
  <si>
    <t xml:space="preserve">NY</t>
  </si>
  <si>
    <t xml:space="preserve">laboratory.address.street</t>
  </si>
  <si>
    <t xml:space="preserve">420 3rd Street</t>
  </si>
  <si>
    <t xml:space="preserve">2881 East Bayard St.</t>
  </si>
  <si>
    <t xml:space="preserve">laboratory.code</t>
  </si>
  <si>
    <t xml:space="preserve">000104</t>
  </si>
  <si>
    <t xml:space="preserve">000102</t>
  </si>
  <si>
    <t xml:space="preserve">laboratory.name</t>
  </si>
  <si>
    <t xml:space="preserve">Crane Pumps &amp; Systems</t>
  </si>
  <si>
    <t xml:space="preserve">Xylem Inc. - Applied Water Systems</t>
  </si>
  <si>
    <t xml:space="preserve">listed</t>
  </si>
  <si>
    <t xml:space="preserve">load120</t>
  </si>
  <si>
    <t xml:space="preserve">measured_control_flow_input.bep100</t>
  </si>
  <si>
    <t xml:space="preserve">measured_control_head_input.bep100</t>
  </si>
  <si>
    <t xml:space="preserve">motor_power_rated</t>
  </si>
  <si>
    <t xml:space="preserve">motor_regulated</t>
  </si>
  <si>
    <t xml:space="preserve">participant</t>
  </si>
  <si>
    <t xml:space="preserve">Pump Company 1</t>
  </si>
  <si>
    <t xml:space="preserve">pei</t>
  </si>
  <si>
    <t xml:space="preserve">pei_baseline</t>
  </si>
  <si>
    <t xml:space="preserve">pump_input_power.bep100</t>
  </si>
  <si>
    <t xml:space="preserve">pump_input_power.bep110</t>
  </si>
  <si>
    <t xml:space="preserve">pump_input_power.bep120</t>
  </si>
  <si>
    <t xml:space="preserve">pump_input_power.bep75</t>
  </si>
  <si>
    <t xml:space="preserve">N4Z914</t>
  </si>
  <si>
    <t xml:space="preserve">X4KK74</t>
  </si>
  <si>
    <t xml:space="preserve">W4MLD5</t>
  </si>
  <si>
    <t xml:space="preserve">XQK274</t>
  </si>
  <si>
    <t xml:space="preserve">84861Q</t>
  </si>
  <si>
    <t xml:space="preserve">85WZM5</t>
  </si>
  <si>
    <t xml:space="preserve">N59774</t>
  </si>
  <si>
    <t xml:space="preserve">2QYWJ5</t>
  </si>
  <si>
    <t xml:space="preserve">85WXD4</t>
  </si>
  <si>
    <t xml:space="preserve">Y5PG85</t>
  </si>
  <si>
    <t xml:space="preserve">B4XZL5</t>
  </si>
  <si>
    <t xml:space="preserve">results.baseline_c_value</t>
  </si>
  <si>
    <t xml:space="preserve">results.baseline_driver_power_input_bep100</t>
  </si>
  <si>
    <t xml:space="preserve">results.baseline_driver_power_input_bep110</t>
  </si>
  <si>
    <t xml:space="preserve">results.baseline_driver_power_input_bep75</t>
  </si>
  <si>
    <t xml:space="preserve">results.baseline_motor_power_ratio_bep100</t>
  </si>
  <si>
    <t xml:space="preserve">results.baseline_motor_power_ratio_bep110</t>
  </si>
  <si>
    <t xml:space="preserve">results.baseline_motor_power_ratio_bep75</t>
  </si>
  <si>
    <t xml:space="preserve">results.baseline_part_load_loss_bep100</t>
  </si>
  <si>
    <t xml:space="preserve">results.baseline_part_load_loss_bep110</t>
  </si>
  <si>
    <t xml:space="preserve">results.baseline_part_load_loss_bep75</t>
  </si>
  <si>
    <t xml:space="preserve">results.baseline_part_load_loss_factor_bep100</t>
  </si>
  <si>
    <t xml:space="preserve">results.baseline_part_load_loss_factor_bep110</t>
  </si>
  <si>
    <t xml:space="preserve">results.baseline_part_load_loss_factor_bep75</t>
  </si>
  <si>
    <t xml:space="preserve">results.baseline_pump_efficiency</t>
  </si>
  <si>
    <t xml:space="preserve">results.baseline_pump_power_input_bep100</t>
  </si>
  <si>
    <t xml:space="preserve">results.baseline_pump_power_input_bep110</t>
  </si>
  <si>
    <t xml:space="preserve">results.baseline_pump_power_input_bep75</t>
  </si>
  <si>
    <t xml:space="preserve">results.energy_rating</t>
  </si>
  <si>
    <t xml:space="preserve">results.energy_savings</t>
  </si>
  <si>
    <t xml:space="preserve">33</t>
  </si>
  <si>
    <t xml:space="preserve">16</t>
  </si>
  <si>
    <t xml:space="preserve">0</t>
  </si>
  <si>
    <t xml:space="preserve">2</t>
  </si>
  <si>
    <t xml:space="preserve">4</t>
  </si>
  <si>
    <t xml:space="preserve">14</t>
  </si>
  <si>
    <t xml:space="preserve">1</t>
  </si>
  <si>
    <t xml:space="preserve">17</t>
  </si>
  <si>
    <t xml:space="preserve">12</t>
  </si>
  <si>
    <t xml:space="preserve">results.full_load_motor_losses</t>
  </si>
  <si>
    <t xml:space="preserve">results.hyd_power_bep100</t>
  </si>
  <si>
    <t xml:space="preserve">results.hyd_power_bep110</t>
  </si>
  <si>
    <t xml:space="preserve">results.hyd_power_bep75</t>
  </si>
  <si>
    <t xml:space="preserve">results.ns</t>
  </si>
  <si>
    <t xml:space="preserve">results.pei</t>
  </si>
  <si>
    <t xml:space="preserve">results.pei_baseline</t>
  </si>
  <si>
    <t xml:space="preserve">results.pei_check.expected_pei</t>
  </si>
  <si>
    <t xml:space="preserve">results.pei_check.std_percent_difference</t>
  </si>
  <si>
    <t xml:space="preserve">results.per_baseline_calculated</t>
  </si>
  <si>
    <t xml:space="preserve">results.per_cl</t>
  </si>
  <si>
    <t xml:space="preserve">results.per_std</t>
  </si>
  <si>
    <t xml:space="preserve">results.per_std_calculated </t>
  </si>
  <si>
    <t xml:space="preserve">results.section</t>
  </si>
  <si>
    <t xml:space="preserve">3</t>
  </si>
  <si>
    <t xml:space="preserve">results.standard_c_value</t>
  </si>
  <si>
    <t xml:space="preserve">results.std_driver_power_input_bep100</t>
  </si>
  <si>
    <t xml:space="preserve">results.std_driver_power_input_bep110</t>
  </si>
  <si>
    <t xml:space="preserve">results.std_driver_power_input_bep75</t>
  </si>
  <si>
    <t xml:space="preserve">results.std_motor_power_ratio_bep100</t>
  </si>
  <si>
    <t xml:space="preserve">results.std_motor_power_ratio_bep110</t>
  </si>
  <si>
    <t xml:space="preserve">results.std_motor_power_ratio_bep75</t>
  </si>
  <si>
    <t xml:space="preserve">results.std_part_load_loss_bep100</t>
  </si>
  <si>
    <t xml:space="preserve">results.std_part_load_loss_bep110</t>
  </si>
  <si>
    <t xml:space="preserve">results.std_part_load_loss_bep75</t>
  </si>
  <si>
    <t xml:space="preserve">results.std_part_load_loss_factor_bep100</t>
  </si>
  <si>
    <t xml:space="preserve">results.std_part_load_loss_factor_bep110</t>
  </si>
  <si>
    <t xml:space="preserve">results.std_part_load_loss_factor_bep75</t>
  </si>
  <si>
    <t xml:space="preserve">results.std_pump_efficiency</t>
  </si>
  <si>
    <t xml:space="preserve">results.std_pump_power_input_bep100</t>
  </si>
  <si>
    <t xml:space="preserve">results.std_pump_power_input_bep110</t>
  </si>
  <si>
    <t xml:space="preserve">results.std_pump_power_input_bep75</t>
  </si>
  <si>
    <t xml:space="preserve">results.success</t>
  </si>
  <si>
    <t xml:space="preserve">section</t>
  </si>
  <si>
    <t xml:space="preserve">speed</t>
  </si>
  <si>
    <t xml:space="preserve">stages</t>
  </si>
  <si>
    <t xml:space="preserve">Extended motor efficiency</t>
  </si>
  <si>
    <t xml:space="preserve">Extended motor hp</t>
  </si>
  <si>
    <t xml:space="preserve">Applicable to all pump types</t>
  </si>
  <si>
    <r>
      <rPr>
        <sz val="22"/>
        <color rgb="FF000000"/>
        <rFont val="Calibri"/>
        <family val="2"/>
        <charset val="1"/>
      </rPr>
      <t xml:space="preserve">η</t>
    </r>
    <r>
      <rPr>
        <vertAlign val="subscript"/>
        <sz val="22"/>
        <color rgb="FF000000"/>
        <rFont val="Calibri"/>
        <family val="2"/>
        <charset val="1"/>
      </rPr>
      <t xml:space="preserve">motor,full,</t>
    </r>
  </si>
  <si>
    <r>
      <rPr>
        <b val="true"/>
        <sz val="18"/>
        <color rgb="FF000000"/>
        <rFont val="Calibri"/>
        <family val="2"/>
        <charset val="1"/>
      </rPr>
      <t xml:space="preserve">L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</si>
  <si>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25%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</si>
  <si>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50%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</si>
  <si>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75%</t>
    </r>
    <r>
      <rPr>
        <b val="true"/>
        <vertAlign val="superscript"/>
        <sz val="18"/>
        <color rgb="FF000000"/>
        <rFont val="Calibri"/>
        <family val="2"/>
        <charset val="1"/>
      </rPr>
      <t xml:space="preserve">VL</t>
    </r>
  </si>
  <si>
    <r>
      <rPr>
        <b val="true"/>
        <sz val="18"/>
        <color rgb="FF000000"/>
        <rFont val="Calibri"/>
        <family val="2"/>
        <charset val="1"/>
      </rPr>
      <t xml:space="preserve">X</t>
    </r>
    <r>
      <rPr>
        <b val="true"/>
        <vertAlign val="subscript"/>
        <sz val="18"/>
        <color rgb="FF000000"/>
        <rFont val="Calibri"/>
        <family val="2"/>
        <charset val="1"/>
      </rPr>
      <t xml:space="preserve">100%</t>
    </r>
  </si>
  <si>
    <t xml:space="preserve">Extended Control Manufacturer </t>
  </si>
  <si>
    <t xml:space="preserve">Extended Control Efficiency</t>
  </si>
  <si>
    <t xml:space="preserve">DOE Product category</t>
  </si>
  <si>
    <t xml:space="preserve">Flow at 100% BEP</t>
  </si>
  <si>
    <t xml:space="preserve">Rated Nameplate motor power used for losses</t>
  </si>
  <si>
    <t xml:space="preserve">Nominal Nameplate Motor Efficiency</t>
  </si>
  <si>
    <t xml:space="preserve">Full load nameplate motor losses</t>
  </si>
  <si>
    <t xml:space="preserve">Motor power ratio at 25% BEP</t>
  </si>
  <si>
    <t xml:space="preserve">Motor power ratio at 50% BEP</t>
  </si>
  <si>
    <t xml:space="preserve">Motor power ratio at 75% BEP</t>
  </si>
  <si>
    <t xml:space="preserve">Motor power ratio at 100% BEP</t>
  </si>
  <si>
    <t xml:space="preserve">Not in Database</t>
  </si>
  <si>
    <t xml:space="preserve">motor_efficiency, results.default_motor_efficiency</t>
  </si>
  <si>
    <t xml:space="preserve">N4ZXMQ</t>
  </si>
  <si>
    <t xml:space="preserve">Y4PPD4</t>
  </si>
  <si>
    <t xml:space="preserve">742ZYQ</t>
  </si>
  <si>
    <t xml:space="preserve">Lookup Dependent on column P</t>
  </si>
  <si>
    <t xml:space="preserve">Final check 5/8/18</t>
  </si>
  <si>
    <r>
      <rPr>
        <sz val="22"/>
        <color rgb="FF000000"/>
        <rFont val="Calibri"/>
        <family val="2"/>
        <charset val="1"/>
      </rPr>
      <t xml:space="preserve">P</t>
    </r>
    <r>
      <rPr>
        <vertAlign val="subscript"/>
        <sz val="22"/>
        <color rgb="FF000000"/>
        <rFont val="Calibri"/>
        <family val="2"/>
        <charset val="1"/>
      </rPr>
      <t xml:space="preserve">100%</t>
    </r>
    <r>
      <rPr>
        <vertAlign val="superscript"/>
        <sz val="22"/>
        <color rgb="FF000000"/>
        <rFont val="Calibri"/>
        <family val="2"/>
        <charset val="1"/>
      </rPr>
      <t xml:space="preserve">in,M</t>
    </r>
  </si>
  <si>
    <r>
      <rPr>
        <sz val="22"/>
        <color rgb="FF000000"/>
        <rFont val="Calibri"/>
        <family val="2"/>
        <charset val="1"/>
      </rPr>
      <t xml:space="preserve">Q</t>
    </r>
    <r>
      <rPr>
        <vertAlign val="subscript"/>
        <sz val="22"/>
        <color rgb="FF000000"/>
        <rFont val="Calibri"/>
        <family val="2"/>
        <charset val="1"/>
      </rPr>
      <t xml:space="preserve">100%</t>
    </r>
  </si>
  <si>
    <t xml:space="preserve">Extended Control manufacturer</t>
  </si>
  <si>
    <t xml:space="preserve">Rated Motor power used for losses</t>
  </si>
  <si>
    <t xml:space="preserve">B47K95</t>
  </si>
  <si>
    <t xml:space="preserve">BQXVW5</t>
  </si>
  <si>
    <t xml:space="preserve">X4KLXQ</t>
  </si>
  <si>
    <t xml:space="preserve">N43EE4</t>
  </si>
  <si>
    <t xml:space="preserve">.</t>
  </si>
  <si>
    <t xml:space="preserve">Final Check 5/8/18</t>
  </si>
  <si>
    <t xml:space="preserve">NQ693Q</t>
  </si>
  <si>
    <t xml:space="preserve">B1</t>
  </si>
  <si>
    <t xml:space="preserve">B2</t>
  </si>
  <si>
    <t xml:space="preserve">B3</t>
  </si>
  <si>
    <t xml:space="preserve">B4</t>
  </si>
  <si>
    <t xml:space="preserve">B6</t>
  </si>
  <si>
    <t xml:space="preserve">B5</t>
  </si>
  <si>
    <t xml:space="preserve">101</t>
  </si>
  <si>
    <t xml:space="preserve">102</t>
  </si>
  <si>
    <t xml:space="preserve">RSV</t>
  </si>
  <si>
    <t xml:space="preserve">pump_motor</t>
  </si>
  <si>
    <t xml:space="preserve">5</t>
  </si>
  <si>
    <t xml:space="preserve">motor_efficiency</t>
  </si>
  <si>
    <t xml:space="preserve">6</t>
  </si>
  <si>
    <t xml:space="preserve">19</t>
  </si>
  <si>
    <t xml:space="preserve">20</t>
  </si>
  <si>
    <t xml:space="preserve">results.per_std_calculated</t>
  </si>
  <si>
    <t xml:space="preserve">revisions.0.note</t>
  </si>
  <si>
    <t xml:space="preserve">Pump created.</t>
  </si>
  <si>
    <t xml:space="preserve">revisions.0._id._bsontype</t>
  </si>
  <si>
    <t xml:space="preserve">ObjectID</t>
  </si>
  <si>
    <t xml:space="preserve">revisions.0._id.id.0</t>
  </si>
  <si>
    <t xml:space="preserve">revisions.0._id.id.1</t>
  </si>
  <si>
    <t xml:space="preserve">revisions.0._id.id.2</t>
  </si>
  <si>
    <t xml:space="preserve">revisions.0._id.id.3</t>
  </si>
  <si>
    <t xml:space="preserve">revisions.0._id.id.4</t>
  </si>
  <si>
    <t xml:space="preserve">revisions.0._id.id.5</t>
  </si>
  <si>
    <t xml:space="preserve">revisions.0._id.id.6</t>
  </si>
  <si>
    <t xml:space="preserve">revisions.0._id.id.7</t>
  </si>
  <si>
    <t xml:space="preserve">revisions.0._id.id.8</t>
  </si>
  <si>
    <t xml:space="preserve">revisions.0._id.id.9</t>
  </si>
  <si>
    <t xml:space="preserve">revisions.0._id.id.10</t>
  </si>
  <si>
    <t xml:space="preserve">revisions.0._id.id.11</t>
  </si>
  <si>
    <t xml:space="preserve">revisions.0.correction</t>
  </si>
  <si>
    <t xml:space="preserve">active_admin</t>
  </si>
  <si>
    <t xml:space="preserve">pending</t>
  </si>
  <si>
    <t xml:space="preserve">head.bep100</t>
  </si>
  <si>
    <t xml:space="preserve">head.bep75</t>
  </si>
  <si>
    <t xml:space="preserve">head.bep110</t>
  </si>
  <si>
    <t xml:space="preserve">flow.bep110</t>
  </si>
  <si>
    <t xml:space="preserve">582f3bb3d2a3d000114660e1</t>
  </si>
  <si>
    <t xml:space="preserve">000101</t>
  </si>
  <si>
    <t xml:space="preserve">Hydro, Inc.</t>
  </si>
  <si>
    <t xml:space="preserve">1126 West 40th Street</t>
  </si>
  <si>
    <t xml:space="preserve">Chicago</t>
  </si>
  <si>
    <t xml:space="preserve">B1.1</t>
  </si>
  <si>
    <t xml:space="preserve">B2.1</t>
  </si>
  <si>
    <t xml:space="preserve">B3.1</t>
  </si>
  <si>
    <t xml:space="preserve">B4.1</t>
  </si>
  <si>
    <t xml:space="preserve">B6.1</t>
  </si>
  <si>
    <t xml:space="preserve">B5.1</t>
  </si>
  <si>
    <t xml:space="preserve">bowl_diameter</t>
  </si>
  <si>
    <t xml:space="preserve">enclosed/open 2pole (3600 rpm) and 4pole (1800 rpm) NEMA Design A, B, and IEC desgn N motors listed in Talbe 5 of 10CFR431.25</t>
  </si>
  <si>
    <t xml:space="preserve">Open/Enclosed</t>
  </si>
  <si>
    <t xml:space="preserve">Default Nominal Full Load Nominal Efficiency [openESCC, openESFM, openIL, openRSV &amp; ST]</t>
  </si>
  <si>
    <r>
      <rPr>
        <b val="true"/>
        <sz val="12"/>
        <color rgb="FF000000"/>
        <rFont val="Calibri"/>
        <family val="2"/>
        <charset val="1"/>
      </rPr>
      <t xml:space="preserve">Motor Horsepower </t>
    </r>
    <r>
      <rPr>
        <b val="true"/>
        <sz val="11"/>
        <color rgb="FF000000"/>
        <rFont val="Calibri"/>
        <family val="2"/>
        <charset val="1"/>
      </rPr>
      <t xml:space="preserve">[MotorHP]</t>
    </r>
  </si>
  <si>
    <r>
      <rPr>
        <b val="true"/>
        <sz val="12"/>
        <color rgb="FF000000"/>
        <rFont val="Calibri"/>
        <family val="2"/>
        <charset val="1"/>
      </rPr>
      <t xml:space="preserve">Efficiency (%) </t>
    </r>
    <r>
      <rPr>
        <b val="true"/>
        <sz val="11"/>
        <color rgb="FF000000"/>
        <rFont val="Calibri"/>
        <family val="2"/>
        <charset val="1"/>
      </rPr>
      <t xml:space="preserve">[η</t>
    </r>
    <r>
      <rPr>
        <b val="true"/>
        <vertAlign val="subscript"/>
        <sz val="11"/>
        <color rgb="FF000000"/>
        <rFont val="Calibri"/>
        <family val="2"/>
        <charset val="1"/>
      </rPr>
      <t xml:space="preserve">motor,full</t>
    </r>
    <r>
      <rPr>
        <b val="true"/>
        <sz val="11"/>
        <color rgb="FF000000"/>
        <rFont val="Calibri"/>
        <family val="2"/>
        <charset val="1"/>
      </rPr>
      <t xml:space="preserve">]</t>
    </r>
  </si>
  <si>
    <t xml:space="preserve">1800 rpm</t>
  </si>
  <si>
    <t xml:space="preserve">Efficiency Bands - Each successive efficinecy is one band</t>
  </si>
  <si>
    <t xml:space="preserve">openESCC-250-1800</t>
  </si>
  <si>
    <t xml:space="preserve">openESCC-200-1800</t>
  </si>
  <si>
    <t xml:space="preserve">openESCC-150-1800</t>
  </si>
  <si>
    <t xml:space="preserve">openESCC-125-1800</t>
  </si>
  <si>
    <t xml:space="preserve">openESCC-100-1800</t>
  </si>
  <si>
    <t xml:space="preserve">openESCC-75-1800</t>
  </si>
  <si>
    <t xml:space="preserve">openESCC-60-1800</t>
  </si>
  <si>
    <t xml:space="preserve">openESCC-50-1800</t>
  </si>
  <si>
    <t xml:space="preserve">openESCC-40-1800</t>
  </si>
  <si>
    <t xml:space="preserve">openESCC-30-1800</t>
  </si>
  <si>
    <t xml:space="preserve">openESCC-25-1800</t>
  </si>
  <si>
    <t xml:space="preserve">openESCC-20-1800</t>
  </si>
  <si>
    <t xml:space="preserve">openESCC-15-1800</t>
  </si>
  <si>
    <t xml:space="preserve">openESCC-10-1800</t>
  </si>
  <si>
    <t xml:space="preserve">openESCC-7.5-1800</t>
  </si>
  <si>
    <t xml:space="preserve">openESCC-5-1800</t>
  </si>
  <si>
    <t xml:space="preserve">openESCC-3-1800</t>
  </si>
  <si>
    <t xml:space="preserve">openESCC-2-1800</t>
  </si>
  <si>
    <t xml:space="preserve">openESCC-1.5-1800</t>
  </si>
  <si>
    <t xml:space="preserve">openESCC-1-1800</t>
  </si>
  <si>
    <t xml:space="preserve">openESCC-250-3600</t>
  </si>
  <si>
    <t xml:space="preserve">openESCC-200-3600</t>
  </si>
  <si>
    <t xml:space="preserve">openESCC-150-3600</t>
  </si>
  <si>
    <t xml:space="preserve">openESCC-125-3600</t>
  </si>
  <si>
    <t xml:space="preserve">openESCC-100-3600</t>
  </si>
  <si>
    <t xml:space="preserve">openESCC-75-3600</t>
  </si>
  <si>
    <t xml:space="preserve">openESCC-60-3600</t>
  </si>
  <si>
    <t xml:space="preserve">openESCC-50-3600</t>
  </si>
  <si>
    <t xml:space="preserve">openESCC-40-3600</t>
  </si>
  <si>
    <t xml:space="preserve">openESCC-30-3600</t>
  </si>
  <si>
    <t xml:space="preserve">openESCC-25-3600</t>
  </si>
  <si>
    <t xml:space="preserve">openESCC-20-3600</t>
  </si>
  <si>
    <t xml:space="preserve">openESCC-15-3600</t>
  </si>
  <si>
    <t xml:space="preserve">openESCC-10-3600</t>
  </si>
  <si>
    <t xml:space="preserve">openESCC-7.5-3600</t>
  </si>
  <si>
    <t xml:space="preserve">openESCC-5-3600</t>
  </si>
  <si>
    <t xml:space="preserve">openESCC-3-3600</t>
  </si>
  <si>
    <t xml:space="preserve">openESCC-2-3600</t>
  </si>
  <si>
    <t xml:space="preserve">openESCC-1.5-3600</t>
  </si>
  <si>
    <t xml:space="preserve">openESCC-1-3600</t>
  </si>
  <si>
    <t xml:space="preserve">openESFM-250-1800</t>
  </si>
  <si>
    <t xml:space="preserve">openESFM-200-1800</t>
  </si>
  <si>
    <t xml:space="preserve">openESFM-150-1800</t>
  </si>
  <si>
    <t xml:space="preserve">openESFM-125-1800</t>
  </si>
  <si>
    <t xml:space="preserve">openESFM-100-1800</t>
  </si>
  <si>
    <t xml:space="preserve">openESFM-75-1800</t>
  </si>
  <si>
    <t xml:space="preserve">openESFM-60-1800</t>
  </si>
  <si>
    <t xml:space="preserve">openESFM-50-1800</t>
  </si>
  <si>
    <t xml:space="preserve">openESFM-40-1800</t>
  </si>
  <si>
    <t xml:space="preserve">openESFM-30-1800</t>
  </si>
  <si>
    <t xml:space="preserve">openESFM-25-1800</t>
  </si>
  <si>
    <t xml:space="preserve">openESFM-20-1800</t>
  </si>
  <si>
    <t xml:space="preserve">openESFM-15-1800</t>
  </si>
  <si>
    <t xml:space="preserve">openESFM-10-1800</t>
  </si>
  <si>
    <t xml:space="preserve">openESFM-7.5-1800</t>
  </si>
  <si>
    <t xml:space="preserve">openESFM-5-1800</t>
  </si>
  <si>
    <t xml:space="preserve">openESFM-3-1800</t>
  </si>
  <si>
    <t xml:space="preserve">openESFM-2-1800</t>
  </si>
  <si>
    <t xml:space="preserve">openESFM-1.5-1800</t>
  </si>
  <si>
    <t xml:space="preserve">openESFM-1-1800</t>
  </si>
  <si>
    <t xml:space="preserve">openESFM-250-3600</t>
  </si>
  <si>
    <t xml:space="preserve">openESFM-200-3600</t>
  </si>
  <si>
    <t xml:space="preserve">openESFM-150-3600</t>
  </si>
  <si>
    <t xml:space="preserve">openESFM-125-3600</t>
  </si>
  <si>
    <t xml:space="preserve">openESFM-100-3600</t>
  </si>
  <si>
    <t xml:space="preserve">openESFM-75-3600</t>
  </si>
  <si>
    <t xml:space="preserve">openESFM-60-3600</t>
  </si>
  <si>
    <t xml:space="preserve">openESFM-50-3600</t>
  </si>
  <si>
    <t xml:space="preserve">openESFM-40-3600</t>
  </si>
  <si>
    <t xml:space="preserve">openESFM-30-3600</t>
  </si>
  <si>
    <t xml:space="preserve">openESFM-25-3600</t>
  </si>
  <si>
    <t xml:space="preserve">openESFM-20-3600</t>
  </si>
  <si>
    <t xml:space="preserve">openESFM-15-3600</t>
  </si>
  <si>
    <t xml:space="preserve">openESFM-10-3600</t>
  </si>
  <si>
    <t xml:space="preserve">openESFM-7.5-3600</t>
  </si>
  <si>
    <t xml:space="preserve">openESFM-5-3600</t>
  </si>
  <si>
    <t xml:space="preserve">openESFM-3-3600</t>
  </si>
  <si>
    <t xml:space="preserve">openESFM-2-3600</t>
  </si>
  <si>
    <t xml:space="preserve">openESFM-1.5-3600</t>
  </si>
  <si>
    <t xml:space="preserve">openESFM-1-3600</t>
  </si>
  <si>
    <t xml:space="preserve">openIL-250-1800</t>
  </si>
  <si>
    <t xml:space="preserve">openIL-200-1800</t>
  </si>
  <si>
    <t xml:space="preserve">openIL-150-1800</t>
  </si>
  <si>
    <t xml:space="preserve">openIL-125-1800</t>
  </si>
  <si>
    <t xml:space="preserve">openIL-100-1800</t>
  </si>
  <si>
    <t xml:space="preserve">openIL-75-1800</t>
  </si>
  <si>
    <t xml:space="preserve">openIL-60-1800</t>
  </si>
  <si>
    <t xml:space="preserve">openIL-50-1800</t>
  </si>
  <si>
    <t xml:space="preserve">openIL-40-1800</t>
  </si>
  <si>
    <t xml:space="preserve">openIL-30-1800</t>
  </si>
  <si>
    <t xml:space="preserve">openIL-25-1800</t>
  </si>
  <si>
    <t xml:space="preserve">openIL-20-1800</t>
  </si>
  <si>
    <t xml:space="preserve">openIL-15-1800</t>
  </si>
  <si>
    <t xml:space="preserve">openIL-10-1800</t>
  </si>
  <si>
    <t xml:space="preserve">openIL-7.5-1800</t>
  </si>
  <si>
    <t xml:space="preserve">openIL-5-1800</t>
  </si>
  <si>
    <t xml:space="preserve">openIL-3-1800</t>
  </si>
  <si>
    <t xml:space="preserve">openIL-2-1800</t>
  </si>
  <si>
    <t xml:space="preserve">openIL-1.5-1800</t>
  </si>
  <si>
    <t xml:space="preserve">openIL-1-1800</t>
  </si>
  <si>
    <t xml:space="preserve">openIL-250-3600</t>
  </si>
  <si>
    <t xml:space="preserve">openIL-200-3600</t>
  </si>
  <si>
    <t xml:space="preserve">openIL-150-3600</t>
  </si>
  <si>
    <t xml:space="preserve">openIL-125-3600</t>
  </si>
  <si>
    <t xml:space="preserve">openIL-100-3600</t>
  </si>
  <si>
    <t xml:space="preserve">openIL-75-3600</t>
  </si>
  <si>
    <t xml:space="preserve">openIL-60-3600</t>
  </si>
  <si>
    <t xml:space="preserve">openIL-50-3600</t>
  </si>
  <si>
    <t xml:space="preserve">openIL-40-3600</t>
  </si>
  <si>
    <t xml:space="preserve">openIL-30-3600</t>
  </si>
  <si>
    <t xml:space="preserve">openIL-25-3600</t>
  </si>
  <si>
    <t xml:space="preserve">openIL-20-3600</t>
  </si>
  <si>
    <t xml:space="preserve">openIL-15-3600</t>
  </si>
  <si>
    <t xml:space="preserve">openIL-10-3600</t>
  </si>
  <si>
    <t xml:space="preserve">openIL-7.5-3600</t>
  </si>
  <si>
    <t xml:space="preserve">openIL-5-3600</t>
  </si>
  <si>
    <t xml:space="preserve">openIL-3-3600</t>
  </si>
  <si>
    <t xml:space="preserve">openIL-2-3600</t>
  </si>
  <si>
    <t xml:space="preserve">openIL-1.5-3600</t>
  </si>
  <si>
    <t xml:space="preserve">openIL-1-3600</t>
  </si>
  <si>
    <t xml:space="preserve">openRSV-250-1800</t>
  </si>
  <si>
    <t xml:space="preserve">openRSV-200-1800</t>
  </si>
  <si>
    <t xml:space="preserve">openRSV-150-1800</t>
  </si>
  <si>
    <t xml:space="preserve">openRSV-125-1800</t>
  </si>
  <si>
    <t xml:space="preserve">openRSV-100-1800</t>
  </si>
  <si>
    <t xml:space="preserve">openRSV-75-1800</t>
  </si>
  <si>
    <t xml:space="preserve">openRSV-60-1800</t>
  </si>
  <si>
    <t xml:space="preserve">openRSV-50-1800</t>
  </si>
  <si>
    <t xml:space="preserve">openRSV-40-1800</t>
  </si>
  <si>
    <t xml:space="preserve">openRSV-30-1800</t>
  </si>
  <si>
    <t xml:space="preserve">openRSV-25-1800</t>
  </si>
  <si>
    <t xml:space="preserve">openRSV-20-1800</t>
  </si>
  <si>
    <t xml:space="preserve">openRSV-15-1800</t>
  </si>
  <si>
    <t xml:space="preserve">openRSV-10-1800</t>
  </si>
  <si>
    <t xml:space="preserve">openRSV-7.5-1800</t>
  </si>
  <si>
    <t xml:space="preserve">openRSV-5-1800</t>
  </si>
  <si>
    <t xml:space="preserve">openRSV-3-1800</t>
  </si>
  <si>
    <t xml:space="preserve">openRSV-2-1800</t>
  </si>
  <si>
    <t xml:space="preserve">openRSV-1.5-1800</t>
  </si>
  <si>
    <t xml:space="preserve">openRSV-1-1800</t>
  </si>
  <si>
    <t xml:space="preserve">openRSV-250-3600</t>
  </si>
  <si>
    <t xml:space="preserve">openRSV-200-3600</t>
  </si>
  <si>
    <t xml:space="preserve">openRSV-150-3600</t>
  </si>
  <si>
    <t xml:space="preserve">openRSV-125-3600</t>
  </si>
  <si>
    <t xml:space="preserve">openRSV-100-3600</t>
  </si>
  <si>
    <t xml:space="preserve">openRSV-75-3600</t>
  </si>
  <si>
    <t xml:space="preserve">openRSV-60-3600</t>
  </si>
  <si>
    <t xml:space="preserve">openRSV-50-3600</t>
  </si>
  <si>
    <t xml:space="preserve">openRSV-40-3600</t>
  </si>
  <si>
    <t xml:space="preserve">openRSV-30-3600</t>
  </si>
  <si>
    <t xml:space="preserve">openRSV-25-3600</t>
  </si>
  <si>
    <t xml:space="preserve">openRSV-20-3600</t>
  </si>
  <si>
    <t xml:space="preserve">openRSV-15-3600</t>
  </si>
  <si>
    <t xml:space="preserve">openRSV-10-3600</t>
  </si>
  <si>
    <t xml:space="preserve">openRSV-7.5-3600</t>
  </si>
  <si>
    <t xml:space="preserve">openRSV-5-3600</t>
  </si>
  <si>
    <t xml:space="preserve">openRSV-3-3600</t>
  </si>
  <si>
    <t xml:space="preserve">openRSV-2-3600</t>
  </si>
  <si>
    <t xml:space="preserve">openRSV-1.5-3600</t>
  </si>
  <si>
    <t xml:space="preserve">openRSV-1-3600</t>
  </si>
  <si>
    <t xml:space="preserve">enclosedESCC-250-1800</t>
  </si>
  <si>
    <t xml:space="preserve">enclosedESCC-200-1800</t>
  </si>
  <si>
    <t xml:space="preserve">enclosedESCC-150-1800</t>
  </si>
  <si>
    <t xml:space="preserve">enclosedESCC-125-1800</t>
  </si>
  <si>
    <t xml:space="preserve">enclosedESCC-100-1800</t>
  </si>
  <si>
    <t xml:space="preserve">enclosedESCC-75-1800</t>
  </si>
  <si>
    <t xml:space="preserve">enclosedESCC-60-1800</t>
  </si>
  <si>
    <t xml:space="preserve">enclosedESCC-50-1800</t>
  </si>
  <si>
    <t xml:space="preserve">enclosedESCC-40-1800</t>
  </si>
  <si>
    <t xml:space="preserve">enclosedESCC-30-1800</t>
  </si>
  <si>
    <t xml:space="preserve">enclosedESCC-25-1800</t>
  </si>
  <si>
    <t xml:space="preserve">enclosedESCC-20-1800</t>
  </si>
  <si>
    <t xml:space="preserve">enclosedESCC-15-1800</t>
  </si>
  <si>
    <t xml:space="preserve">enclosedESCC-10-1800</t>
  </si>
  <si>
    <t xml:space="preserve">enclosedESCC-7.5-1800</t>
  </si>
  <si>
    <t xml:space="preserve">enclosedESCC-5-1800</t>
  </si>
  <si>
    <t xml:space="preserve">enclosedESCC-3-1800</t>
  </si>
  <si>
    <t xml:space="preserve">enclosedESCC-2-1800</t>
  </si>
  <si>
    <t xml:space="preserve">enclosedESCC-1.5-1800</t>
  </si>
  <si>
    <t xml:space="preserve">enclosedESCC-1-1800</t>
  </si>
  <si>
    <t xml:space="preserve">1/.75</t>
  </si>
  <si>
    <t xml:space="preserve">enclosedESCC-250-3600</t>
  </si>
  <si>
    <t xml:space="preserve">1.5/1.1</t>
  </si>
  <si>
    <t xml:space="preserve">enclosedESCC-200-3600</t>
  </si>
  <si>
    <t xml:space="preserve">2/1.5</t>
  </si>
  <si>
    <t xml:space="preserve">enclosedESCC-150-3600</t>
  </si>
  <si>
    <t xml:space="preserve">3/2.2</t>
  </si>
  <si>
    <t xml:space="preserve">enclosedESCC-125-3600</t>
  </si>
  <si>
    <t xml:space="preserve">5/3.7</t>
  </si>
  <si>
    <t xml:space="preserve">enclosedESCC-100-3600</t>
  </si>
  <si>
    <t xml:space="preserve">7.5/5.5</t>
  </si>
  <si>
    <t xml:space="preserve">enclosedESCC-75-3600</t>
  </si>
  <si>
    <t xml:space="preserve">10/7.5</t>
  </si>
  <si>
    <t xml:space="preserve">enclosedESCC-60-3600</t>
  </si>
  <si>
    <t xml:space="preserve">15/11</t>
  </si>
  <si>
    <t xml:space="preserve">enclosedESCC-50-3600</t>
  </si>
  <si>
    <t xml:space="preserve">20/15</t>
  </si>
  <si>
    <t xml:space="preserve">enclosedESCC-40-3600</t>
  </si>
  <si>
    <t xml:space="preserve">25/18.5</t>
  </si>
  <si>
    <t xml:space="preserve">enclosedESCC-30-3600</t>
  </si>
  <si>
    <t xml:space="preserve">30/22</t>
  </si>
  <si>
    <t xml:space="preserve">enclosedESCC-25-3600</t>
  </si>
  <si>
    <t xml:space="preserve">40/30</t>
  </si>
  <si>
    <t xml:space="preserve">enclosedESCC-20-3600</t>
  </si>
  <si>
    <t xml:space="preserve">50/37</t>
  </si>
  <si>
    <t xml:space="preserve">enclosedESCC-15-3600</t>
  </si>
  <si>
    <t xml:space="preserve">60/45</t>
  </si>
  <si>
    <t xml:space="preserve">enclosedESCC-10-3600</t>
  </si>
  <si>
    <t xml:space="preserve">75/55</t>
  </si>
  <si>
    <t xml:space="preserve">enclosedESCC-7.5-3600</t>
  </si>
  <si>
    <t xml:space="preserve">100/75</t>
  </si>
  <si>
    <t xml:space="preserve">enclosedESCC-5-3600</t>
  </si>
  <si>
    <t xml:space="preserve">125/90</t>
  </si>
  <si>
    <t xml:space="preserve">enclosedESCC-3-3600</t>
  </si>
  <si>
    <t xml:space="preserve">150/110</t>
  </si>
  <si>
    <t xml:space="preserve">enclosedESCC-2-3600</t>
  </si>
  <si>
    <t xml:space="preserve">200/150</t>
  </si>
  <si>
    <t xml:space="preserve">enclosedESCC-1.5-3600</t>
  </si>
  <si>
    <t xml:space="preserve">250/186</t>
  </si>
  <si>
    <t xml:space="preserve">enclosedESCC-1-3600</t>
  </si>
  <si>
    <t xml:space="preserve">enclosedESFM-250-1800</t>
  </si>
  <si>
    <t xml:space="preserve">enclosedESFM-200-1800</t>
  </si>
  <si>
    <t xml:space="preserve">enclosedESFM-150-1800</t>
  </si>
  <si>
    <t xml:space="preserve">enclosedESFM-125-1800</t>
  </si>
  <si>
    <t xml:space="preserve">enclosedESFM-100-1800</t>
  </si>
  <si>
    <t xml:space="preserve">enclosedESFM-75-1800</t>
  </si>
  <si>
    <t xml:space="preserve">enclosedESFM-60-1800</t>
  </si>
  <si>
    <t xml:space="preserve">enclosedESFM-50-1800</t>
  </si>
  <si>
    <t xml:space="preserve">enclosedESFM-40-1800</t>
  </si>
  <si>
    <t xml:space="preserve">enclosedESFM-30-1800</t>
  </si>
  <si>
    <t xml:space="preserve">enclosedESFM-25-1800</t>
  </si>
  <si>
    <t xml:space="preserve">enclosedESFM-20-1800</t>
  </si>
  <si>
    <t xml:space="preserve">enclosedESFM-15-1800</t>
  </si>
  <si>
    <t xml:space="preserve">enclosedESFM-10-1800</t>
  </si>
  <si>
    <t xml:space="preserve">enclosedESFM-7.5-1800</t>
  </si>
  <si>
    <t xml:space="preserve">enclosedESFM-5-1800</t>
  </si>
  <si>
    <t xml:space="preserve">enclosedESFM-3-1800</t>
  </si>
  <si>
    <t xml:space="preserve">enclosedESFM-2-1800</t>
  </si>
  <si>
    <t xml:space="preserve">enclosedESFM-1.5-1800</t>
  </si>
  <si>
    <t xml:space="preserve">enclosedESFM-1-1800</t>
  </si>
  <si>
    <t xml:space="preserve">enclosedESFM-250-3600</t>
  </si>
  <si>
    <t xml:space="preserve">enclosedESFM-200-3600</t>
  </si>
  <si>
    <t xml:space="preserve">enclosedESFM-150-3600</t>
  </si>
  <si>
    <t xml:space="preserve">enclosedESFM-125-3600</t>
  </si>
  <si>
    <t xml:space="preserve">enclosedESFM-100-3600</t>
  </si>
  <si>
    <t xml:space="preserve">enclosedESFM-75-3600</t>
  </si>
  <si>
    <t xml:space="preserve">enclosedESFM-60-3600</t>
  </si>
  <si>
    <t xml:space="preserve">enclosedESFM-50-3600</t>
  </si>
  <si>
    <t xml:space="preserve">enclosedESFM-40-3600</t>
  </si>
  <si>
    <t xml:space="preserve">enclosedESFM-30-3600</t>
  </si>
  <si>
    <t xml:space="preserve">enclosedESFM-25-3600</t>
  </si>
  <si>
    <t xml:space="preserve">enclosedESFM-20-3600</t>
  </si>
  <si>
    <t xml:space="preserve">enclosedESFM-15-3600</t>
  </si>
  <si>
    <t xml:space="preserve">enclosedESFM-10-3600</t>
  </si>
  <si>
    <t xml:space="preserve">enclosedESFM-7.5-3600</t>
  </si>
  <si>
    <t xml:space="preserve">enclosedESFM-5-3600</t>
  </si>
  <si>
    <t xml:space="preserve">enclosedESFM-3-3600</t>
  </si>
  <si>
    <t xml:space="preserve">enclosedESFM-2-3600</t>
  </si>
  <si>
    <t xml:space="preserve">enclosedESFM-1.5-3600</t>
  </si>
  <si>
    <t xml:space="preserve">enclosedESFM-1-3600</t>
  </si>
  <si>
    <t xml:space="preserve">enclosedIL-250-1800</t>
  </si>
  <si>
    <t xml:space="preserve">enclosedIL-200-1800</t>
  </si>
  <si>
    <t xml:space="preserve">enclosedIL-150-1800</t>
  </si>
  <si>
    <t xml:space="preserve">enclosedIL-125-1800</t>
  </si>
  <si>
    <t xml:space="preserve">enclosedIL-100-1800</t>
  </si>
  <si>
    <t xml:space="preserve">enclosedIL-75-1800</t>
  </si>
  <si>
    <t xml:space="preserve">enclosedIL-60-1800</t>
  </si>
  <si>
    <t xml:space="preserve">enclosedIL-50-1800</t>
  </si>
  <si>
    <t xml:space="preserve">enclosedIL-40-1800</t>
  </si>
  <si>
    <t xml:space="preserve">enclosedIL-30-1800</t>
  </si>
  <si>
    <t xml:space="preserve">enclosedIL-25-1800</t>
  </si>
  <si>
    <t xml:space="preserve">enclosedIL-20-1800</t>
  </si>
  <si>
    <t xml:space="preserve">enclosedIL-15-1800</t>
  </si>
  <si>
    <t xml:space="preserve">enclosedIL-10-1800</t>
  </si>
  <si>
    <t xml:space="preserve">enclosedIL-7.5-1800</t>
  </si>
  <si>
    <t xml:space="preserve">enclosedIL-5-1800</t>
  </si>
  <si>
    <t xml:space="preserve">enclosedIL-3-1800</t>
  </si>
  <si>
    <t xml:space="preserve">enclosedIL-2-1800</t>
  </si>
  <si>
    <t xml:space="preserve">enclosedIL-1.5-1800</t>
  </si>
  <si>
    <t xml:space="preserve">enclosedIL-1-1800</t>
  </si>
  <si>
    <t xml:space="preserve">enclosedIL-250-3600</t>
  </si>
  <si>
    <t xml:space="preserve">enclosedIL-200-3600</t>
  </si>
  <si>
    <t xml:space="preserve">enclosedIL-150-3600</t>
  </si>
  <si>
    <t xml:space="preserve">enclosedIL-125-3600</t>
  </si>
  <si>
    <t xml:space="preserve">enclosedIL-100-3600</t>
  </si>
  <si>
    <t xml:space="preserve">enclosedIL-75-3600</t>
  </si>
  <si>
    <t xml:space="preserve">enclosedIL-60-3600</t>
  </si>
  <si>
    <t xml:space="preserve">enclosedIL-50-3600</t>
  </si>
  <si>
    <t xml:space="preserve">enclosedIL-40-3600</t>
  </si>
  <si>
    <t xml:space="preserve">enclosedIL-30-3600</t>
  </si>
  <si>
    <t xml:space="preserve">enclosedIL-25-3600</t>
  </si>
  <si>
    <t xml:space="preserve">enclosedIL-20-3600</t>
  </si>
  <si>
    <t xml:space="preserve">enclosedIL-15-3600</t>
  </si>
  <si>
    <t xml:space="preserve">enclosedIL-10-3600</t>
  </si>
  <si>
    <t xml:space="preserve">enclosedIL-7.5-3600</t>
  </si>
  <si>
    <t xml:space="preserve">enclosedIL-5-3600</t>
  </si>
  <si>
    <t xml:space="preserve">enclosedIL-3-3600</t>
  </si>
  <si>
    <t xml:space="preserve">enclosedIL-2-3600</t>
  </si>
  <si>
    <t xml:space="preserve">enclosedIL-1.5-3600</t>
  </si>
  <si>
    <t xml:space="preserve">enclosedIL-1-3600</t>
  </si>
  <si>
    <t xml:space="preserve">enclosedRSV-250-1800</t>
  </si>
  <si>
    <t xml:space="preserve">enclosedRSV-200-1800</t>
  </si>
  <si>
    <t xml:space="preserve">enclosedRSV-150-1800</t>
  </si>
  <si>
    <t xml:space="preserve">enclosedRSV-125-1800</t>
  </si>
  <si>
    <t xml:space="preserve">enclosedRSV-100-1800</t>
  </si>
  <si>
    <t xml:space="preserve">enclosedRSV-75-1800</t>
  </si>
  <si>
    <t xml:space="preserve">enclosedRSV-60-1800</t>
  </si>
  <si>
    <t xml:space="preserve">enclosedRSV-50-1800</t>
  </si>
  <si>
    <t xml:space="preserve">enclosedRSV-40-1800</t>
  </si>
  <si>
    <t xml:space="preserve">enclosedRSV-30-1800</t>
  </si>
  <si>
    <t xml:space="preserve">enclosedRSV-25-1800</t>
  </si>
  <si>
    <t xml:space="preserve">enclosedRSV-20-1800</t>
  </si>
  <si>
    <t xml:space="preserve">enclosedRSV-15-1800</t>
  </si>
  <si>
    <t xml:space="preserve">enclosedRSV-10-1800</t>
  </si>
  <si>
    <t xml:space="preserve">enclosedRSV-7.5-1800</t>
  </si>
  <si>
    <t xml:space="preserve">enclosedRSV-5-1800</t>
  </si>
  <si>
    <t xml:space="preserve">enclosedRSV-3-1800</t>
  </si>
  <si>
    <t xml:space="preserve">enclosedRSV-2-1800</t>
  </si>
  <si>
    <t xml:space="preserve">enclosedRSV-1.5-1800</t>
  </si>
  <si>
    <t xml:space="preserve">enclosedRSV-1-1800</t>
  </si>
  <si>
    <t xml:space="preserve">enclosedRSV-250-3600</t>
  </si>
  <si>
    <t xml:space="preserve">enclosedRSV-200-3600</t>
  </si>
  <si>
    <t xml:space="preserve">enclosedRSV-150-3600</t>
  </si>
  <si>
    <t xml:space="preserve">enclosedRSV-125-3600</t>
  </si>
  <si>
    <t xml:space="preserve">enclosedRSV-100-3600</t>
  </si>
  <si>
    <t xml:space="preserve">enclosedRSV-75-3600</t>
  </si>
  <si>
    <t xml:space="preserve">enclosedRSV-60-3600</t>
  </si>
  <si>
    <t xml:space="preserve">enclosedRSV-50-3600</t>
  </si>
  <si>
    <t xml:space="preserve">enclosedRSV-40-3600</t>
  </si>
  <si>
    <t xml:space="preserve">enclosedRSV-30-3600</t>
  </si>
  <si>
    <t xml:space="preserve">enclosedRSV-25-3600</t>
  </si>
  <si>
    <t xml:space="preserve">enclosedRSV-20-3600</t>
  </si>
  <si>
    <t xml:space="preserve">enclosedRSV-15-3600</t>
  </si>
  <si>
    <t xml:space="preserve">enclosedRSV-10-3600</t>
  </si>
  <si>
    <t xml:space="preserve">enclosedRSV-7.5-3600</t>
  </si>
  <si>
    <t xml:space="preserve">enclosedRSV-5-3600</t>
  </si>
  <si>
    <t xml:space="preserve">enclosedRSV-3-3600</t>
  </si>
  <si>
    <t xml:space="preserve">enclosedRSV-2-3600</t>
  </si>
  <si>
    <t xml:space="preserve">enclosedRSV-1.5-3600</t>
  </si>
  <si>
    <t xml:space="preserve">enclosedRSV-1-3600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</si>
</sst>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00"/>
    <numFmt numFmtId="166" formatCode="0.00"/>
    <numFmt numFmtId="167" formatCode="0.00000"/>
    <numFmt numFmtId="168" formatCode="0.000"/>
    <numFmt numFmtId="169" formatCode="0"/>
    <numFmt numFmtId="170" formatCode="0.000000"/>
    <numFmt numFmtId="171" formatCode="#,##0"/>
    <numFmt numFmtId="172" formatCode="0.0"/>
    <numFmt numFmtId="173" formatCode="@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vertAlign val="subscript"/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vertAlign val="subscript"/>
      <sz val="18"/>
      <color rgb="FF000000"/>
      <name val="Calibri"/>
      <family val="2"/>
      <charset val="1"/>
    </font>
    <font>
      <vertAlign val="superscript"/>
      <sz val="22"/>
      <color rgb="FF000000"/>
      <name val="Calibri"/>
      <family val="2"/>
      <charset val="1"/>
    </font>
    <font>
      <b val="true"/>
      <vertAlign val="subscript"/>
      <sz val="18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vertAlign val="subscript"/>
      <sz val="22"/>
      <color rgb="FF000000"/>
      <name val="Calibri"/>
      <family val="2"/>
      <charset val="1"/>
    </font>
    <font>
      <b val="true"/>
      <vertAlign val="superscript"/>
      <sz val="18"/>
      <color rgb="FF000000"/>
      <name val="Calibri"/>
      <family val="2"/>
      <charset val="1"/>
    </font>
    <font>
      <sz val="11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1"/>
      <color rgb="FFCE181E"/>
      <name val="Calibri"/>
      <family val="2"/>
      <charset val="1"/>
    </font>
    <font>
      <b val="true"/>
      <sz val="11"/>
      <color rgb="FFCE181E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8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</font>
    <font>
      <sz val="12"/>
      <color rgb="FF000000"/>
      <name val="Calibri"/>
      <family val="2"/>
      <charset val="1"/>
    </font>
    <font>
      <sz val="12"/>
      <color rgb="FFCE181E"/>
      <name val="Calibri"/>
      <family val="2"/>
      <charset val="1"/>
    </font>
    <font>
      <sz val="22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vertAlign val="subscript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rgb="FFFAA61A"/>
      </patternFill>
    </fill>
    <fill>
      <patternFill patternType="solid">
        <fgColor rgb="FF4BACC6"/>
        <bgColor rgb="FF4F81BD"/>
      </patternFill>
    </fill>
    <fill>
      <patternFill patternType="solid">
        <fgColor rgb="FFF79646"/>
        <bgColor rgb="FFFAA61A"/>
      </patternFill>
    </fill>
    <fill>
      <patternFill patternType="solid">
        <fgColor rgb="FF92D050"/>
        <bgColor rgb="FFBFBFBF"/>
      </patternFill>
    </fill>
    <fill>
      <patternFill patternType="solid">
        <fgColor rgb="FFFFFF00"/>
        <bgColor rgb="FFFFF200"/>
      </patternFill>
    </fill>
    <fill>
      <patternFill patternType="solid">
        <fgColor rgb="FF00FF00"/>
        <bgColor rgb="FF00B050"/>
      </patternFill>
    </fill>
    <fill>
      <patternFill patternType="solid">
        <fgColor rgb="FF0066B3"/>
        <bgColor rgb="FF008080"/>
      </patternFill>
    </fill>
    <fill>
      <patternFill patternType="solid">
        <fgColor rgb="FFEF413D"/>
        <bgColor rgb="FFCE181E"/>
      </patternFill>
    </fill>
    <fill>
      <patternFill patternType="solid">
        <fgColor rgb="FFFFF200"/>
        <bgColor rgb="FFFFFF00"/>
      </patternFill>
    </fill>
    <fill>
      <patternFill patternType="solid">
        <fgColor rgb="FFBCAED5"/>
        <bgColor rgb="FFBFBFBF"/>
      </patternFill>
    </fill>
    <fill>
      <patternFill patternType="solid">
        <fgColor rgb="FFFFFFFF"/>
        <bgColor rgb="FFFFFFCC"/>
      </patternFill>
    </fill>
    <fill>
      <patternFill patternType="solid">
        <fgColor rgb="FFFAA61A"/>
        <bgColor rgb="FFF79646"/>
      </patternFill>
    </fill>
    <fill>
      <patternFill patternType="solid">
        <fgColor rgb="FF00B050"/>
        <bgColor rgb="FF008080"/>
      </patternFill>
    </fill>
    <fill>
      <patternFill patternType="solid">
        <fgColor rgb="FFFF0000"/>
        <bgColor rgb="FFCE181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8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6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5" fillId="1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2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1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1" fontId="5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1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6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5" borderId="10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1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5" fillId="1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5" fillId="1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2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30" fillId="12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30" fillId="6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79646"/>
      <rgbColor rgb="FF0066B3"/>
      <rgbColor rgb="FFD9D9D9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CAED5"/>
      <rgbColor rgb="FFFFCC99"/>
      <rgbColor rgb="FF3366FF"/>
      <rgbColor rgb="FF4BACC6"/>
      <rgbColor rgb="FF92D050"/>
      <rgbColor rgb="FFFFC000"/>
      <rgbColor rgb="FFFAA61A"/>
      <rgbColor rgb="FFEF413D"/>
      <rgbColor rgb="FF595959"/>
      <rgbColor rgb="FF969696"/>
      <rgbColor rgb="FF003366"/>
      <rgbColor rgb="FF00B050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0.00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og"/>
            <c:forward val="0"/>
            <c:backward val="0"/>
            <c:dispRSqr val="0"/>
            <c:dispEq val="0"/>
          </c:trendline>
          <c:xVal>
            <c:numRef>
              <c:f>III_V!$BA$6:$BA$16</c:f>
              <c:numCache>
                <c:formatCode>General</c:formatCode>
                <c:ptCount val="11"/>
                <c:pt idx="0">
                  <c:v>1.05097152456164</c:v>
                </c:pt>
                <c:pt idx="1">
                  <c:v>1.24720895970643</c:v>
                </c:pt>
                <c:pt idx="2">
                  <c:v>1.35079842600125</c:v>
                </c:pt>
                <c:pt idx="3">
                  <c:v>2.55758519144597</c:v>
                </c:pt>
                <c:pt idx="4">
                  <c:v>6.92550393744152</c:v>
                </c:pt>
                <c:pt idx="5">
                  <c:v>24.3105156305855</c:v>
                </c:pt>
                <c:pt idx="6">
                  <c:v>36.5473207670772</c:v>
                </c:pt>
                <c:pt idx="7">
                  <c:v>47.2577064510518</c:v>
                </c:pt>
                <c:pt idx="8">
                  <c:v>65.6254921016305</c:v>
                </c:pt>
                <c:pt idx="9">
                  <c:v>95.6353969157461</c:v>
                </c:pt>
                <c:pt idx="10">
                  <c:v>184.756580152351</c:v>
                </c:pt>
              </c:numCache>
            </c:numRef>
          </c:xVal>
          <c:yVal>
            <c:numRef>
              <c:f>III_V!$BC$6:$BC$16</c:f>
              <c:numCache>
                <c:formatCode>General</c:formatCode>
                <c:ptCount val="0"/>
              </c:numCache>
            </c:numRef>
          </c:yVal>
          <c:smooth val="0"/>
        </c:ser>
        <c:axId val="2043793"/>
        <c:axId val="69529474"/>
      </c:scatterChart>
      <c:valAx>
        <c:axId val="20437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29474"/>
        <c:crosses val="autoZero"/>
        <c:crossBetween val="midCat"/>
      </c:valAx>
      <c:valAx>
        <c:axId val="6952947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4379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48</xdr:col>
      <xdr:colOff>95400</xdr:colOff>
      <xdr:row>17</xdr:row>
      <xdr:rowOff>33480</xdr:rowOff>
    </xdr:from>
    <xdr:to>
      <xdr:col>50</xdr:col>
      <xdr:colOff>1084320</xdr:colOff>
      <xdr:row>27</xdr:row>
      <xdr:rowOff>131760</xdr:rowOff>
    </xdr:to>
    <xdr:graphicFrame>
      <xdr:nvGraphicFramePr>
        <xdr:cNvPr id="0" name="Chart 1"/>
        <xdr:cNvGraphicFramePr/>
      </xdr:nvGraphicFramePr>
      <xdr:xfrm>
        <a:off x="124698240" y="4005360"/>
        <a:ext cx="6449760" cy="255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34"/>
  <sheetViews>
    <sheetView showFormulas="false" showGridLines="true" showRowColHeaders="true" showZeros="true" rightToLeft="false" tabSelected="false" showOutlineSymbols="true" defaultGridColor="true" view="normal" topLeftCell="Z1" colorId="64" zoomScale="100" zoomScaleNormal="100" zoomScalePageLayoutView="100" workbookViewId="0">
      <selection pane="topLeft" activeCell="AD12" activeCellId="0" sqref="AD12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18" min="2" style="0" width="30.71"/>
    <col collapsed="false" customWidth="true" hidden="false" outlineLevel="0" max="19" min="19" style="0" width="36"/>
    <col collapsed="false" customWidth="true" hidden="false" outlineLevel="0" max="21" min="20" style="0" width="30.71"/>
    <col collapsed="false" customWidth="true" hidden="false" outlineLevel="0" max="22" min="22" style="0" width="54.15"/>
    <col collapsed="false" customWidth="true" hidden="true" outlineLevel="0" max="23" min="23" style="0" width="8.7"/>
    <col collapsed="false" customWidth="true" hidden="true" outlineLevel="0" max="25" min="24" style="0" width="5.85"/>
    <col collapsed="false" customWidth="true" hidden="false" outlineLevel="0" max="26" min="26" style="0" width="38"/>
    <col collapsed="false" customWidth="true" hidden="false" outlineLevel="0" max="54" min="27" style="0" width="30.71"/>
    <col collapsed="false" customWidth="true" hidden="true" outlineLevel="0" max="55" min="55" style="0" width="30.71"/>
    <col collapsed="false" customWidth="true" hidden="false" outlineLevel="0" max="56" min="56" style="0" width="30.71"/>
    <col collapsed="false" customWidth="true" hidden="false" outlineLevel="0" max="1025" min="57" style="0" width="9.14"/>
  </cols>
  <sheetData>
    <row r="1" customFormat="false" ht="15.7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6" t="s">
        <v>2</v>
      </c>
      <c r="J2" s="6"/>
      <c r="K2" s="6"/>
      <c r="L2" s="6"/>
      <c r="M2" s="6"/>
      <c r="N2" s="6"/>
      <c r="O2" s="6"/>
      <c r="P2" s="6"/>
      <c r="Q2" s="6"/>
      <c r="R2" s="6"/>
      <c r="S2" s="7"/>
      <c r="T2" s="8"/>
      <c r="U2" s="8"/>
      <c r="V2" s="8"/>
      <c r="W2" s="8"/>
      <c r="X2" s="8"/>
      <c r="Y2" s="8"/>
      <c r="Z2" s="8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</row>
    <row r="3" customFormat="false" ht="33" hidden="false" customHeight="false" outlineLevel="0" collapsed="false">
      <c r="A3" s="10"/>
      <c r="B3" s="11"/>
      <c r="C3" s="11"/>
      <c r="D3" s="11"/>
      <c r="E3" s="11"/>
      <c r="F3" s="12" t="s">
        <v>3</v>
      </c>
      <c r="G3" s="12"/>
      <c r="H3" s="13" t="s">
        <v>4</v>
      </c>
      <c r="I3" s="14"/>
      <c r="J3" s="14" t="s">
        <v>5</v>
      </c>
      <c r="K3" s="15" t="s">
        <v>6</v>
      </c>
      <c r="L3" s="15" t="s">
        <v>7</v>
      </c>
      <c r="M3" s="15" t="s">
        <v>8</v>
      </c>
      <c r="N3" s="15" t="s">
        <v>9</v>
      </c>
      <c r="O3" s="15" t="s">
        <v>10</v>
      </c>
      <c r="P3" s="15" t="s">
        <v>11</v>
      </c>
      <c r="Q3" s="15" t="s">
        <v>12</v>
      </c>
      <c r="R3" s="11" t="s">
        <v>13</v>
      </c>
      <c r="S3" s="15"/>
      <c r="T3" s="16" t="s">
        <v>14</v>
      </c>
      <c r="U3" s="16"/>
      <c r="V3" s="16"/>
      <c r="W3" s="16"/>
      <c r="X3" s="16"/>
      <c r="Y3" s="16"/>
      <c r="Z3" s="15" t="s">
        <v>15</v>
      </c>
      <c r="AA3" s="15" t="s">
        <v>16</v>
      </c>
      <c r="AB3" s="15" t="s">
        <v>17</v>
      </c>
      <c r="AC3" s="15" t="s">
        <v>18</v>
      </c>
      <c r="AD3" s="15" t="s">
        <v>19</v>
      </c>
      <c r="AE3" s="11" t="s">
        <v>20</v>
      </c>
      <c r="AF3" s="11" t="s">
        <v>21</v>
      </c>
      <c r="AG3" s="11" t="s">
        <v>22</v>
      </c>
      <c r="AH3" s="11" t="s">
        <v>23</v>
      </c>
      <c r="AI3" s="11" t="s">
        <v>24</v>
      </c>
      <c r="AJ3" s="11" t="s">
        <v>25</v>
      </c>
      <c r="AK3" s="11" t="s">
        <v>26</v>
      </c>
      <c r="AL3" s="11" t="s">
        <v>27</v>
      </c>
      <c r="AM3" s="11" t="s">
        <v>28</v>
      </c>
      <c r="AN3" s="11" t="s">
        <v>29</v>
      </c>
      <c r="AO3" s="11" t="s">
        <v>30</v>
      </c>
      <c r="AP3" s="11" t="s">
        <v>31</v>
      </c>
      <c r="AQ3" s="11" t="s">
        <v>32</v>
      </c>
      <c r="AR3" s="11" t="s">
        <v>33</v>
      </c>
      <c r="AS3" s="11" t="s">
        <v>34</v>
      </c>
      <c r="AT3" s="11" t="s">
        <v>35</v>
      </c>
      <c r="AU3" s="11" t="s">
        <v>36</v>
      </c>
      <c r="AV3" s="11" t="s">
        <v>37</v>
      </c>
      <c r="AW3" s="11" t="s">
        <v>38</v>
      </c>
      <c r="AX3" s="11" t="s">
        <v>39</v>
      </c>
      <c r="AY3" s="11" t="s">
        <v>40</v>
      </c>
      <c r="AZ3" s="11" t="s">
        <v>41</v>
      </c>
      <c r="BA3" s="11" t="s">
        <v>42</v>
      </c>
      <c r="BB3" s="11" t="s">
        <v>43</v>
      </c>
      <c r="BC3" s="11" t="s">
        <v>44</v>
      </c>
      <c r="BD3" s="11" t="s">
        <v>45</v>
      </c>
      <c r="BE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51</v>
      </c>
      <c r="G4" s="19" t="s">
        <v>52</v>
      </c>
      <c r="H4" s="19" t="s">
        <v>53</v>
      </c>
      <c r="I4" s="19" t="s">
        <v>54</v>
      </c>
      <c r="J4" s="19" t="s">
        <v>55</v>
      </c>
      <c r="K4" s="19" t="s">
        <v>56</v>
      </c>
      <c r="L4" s="19" t="s">
        <v>57</v>
      </c>
      <c r="M4" s="19" t="s">
        <v>58</v>
      </c>
      <c r="N4" s="19" t="s">
        <v>59</v>
      </c>
      <c r="O4" s="19" t="s">
        <v>60</v>
      </c>
      <c r="P4" s="19" t="s">
        <v>61</v>
      </c>
      <c r="Q4" s="19" t="s">
        <v>62</v>
      </c>
      <c r="R4" s="19" t="s">
        <v>63</v>
      </c>
      <c r="S4" s="7" t="s">
        <v>64</v>
      </c>
      <c r="T4" s="20" t="s">
        <v>65</v>
      </c>
      <c r="U4" s="20" t="s">
        <v>66</v>
      </c>
      <c r="V4" s="20" t="s">
        <v>67</v>
      </c>
      <c r="W4" s="20"/>
      <c r="X4" s="20"/>
      <c r="Y4" s="20"/>
      <c r="Z4" s="19" t="s">
        <v>68</v>
      </c>
      <c r="AA4" s="19" t="s">
        <v>69</v>
      </c>
      <c r="AB4" s="19" t="s">
        <v>70</v>
      </c>
      <c r="AC4" s="19" t="s">
        <v>71</v>
      </c>
      <c r="AD4" s="19" t="s">
        <v>72</v>
      </c>
      <c r="AE4" s="19" t="s">
        <v>73</v>
      </c>
      <c r="AF4" s="19" t="s">
        <v>74</v>
      </c>
      <c r="AG4" s="19" t="s">
        <v>75</v>
      </c>
      <c r="AH4" s="19" t="s">
        <v>76</v>
      </c>
      <c r="AI4" s="19" t="s">
        <v>77</v>
      </c>
      <c r="AJ4" s="19" t="s">
        <v>78</v>
      </c>
      <c r="AK4" s="19" t="s">
        <v>79</v>
      </c>
      <c r="AL4" s="19" t="s">
        <v>80</v>
      </c>
      <c r="AM4" s="19" t="s">
        <v>81</v>
      </c>
      <c r="AN4" s="19" t="s">
        <v>82</v>
      </c>
      <c r="AO4" s="19" t="s">
        <v>83</v>
      </c>
      <c r="AP4" s="19" t="s">
        <v>84</v>
      </c>
      <c r="AQ4" s="19" t="s">
        <v>85</v>
      </c>
      <c r="AR4" s="19" t="s">
        <v>86</v>
      </c>
      <c r="AS4" s="19" t="s">
        <v>87</v>
      </c>
      <c r="AT4" s="19" t="s">
        <v>88</v>
      </c>
      <c r="AU4" s="19" t="s">
        <v>89</v>
      </c>
      <c r="AV4" s="19" t="s">
        <v>90</v>
      </c>
      <c r="AW4" s="19" t="s">
        <v>91</v>
      </c>
      <c r="AX4" s="19" t="s">
        <v>92</v>
      </c>
      <c r="AY4" s="19" t="s">
        <v>93</v>
      </c>
      <c r="AZ4" s="19" t="s">
        <v>94</v>
      </c>
      <c r="BA4" s="19" t="s">
        <v>95</v>
      </c>
      <c r="BB4" s="19" t="s">
        <v>95</v>
      </c>
      <c r="BC4" s="19"/>
      <c r="BD4" s="19" t="s">
        <v>96</v>
      </c>
      <c r="BE4" s="21"/>
    </row>
    <row r="5" s="1" customFormat="true" ht="15" hidden="false" customHeight="false" outlineLevel="0" collapsed="false">
      <c r="A5" s="22" t="s">
        <v>97</v>
      </c>
      <c r="B5" s="23" t="s">
        <v>98</v>
      </c>
      <c r="C5" s="23" t="s">
        <v>99</v>
      </c>
      <c r="D5" s="24"/>
      <c r="E5" s="24"/>
      <c r="F5" s="25" t="s">
        <v>100</v>
      </c>
      <c r="G5" s="25"/>
      <c r="H5" s="25" t="s">
        <v>101</v>
      </c>
      <c r="I5" s="23" t="s">
        <v>102</v>
      </c>
      <c r="J5" s="23" t="s">
        <v>103</v>
      </c>
      <c r="K5" s="23" t="s">
        <v>104</v>
      </c>
      <c r="L5" s="23" t="s">
        <v>105</v>
      </c>
      <c r="M5" s="23" t="s">
        <v>106</v>
      </c>
      <c r="N5" s="23" t="s">
        <v>107</v>
      </c>
      <c r="O5" s="23" t="s">
        <v>108</v>
      </c>
      <c r="P5" s="23" t="s">
        <v>109</v>
      </c>
      <c r="Q5" s="23" t="s">
        <v>110</v>
      </c>
      <c r="R5" s="23" t="s">
        <v>111</v>
      </c>
      <c r="S5" s="4"/>
      <c r="T5" s="4"/>
      <c r="U5" s="4"/>
      <c r="V5" s="4"/>
      <c r="W5" s="4"/>
      <c r="X5" s="4"/>
      <c r="Y5" s="4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7"/>
      <c r="AL5" s="27"/>
      <c r="AM5" s="27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7"/>
      <c r="BC5" s="27"/>
      <c r="BD5" s="27"/>
      <c r="BE5" s="4"/>
    </row>
    <row r="6" s="39" customFormat="true" ht="15" hidden="false" customHeight="false" outlineLevel="0" collapsed="false">
      <c r="A6" s="28" t="str">
        <f aca="false">'III Database Fields'!H38</f>
        <v>N59774</v>
      </c>
      <c r="B6" s="29" t="str">
        <f aca="false">'III Database Fields'!H2</f>
        <v>xxx</v>
      </c>
      <c r="C6" s="29" t="n">
        <f aca="false">'III Database Fields'!H1</f>
        <v>7</v>
      </c>
      <c r="D6" s="29" t="s">
        <v>112</v>
      </c>
      <c r="E6" s="29" t="s">
        <v>112</v>
      </c>
      <c r="F6" s="29" t="n">
        <v>88.5</v>
      </c>
      <c r="G6" s="29" t="s">
        <v>113</v>
      </c>
      <c r="H6" s="29" t="n">
        <f aca="false">'III Database Fields'!H95</f>
        <v>1</v>
      </c>
      <c r="I6" s="30" t="str">
        <f aca="false">'III Database Fields'!H5</f>
        <v>ESFM</v>
      </c>
      <c r="J6" s="30" t="n">
        <f aca="false">'III Database Fields'!H32</f>
        <v>0.89</v>
      </c>
      <c r="K6" s="30" t="n">
        <f aca="false">'III Database Fields'!H92</f>
        <v>1800</v>
      </c>
      <c r="L6" s="30" t="n">
        <f aca="false">'III Database Fields'!H8</f>
        <v>1</v>
      </c>
      <c r="M6" s="30" t="n">
        <f aca="false">'III Database Fields'!H6</f>
        <v>1.12</v>
      </c>
      <c r="N6" s="30" t="n">
        <f aca="false">'III Database Fields'!H7</f>
        <v>1.17</v>
      </c>
      <c r="O6" s="30" t="n">
        <f aca="false">'III Database Fields'!H29</f>
        <v>1.5</v>
      </c>
      <c r="P6" s="31" t="n">
        <f aca="false">'III Database Fields'!H56</f>
        <v>86.5</v>
      </c>
      <c r="Q6" s="32" t="n">
        <f aca="false">'III Database Fields'!H70</f>
        <v>1.23208651685393</v>
      </c>
      <c r="R6" s="33" t="n">
        <f aca="false">'III Database Fields'!H33</f>
        <v>1.17473318792345</v>
      </c>
      <c r="S6" s="7" t="str">
        <f aca="false">G6&amp;I6&amp;-H6&amp;-K6</f>
        <v>openESFM-1-1800</v>
      </c>
      <c r="T6" s="20" t="n">
        <f aca="false">VLOOKUP(S6,'Minimum Motor'!O8:P327,2,0)</f>
        <v>85.5</v>
      </c>
      <c r="U6" s="20" t="str">
        <f aca="false">IF(T6&gt;F6,$U$18,$U$19)</f>
        <v>Proceed</v>
      </c>
      <c r="V6" s="20" t="n">
        <f aca="false">(INDEX('Minimum Motor'!$T$9:$T$47,(MATCH($F6,'Minimum Motor'!$S$9:$S$47,1)),1))-(INDEX('Minimum Motor'!$X$9:$X$47,MATCH($T6,'Minimum Motor'!$W$9:$W$47,-1),1))</f>
        <v>3</v>
      </c>
      <c r="W6" s="20" t="e">
        <f aca="false">(MATCH($P6,'minimum motor'!#ref!,1))</f>
        <v>#VALUE!</v>
      </c>
      <c r="X6" s="20" t="e">
        <f aca="false">V6+W6</f>
        <v>#VALUE!</v>
      </c>
      <c r="Y6" s="20" t="e">
        <f aca="false">INDEX('minimum motor'!#ref!,X6,1)</f>
        <v>#VALUE!</v>
      </c>
      <c r="Z6" s="20" t="n">
        <f aca="false">INDEX('Minimum Motor'!$S$9:$T$47,(((MATCH(III_V!$P6,'Minimum Motor'!$S$9:$S$47,1)))+III_V!$V6),1)</f>
        <v>89.5</v>
      </c>
      <c r="AA6" s="7" t="n">
        <f aca="false">(O6/(P6/100))-O6</f>
        <v>0.234104046242775</v>
      </c>
      <c r="AB6" s="20" t="n">
        <f aca="false">IF(L6/($O6+$AA6)&gt;=1, 1, L6/($O6+$AA6))</f>
        <v>0.576666666666667</v>
      </c>
      <c r="AC6" s="20" t="n">
        <f aca="false">IF(M6/($O6+$AA6)&gt;=1, 1, M6/($O6+$AA6))</f>
        <v>0.645866666666667</v>
      </c>
      <c r="AD6" s="20" t="n">
        <f aca="false">IF(N6/($O6+$AA6)&gt;=1, 1, N6/($O6+$AA6))</f>
        <v>0.6747</v>
      </c>
      <c r="AE6" s="7" t="n">
        <f aca="false">(-0.4508*(AB6)^3)+(1.2399*(AB6)^2)-(0.4301*AB6)+0.641</f>
        <v>0.718848826162963</v>
      </c>
      <c r="AF6" s="7" t="n">
        <f aca="false">(-0.4508*(AC6)^3)+(1.2399*(AC6)^2)-(0.4301*AC6)+0.641</f>
        <v>0.758975088451159</v>
      </c>
      <c r="AG6" s="7" t="n">
        <f aca="false">(-0.4508*(AD6)^3)+(1.2399*(AD6)^2)-(0.4301*AD6)+0.641</f>
        <v>0.776781562369871</v>
      </c>
      <c r="AH6" s="34" t="n">
        <f aca="false">AE6*$AA6</f>
        <v>0.168285418841618</v>
      </c>
      <c r="AI6" s="34" t="n">
        <f aca="false">AF6*$AA6</f>
        <v>0.177679139203884</v>
      </c>
      <c r="AJ6" s="34" t="n">
        <f aca="false">AG6*$AA6</f>
        <v>0.181847706797571</v>
      </c>
      <c r="AK6" s="34" t="n">
        <f aca="false">(L6-AH6)</f>
        <v>0.831714581158381</v>
      </c>
      <c r="AL6" s="34" t="n">
        <f aca="false">(M6-AI6)</f>
        <v>0.942320860796116</v>
      </c>
      <c r="AM6" s="34" t="n">
        <f aca="false">(N6-AJ6)</f>
        <v>0.988152293202429</v>
      </c>
      <c r="AN6" s="34" t="n">
        <f aca="false">(O6/(Z6/100))-O6</f>
        <v>0.175977653631285</v>
      </c>
      <c r="AO6" s="34" t="n">
        <f aca="false">IF((AK6/$O6)&gt;=1,1,AK6/$O6)</f>
        <v>0.554476387438921</v>
      </c>
      <c r="AP6" s="34" t="n">
        <f aca="false">IF((AL6/$O6)&gt;=1,1,AL6/$O6)</f>
        <v>0.628213907197411</v>
      </c>
      <c r="AQ6" s="34" t="n">
        <f aca="false">IF((AM6/$O6)&gt;=1,1,AM6/$O6)</f>
        <v>0.658768195468286</v>
      </c>
      <c r="AR6" s="7" t="n">
        <f aca="false">(-0.4508*(AO6)^3)+(1.2399*(AO6)^2)-(0.4301*AO6)+0.641</f>
        <v>0.706871511286176</v>
      </c>
      <c r="AS6" s="7" t="n">
        <f aca="false">(-0.4508*(AP6)^3)+(1.2399*(AP6)^2)-(0.4301*AP6)+0.641</f>
        <v>0.748369911223673</v>
      </c>
      <c r="AT6" s="7" t="n">
        <f aca="false">(-0.4508*(AQ6)^3)+(1.2399*(AQ6)^2)-(0.4301*AQ6)+0.641</f>
        <v>0.766871177860299</v>
      </c>
      <c r="AU6" s="7" t="n">
        <f aca="false">AR6*$AN6</f>
        <v>0.124393589974942</v>
      </c>
      <c r="AV6" s="7" t="n">
        <f aca="false">AS6*$AN6</f>
        <v>0.131696381025395</v>
      </c>
      <c r="AW6" s="7" t="n">
        <f aca="false">AT6*$AN6</f>
        <v>0.134952190517315</v>
      </c>
      <c r="AX6" s="7" t="n">
        <f aca="false">AK6+AU6</f>
        <v>0.956108171133323</v>
      </c>
      <c r="AY6" s="7" t="n">
        <f aca="false">AL6+AV6</f>
        <v>1.07401724182151</v>
      </c>
      <c r="AZ6" s="7" t="n">
        <f aca="false">AM6+AW6</f>
        <v>1.12310448371974</v>
      </c>
      <c r="BA6" s="35" t="n">
        <f aca="false">(0.3333*AX6)+(0.3333*AY6)+(0.3333*AZ6)</f>
        <v>1.05097152456164</v>
      </c>
      <c r="BB6" s="36" t="n">
        <f aca="false">BA6/Q6</f>
        <v>0.853001400620175</v>
      </c>
      <c r="BC6" s="36" t="n">
        <f aca="false">BB6-J6</f>
        <v>-0.0369985993798252</v>
      </c>
      <c r="BD6" s="37" t="n">
        <f aca="false">IF((U6=$U$19),(R6-BB6)*100,U18)</f>
        <v>32.1731787303274</v>
      </c>
      <c r="BE6" s="38"/>
    </row>
    <row r="7" s="39" customFormat="true" ht="15" hidden="false" customHeight="false" outlineLevel="0" collapsed="false">
      <c r="A7" s="28" t="str">
        <f aca="false">'III Database Fields'!J38</f>
        <v>85WXD4</v>
      </c>
      <c r="B7" s="29" t="str">
        <f aca="false">'III Database Fields'!J2</f>
        <v>xxx</v>
      </c>
      <c r="C7" s="29" t="n">
        <f aca="false">'III Database Fields'!J1</f>
        <v>9</v>
      </c>
      <c r="D7" s="29" t="s">
        <v>112</v>
      </c>
      <c r="E7" s="29" t="s">
        <v>112</v>
      </c>
      <c r="F7" s="29" t="n">
        <v>88.5</v>
      </c>
      <c r="G7" s="29" t="s">
        <v>114</v>
      </c>
      <c r="H7" s="29" t="n">
        <f aca="false">'III Database Fields'!J95</f>
        <v>1</v>
      </c>
      <c r="I7" s="30" t="str">
        <f aca="false">'III Database Fields'!J5</f>
        <v>ESCC</v>
      </c>
      <c r="J7" s="30" t="n">
        <f aca="false">'III Database Fields'!J32</f>
        <v>0.96</v>
      </c>
      <c r="K7" s="30" t="n">
        <f aca="false">'III Database Fields'!J92</f>
        <v>1800</v>
      </c>
      <c r="L7" s="30" t="n">
        <f aca="false">'III Database Fields'!J8</f>
        <v>1.17</v>
      </c>
      <c r="M7" s="30" t="n">
        <f aca="false">'III Database Fields'!J6</f>
        <v>1.33</v>
      </c>
      <c r="N7" s="30" t="n">
        <f aca="false">'III Database Fields'!J7</f>
        <v>1.39</v>
      </c>
      <c r="O7" s="30" t="n">
        <f aca="false">'III Database Fields'!J29</f>
        <v>1.5</v>
      </c>
      <c r="P7" s="31" t="n">
        <f aca="false">'III Database Fields'!J56</f>
        <v>86.5</v>
      </c>
      <c r="Q7" s="32" t="n">
        <f aca="false">'III Database Fields'!J70</f>
        <v>1.350559375</v>
      </c>
      <c r="R7" s="33" t="n">
        <f aca="false">'III Database Fields'!J33</f>
        <v>1.10562982560113</v>
      </c>
      <c r="S7" s="7" t="str">
        <f aca="false">G7&amp;I7&amp;-H7&amp;-K7</f>
        <v>enclosedESCC-1-1800</v>
      </c>
      <c r="T7" s="20" t="n">
        <f aca="false">VLOOKUP(S7,'Minimum Motor'!$O$8:$P$327,2,0)</f>
        <v>85.5</v>
      </c>
      <c r="U7" s="20" t="str">
        <f aca="false">IF(T7&gt;F7,$U$18,$U$19)</f>
        <v>Proceed</v>
      </c>
      <c r="V7" s="20" t="n">
        <f aca="false">(INDEX('Minimum Motor'!$T$9:$T$47,(MATCH($F7,'Minimum Motor'!$S$9:$S$47,1)),1))-(INDEX('Minimum Motor'!$X$9:$X$47,MATCH($T7,'Minimum Motor'!$W$9:$W$47,-1),1))</f>
        <v>3</v>
      </c>
      <c r="W7" s="20" t="e">
        <f aca="false">(MATCH($P7,'minimum motor'!#ref!,1))</f>
        <v>#VALUE!</v>
      </c>
      <c r="X7" s="20" t="e">
        <f aca="false">V7+W7</f>
        <v>#VALUE!</v>
      </c>
      <c r="Y7" s="20" t="e">
        <f aca="false">INDEX('minimum motor'!#ref!,X7,1)</f>
        <v>#VALUE!</v>
      </c>
      <c r="Z7" s="20" t="n">
        <f aca="false">INDEX('Minimum Motor'!$S$9:$T$47,(((MATCH(III_V!$P7,'Minimum Motor'!$S$9:$S$47,1)))+III_V!$V7),1)</f>
        <v>89.5</v>
      </c>
      <c r="AA7" s="7" t="n">
        <f aca="false">(O7/(P7/100))-O7</f>
        <v>0.234104046242775</v>
      </c>
      <c r="AB7" s="20" t="n">
        <f aca="false">IF(L7/($O7+$AA7)&gt;=1, 1, L7/($O7+$AA7))</f>
        <v>0.6747</v>
      </c>
      <c r="AC7" s="20" t="n">
        <f aca="false">IF(M7/($O7+$AA7)&gt;=1, 1, M7/($O7+$AA7))</f>
        <v>0.766966666666667</v>
      </c>
      <c r="AD7" s="20" t="n">
        <f aca="false">IF(N7/($O7+$AA7)&gt;=1, 1, N7/($O7+$AA7))</f>
        <v>0.801566666666667</v>
      </c>
      <c r="AE7" s="7" t="n">
        <f aca="false">(-0.4508*(AB7)^3)+(1.2399*(AB7)^2)-(0.4301*AB7)+0.641</f>
        <v>0.776781562369871</v>
      </c>
      <c r="AF7" s="7" t="n">
        <f aca="false">(-0.4508*(AC7)^3)+(1.2399*(AC7)^2)-(0.4301*AC7)+0.641</f>
        <v>0.837101365359525</v>
      </c>
      <c r="AG7" s="7" t="n">
        <f aca="false">(-0.4508*(AD7)^3)+(1.2399*(AD7)^2)-(0.4301*AD7)+0.641</f>
        <v>0.86072497228634</v>
      </c>
      <c r="AH7" s="34" t="n">
        <f aca="false">AE7*$AA7</f>
        <v>0.181847706797571</v>
      </c>
      <c r="AI7" s="34" t="n">
        <f aca="false">AF7*$AA7</f>
        <v>0.195968816746016</v>
      </c>
      <c r="AJ7" s="34" t="n">
        <f aca="false">AG7*$AA7</f>
        <v>0.201499198714432</v>
      </c>
      <c r="AK7" s="34" t="n">
        <f aca="false">(L7-AH7)</f>
        <v>0.988152293202429</v>
      </c>
      <c r="AL7" s="34" t="n">
        <f aca="false">(M7-AI7)</f>
        <v>1.13403118325398</v>
      </c>
      <c r="AM7" s="34" t="n">
        <f aca="false">(N7-AJ7)</f>
        <v>1.18850080128557</v>
      </c>
      <c r="AN7" s="34" t="n">
        <f aca="false">(O7/(Z7/100))-O7</f>
        <v>0.175977653631285</v>
      </c>
      <c r="AO7" s="34" t="n">
        <f aca="false">IF((AK7/$O7)&gt;=1,1,AK7/$O7)</f>
        <v>0.658768195468286</v>
      </c>
      <c r="AP7" s="34" t="n">
        <f aca="false">IF((AL7/$O7)&gt;=1,1,AL7/$O7)</f>
        <v>0.756020788835989</v>
      </c>
      <c r="AQ7" s="34" t="n">
        <f aca="false">IF((AM7/$O7)&gt;=1,1,AM7/$O7)</f>
        <v>0.792333867523712</v>
      </c>
      <c r="AR7" s="7" t="n">
        <f aca="false">(-0.4508*(AO7)^3)+(1.2399*(AO7)^2)-(0.4301*AO7)+0.641</f>
        <v>0.766871177860299</v>
      </c>
      <c r="AS7" s="7" t="n">
        <f aca="false">(-0.4508*(AP7)^3)+(1.2399*(AP7)^2)-(0.4301*AP7)+0.641</f>
        <v>0.829723637839589</v>
      </c>
      <c r="AT7" s="7" t="n">
        <f aca="false">(-0.4508*(AQ7)^3)+(1.2399*(AQ7)^2)-(0.4301*AQ7)+0.641</f>
        <v>0.854380024486042</v>
      </c>
      <c r="AU7" s="7" t="n">
        <f aca="false">AR7*$AN7</f>
        <v>0.134952190517315</v>
      </c>
      <c r="AV7" s="7" t="n">
        <f aca="false">AS7*$AN7</f>
        <v>0.146012818949425</v>
      </c>
      <c r="AW7" s="7" t="n">
        <f aca="false">AT7*$AN7</f>
        <v>0.150351792018493</v>
      </c>
      <c r="AX7" s="7" t="n">
        <f aca="false">AK7+AU7</f>
        <v>1.12310448371974</v>
      </c>
      <c r="AY7" s="7" t="n">
        <f aca="false">AL7+AV7</f>
        <v>1.28004400220341</v>
      </c>
      <c r="AZ7" s="7" t="n">
        <f aca="false">AM7+AW7</f>
        <v>1.33885259330406</v>
      </c>
      <c r="BA7" s="35" t="n">
        <f aca="false">(0.3333*AX7)+(0.3333*AY7)+(0.3333*AZ7)</f>
        <v>1.24720895970643</v>
      </c>
      <c r="BB7" s="36" t="n">
        <f aca="false">BA7/Q7</f>
        <v>0.92347584474502</v>
      </c>
      <c r="BC7" s="36" t="n">
        <f aca="false">BB7-J7</f>
        <v>-0.0365241552549802</v>
      </c>
      <c r="BD7" s="37" t="n">
        <f aca="false">IF((U7=$U$19),(R7-BB7)*100,U19)</f>
        <v>18.2153980856115</v>
      </c>
      <c r="BE7" s="38"/>
    </row>
    <row r="8" s="39" customFormat="true" ht="15" hidden="false" customHeight="false" outlineLevel="0" collapsed="false">
      <c r="A8" s="28" t="str">
        <f aca="false">'III Database Fields'!D38</f>
        <v>W4MLD5</v>
      </c>
      <c r="B8" s="29" t="str">
        <f aca="false">'III Database Fields'!D2</f>
        <v>xxx</v>
      </c>
      <c r="C8" s="29" t="n">
        <f aca="false">'III Database Fields'!D1</f>
        <v>3</v>
      </c>
      <c r="D8" s="29" t="s">
        <v>112</v>
      </c>
      <c r="E8" s="29" t="s">
        <v>112</v>
      </c>
      <c r="F8" s="29" t="n">
        <v>80</v>
      </c>
      <c r="G8" s="29" t="s">
        <v>113</v>
      </c>
      <c r="H8" s="29" t="n">
        <f aca="false">'III Database Fields'!D95</f>
        <v>1</v>
      </c>
      <c r="I8" s="30" t="str">
        <f aca="false">'III Database Fields'!D5</f>
        <v>ESCC</v>
      </c>
      <c r="J8" s="30" t="n">
        <f aca="false">'III Database Fields'!D32</f>
        <v>0.9</v>
      </c>
      <c r="K8" s="30" t="n">
        <f aca="false">'III Database Fields'!D92</f>
        <v>3600</v>
      </c>
      <c r="L8" s="30" t="n">
        <f aca="false">'III Database Fields'!D8</f>
        <v>1.25</v>
      </c>
      <c r="M8" s="30" t="n">
        <f aca="false">'III Database Fields'!D6</f>
        <v>1.43</v>
      </c>
      <c r="N8" s="30" t="n">
        <f aca="false">'III Database Fields'!D7</f>
        <v>1.51</v>
      </c>
      <c r="O8" s="30" t="n">
        <f aca="false">'III Database Fields'!D29</f>
        <v>1.5</v>
      </c>
      <c r="P8" s="31" t="n">
        <f aca="false">'III Database Fields'!D56</f>
        <v>84</v>
      </c>
      <c r="Q8" s="32" t="n">
        <f aca="false">'III Database Fields'!D70</f>
        <v>1.55169666666667</v>
      </c>
      <c r="R8" s="33" t="n">
        <f aca="false">'III Database Fields'!D33</f>
        <v>1.10710788757884</v>
      </c>
      <c r="S8" s="7" t="str">
        <f aca="false">G8&amp;I8&amp;-H8&amp;-K8</f>
        <v>openESCC-1-3600</v>
      </c>
      <c r="T8" s="20" t="n">
        <f aca="false">VLOOKUP(S8,'Minimum Motor'!$O$8:$P$327,2,0)</f>
        <v>77</v>
      </c>
      <c r="U8" s="20" t="str">
        <f aca="false">IF(T8&gt;F8,$U$18,$U$19)</f>
        <v>Proceed</v>
      </c>
      <c r="V8" s="20" t="n">
        <f aca="false">(INDEX('Minimum Motor'!$T$9:$T$47,(MATCH($F8,'Minimum Motor'!$S$9:$S$47,1)),1))-(INDEX('Minimum Motor'!$X$9:$X$47,MATCH($T8,'Minimum Motor'!$W$9:$W$47,-1),1))</f>
        <v>2</v>
      </c>
      <c r="W8" s="20" t="e">
        <f aca="false">(MATCH($P8,'minimum motor'!#ref!,1))</f>
        <v>#VALUE!</v>
      </c>
      <c r="X8" s="20" t="e">
        <f aca="false">V8+W8</f>
        <v>#VALUE!</v>
      </c>
      <c r="Y8" s="20" t="e">
        <f aca="false">INDEX('minimum motor'!#ref!,X8,1)</f>
        <v>#VALUE!</v>
      </c>
      <c r="Z8" s="20" t="n">
        <f aca="false">INDEX('Minimum Motor'!$S$9:$T$47,(((MATCH(III_V!$P8,'Minimum Motor'!$S$9:$S$47,1)))+III_V!$V8),1)</f>
        <v>86.5</v>
      </c>
      <c r="AA8" s="7" t="n">
        <f aca="false">(O8/(P8/100))-O8</f>
        <v>0.285714285714286</v>
      </c>
      <c r="AB8" s="20" t="n">
        <f aca="false">IF(L8/($O8+$AA8)&gt;=1, 1, L8/($O8+$AA8))</f>
        <v>0.7</v>
      </c>
      <c r="AC8" s="20" t="n">
        <f aca="false">IF(M8/($O8+$AA8)&gt;=1, 1, M8/($O8+$AA8))</f>
        <v>0.8008</v>
      </c>
      <c r="AD8" s="20" t="n">
        <f aca="false">IF(N8/($O8+$AA8)&gt;=1, 1, N8/($O8+$AA8))</f>
        <v>0.8456</v>
      </c>
      <c r="AE8" s="7" t="n">
        <f aca="false">(-0.4508*(AB8)^3)+(1.2399*(AB8)^2)-(0.4301*AB8)+0.641</f>
        <v>0.7928566</v>
      </c>
      <c r="AF8" s="7" t="n">
        <f aca="false">(-0.4508*(AC8)^3)+(1.2399*(AC8)^2)-(0.4301*AC8)+0.641</f>
        <v>0.86019706407639</v>
      </c>
      <c r="AG8" s="7" t="n">
        <f aca="false">(-0.4508*(AD8)^3)+(1.2399*(AD8)^2)-(0.4301*AD8)+0.641</f>
        <v>0.891314255370547</v>
      </c>
      <c r="AH8" s="34" t="n">
        <f aca="false">AE8*$AA8</f>
        <v>0.226530457142857</v>
      </c>
      <c r="AI8" s="34" t="n">
        <f aca="false">AF8*$AA8</f>
        <v>0.245770589736112</v>
      </c>
      <c r="AJ8" s="34" t="n">
        <f aca="false">AG8*$AA8</f>
        <v>0.254661215820156</v>
      </c>
      <c r="AK8" s="34" t="n">
        <f aca="false">(L8-AH8)</f>
        <v>1.02346954285714</v>
      </c>
      <c r="AL8" s="34" t="n">
        <f aca="false">(M8-AI8)</f>
        <v>1.18422941026389</v>
      </c>
      <c r="AM8" s="34" t="n">
        <f aca="false">(N8-AJ8)</f>
        <v>1.25533878417984</v>
      </c>
      <c r="AN8" s="34" t="n">
        <f aca="false">(O8/(Z8/100))-O8</f>
        <v>0.234104046242775</v>
      </c>
      <c r="AO8" s="34" t="n">
        <f aca="false">IF((AK8/$O8)&gt;=1,1,AK8/$O8)</f>
        <v>0.682313028571429</v>
      </c>
      <c r="AP8" s="34" t="n">
        <f aca="false">IF((AL8/$O8)&gt;=1,1,AL8/$O8)</f>
        <v>0.789486273509259</v>
      </c>
      <c r="AQ8" s="34" t="n">
        <f aca="false">IF((AM8/$O8)&gt;=1,1,AM8/$O8)</f>
        <v>0.836892522786562</v>
      </c>
      <c r="AR8" s="7" t="n">
        <f aca="false">(-0.4508*(AO8)^3)+(1.2399*(AO8)^2)-(0.4301*AO8)+0.641</f>
        <v>0.781576613647964</v>
      </c>
      <c r="AS8" s="7" t="n">
        <f aca="false">(-0.4508*(AP8)^3)+(1.2399*(AP8)^2)-(0.4301*AP8)+0.641</f>
        <v>0.852428798144338</v>
      </c>
      <c r="AT8" s="7" t="n">
        <f aca="false">(-0.4508*(AQ8)^3)+(1.2399*(AQ8)^2)-(0.4301*AQ8)+0.641</f>
        <v>0.885228365769456</v>
      </c>
      <c r="AU8" s="7" t="n">
        <f aca="false">AR8*$AN8</f>
        <v>0.182970247703714</v>
      </c>
      <c r="AV8" s="7" t="n">
        <f aca="false">AS8*$AN8</f>
        <v>0.199557030779455</v>
      </c>
      <c r="AW8" s="7" t="n">
        <f aca="false">AT8*$AN8</f>
        <v>0.207235542275508</v>
      </c>
      <c r="AX8" s="7" t="n">
        <f aca="false">AK8+AU8</f>
        <v>1.20643979056086</v>
      </c>
      <c r="AY8" s="7" t="n">
        <f aca="false">AL8+AV8</f>
        <v>1.38378644104334</v>
      </c>
      <c r="AZ8" s="7" t="n">
        <f aca="false">AM8+AW8</f>
        <v>1.46257432645535</v>
      </c>
      <c r="BA8" s="35" t="n">
        <f aca="false">(0.3333*AX8)+(0.3333*AY8)+(0.3333*AZ8)</f>
        <v>1.35079842600125</v>
      </c>
      <c r="BB8" s="36" t="n">
        <f aca="false">BA8/Q8</f>
        <v>0.870529952805155</v>
      </c>
      <c r="BC8" s="36" t="n">
        <f aca="false">BB8-J8</f>
        <v>-0.0294700471948452</v>
      </c>
      <c r="BD8" s="37" t="n">
        <f aca="false">IF((U8=$U$19),(R8-BB8)*100,U20)</f>
        <v>23.6577934773682</v>
      </c>
      <c r="BE8" s="38"/>
    </row>
    <row r="9" s="39" customFormat="true" ht="15" hidden="false" customHeight="false" outlineLevel="0" collapsed="false">
      <c r="A9" s="28" t="str">
        <f aca="false">'III Database Fields'!I38</f>
        <v>2QYWJ5</v>
      </c>
      <c r="B9" s="29" t="str">
        <f aca="false">'III Database Fields'!I2</f>
        <v>xxx</v>
      </c>
      <c r="C9" s="29" t="n">
        <f aca="false">'III Database Fields'!I1</f>
        <v>8</v>
      </c>
      <c r="D9" s="29" t="s">
        <v>112</v>
      </c>
      <c r="E9" s="29" t="s">
        <v>112</v>
      </c>
      <c r="F9" s="29" t="n">
        <v>88.5</v>
      </c>
      <c r="G9" s="29" t="s">
        <v>114</v>
      </c>
      <c r="H9" s="29" t="n">
        <v>2</v>
      </c>
      <c r="I9" s="30" t="str">
        <f aca="false">'III Database Fields'!I5</f>
        <v>ESCC</v>
      </c>
      <c r="J9" s="30" t="n">
        <f aca="false">'III Database Fields'!I32</f>
        <v>0.93</v>
      </c>
      <c r="K9" s="30" t="n">
        <f aca="false">'III Database Fields'!I92</f>
        <v>3600</v>
      </c>
      <c r="L9" s="30" t="n">
        <f aca="false">'III Database Fields'!I8</f>
        <v>2.37</v>
      </c>
      <c r="M9" s="30" t="n">
        <f aca="false">'III Database Fields'!I6</f>
        <v>2.73</v>
      </c>
      <c r="N9" s="30" t="n">
        <f aca="false">'III Database Fields'!I7</f>
        <v>2.88</v>
      </c>
      <c r="O9" s="30" t="n">
        <f aca="false">'III Database Fields'!I29</f>
        <v>3</v>
      </c>
      <c r="P9" s="31" t="n">
        <f aca="false">'III Database Fields'!I56</f>
        <v>85.5</v>
      </c>
      <c r="Q9" s="32" t="n">
        <f aca="false">'III Database Fields'!I70</f>
        <v>2.85992903225806</v>
      </c>
      <c r="R9" s="33" t="n">
        <f aca="false">'III Database Fields'!I33</f>
        <v>1.10090339275359</v>
      </c>
      <c r="S9" s="7" t="str">
        <f aca="false">G9&amp;I9&amp;-H9&amp;-K9</f>
        <v>enclosedESCC-2-3600</v>
      </c>
      <c r="T9" s="20" t="n">
        <f aca="false">VLOOKUP(S9,'Minimum Motor'!$O$8:$P$327,2,0)</f>
        <v>85.5</v>
      </c>
      <c r="U9" s="20" t="str">
        <f aca="false">IF(T9&gt;F9,$U$18,$U$19)</f>
        <v>Proceed</v>
      </c>
      <c r="V9" s="20" t="n">
        <f aca="false">(INDEX('Minimum Motor'!$T$9:$T$47,(MATCH($F9,'Minimum Motor'!$S$9:$S$47,1)),1))-(INDEX('Minimum Motor'!$X$9:$X$47,MATCH($T9,'Minimum Motor'!$W$9:$W$47,-1),1))</f>
        <v>3</v>
      </c>
      <c r="W9" s="20" t="e">
        <f aca="false">(MATCH($P9,'minimum motor'!#ref!,1))</f>
        <v>#VALUE!</v>
      </c>
      <c r="X9" s="20" t="e">
        <f aca="false">V9+W9</f>
        <v>#VALUE!</v>
      </c>
      <c r="Y9" s="20" t="e">
        <f aca="false">INDEX('minimum motor'!#ref!,X9,1)</f>
        <v>#VALUE!</v>
      </c>
      <c r="Z9" s="20" t="n">
        <f aca="false">INDEX('Minimum Motor'!$S$9:$T$47,(((MATCH(III_V!$P9,'Minimum Motor'!$S$9:$S$47,1)))+III_V!$V9),1)</f>
        <v>88.5</v>
      </c>
      <c r="AA9" s="7" t="n">
        <f aca="false">(O9/(P9/100))-O9</f>
        <v>0.508771929824562</v>
      </c>
      <c r="AB9" s="20" t="n">
        <f aca="false">IF(L9/($O9+$AA9)&gt;=1, 1, L9/($O9+$AA9))</f>
        <v>0.67545</v>
      </c>
      <c r="AC9" s="20" t="n">
        <f aca="false">IF(M9/($O9+$AA9)&gt;=1, 1, M9/($O9+$AA9))</f>
        <v>0.77805</v>
      </c>
      <c r="AD9" s="20" t="n">
        <f aca="false">IF(N9/($O9+$AA9)&gt;=1, 1, N9/($O9+$AA9))</f>
        <v>0.8208</v>
      </c>
      <c r="AE9" s="7" t="n">
        <f aca="false">(-0.4508*(AB9)^3)+(1.2399*(AB9)^2)-(0.4301*AB9)+0.641</f>
        <v>0.777252282419996</v>
      </c>
      <c r="AF9" s="7" t="n">
        <f aca="false">(-0.4508*(AC9)^3)+(1.2399*(AC9)^2)-(0.4301*AC9)+0.641</f>
        <v>0.844621204823596</v>
      </c>
      <c r="AG9" s="7" t="n">
        <f aca="false">(-0.4508*(AD9)^3)+(1.2399*(AD9)^2)-(0.4301*AD9)+0.641</f>
        <v>0.87402533495767</v>
      </c>
      <c r="AH9" s="34" t="n">
        <f aca="false">AE9*$AA9</f>
        <v>0.395444143687366</v>
      </c>
      <c r="AI9" s="34" t="n">
        <f aca="false">AF9*$AA9</f>
        <v>0.429719560348847</v>
      </c>
      <c r="AJ9" s="34" t="n">
        <f aca="false">AG9*$AA9</f>
        <v>0.444679556381973</v>
      </c>
      <c r="AK9" s="34" t="n">
        <f aca="false">(L9-AH9)</f>
        <v>1.97455585631263</v>
      </c>
      <c r="AL9" s="34" t="n">
        <f aca="false">(M9-AI9)</f>
        <v>2.30028043965115</v>
      </c>
      <c r="AM9" s="34" t="n">
        <f aca="false">(N9-AJ9)</f>
        <v>2.43532044361803</v>
      </c>
      <c r="AN9" s="34" t="n">
        <f aca="false">(O9/(Z9/100))-O9</f>
        <v>0.389830508474576</v>
      </c>
      <c r="AO9" s="34" t="n">
        <f aca="false">IF((AK9/$O9)&gt;=1,1,AK9/$O9)</f>
        <v>0.658185285437545</v>
      </c>
      <c r="AP9" s="34" t="n">
        <f aca="false">IF((AL9/$O9)&gt;=1,1,AL9/$O9)</f>
        <v>0.766760146550384</v>
      </c>
      <c r="AQ9" s="34" t="n">
        <f aca="false">IF((AM9/$O9)&gt;=1,1,AM9/$O9)</f>
        <v>0.811773481206009</v>
      </c>
      <c r="AR9" s="7" t="n">
        <f aca="false">(-0.4508*(AO9)^3)+(1.2399*(AO9)^2)-(0.4301*AO9)+0.641</f>
        <v>0.766511871371878</v>
      </c>
      <c r="AS9" s="7" t="n">
        <f aca="false">(-0.4508*(AP9)^3)+(1.2399*(AP9)^2)-(0.4301*AP9)+0.641</f>
        <v>0.836961706301019</v>
      </c>
      <c r="AT9" s="7" t="n">
        <f aca="false">(-0.4508*(AQ9)^3)+(1.2399*(AQ9)^2)-(0.4301*AQ9)+0.641</f>
        <v>0.867770119539103</v>
      </c>
      <c r="AU9" s="7" t="n">
        <f aca="false">AR9*$AN9</f>
        <v>0.298809712568698</v>
      </c>
      <c r="AV9" s="7" t="n">
        <f aca="false">AS9*$AN9</f>
        <v>0.326273207541075</v>
      </c>
      <c r="AW9" s="7" t="n">
        <f aca="false">AT9*$AN9</f>
        <v>0.338283266938972</v>
      </c>
      <c r="AX9" s="7" t="n">
        <f aca="false">AK9+AU9</f>
        <v>2.27336556888133</v>
      </c>
      <c r="AY9" s="7" t="n">
        <f aca="false">AL9+AV9</f>
        <v>2.62655364719223</v>
      </c>
      <c r="AZ9" s="7" t="n">
        <f aca="false">AM9+AW9</f>
        <v>2.773603710557</v>
      </c>
      <c r="BA9" s="35" t="n">
        <f aca="false">(0.3333*AX9)+(0.3333*AY9)+(0.3333*AZ9)</f>
        <v>2.55758519144597</v>
      </c>
      <c r="BB9" s="36" t="n">
        <f aca="false">BA9/Q9</f>
        <v>0.894282747088524</v>
      </c>
      <c r="BC9" s="36" t="n">
        <f aca="false">BB9-J9</f>
        <v>-0.0357172529114761</v>
      </c>
      <c r="BD9" s="37" t="n">
        <f aca="false">IF((U9=$U$19),(R9-BB9)*100,U21)</f>
        <v>20.662064566507</v>
      </c>
      <c r="BE9" s="38"/>
    </row>
    <row r="10" s="39" customFormat="true" ht="15" hidden="false" customHeight="false" outlineLevel="0" collapsed="false">
      <c r="A10" s="28" t="str">
        <f aca="false">'III Database Fields'!E38</f>
        <v>XQK274</v>
      </c>
      <c r="B10" s="29" t="str">
        <f aca="false">'III Database Fields'!E2</f>
        <v>xxx</v>
      </c>
      <c r="C10" s="29" t="n">
        <f aca="false">'III Database Fields'!E1</f>
        <v>4</v>
      </c>
      <c r="D10" s="29" t="s">
        <v>112</v>
      </c>
      <c r="E10" s="29" t="s">
        <v>112</v>
      </c>
      <c r="F10" s="29" t="n">
        <v>91.5</v>
      </c>
      <c r="G10" s="29" t="s">
        <v>113</v>
      </c>
      <c r="H10" s="29" t="n">
        <f aca="false">'III Database Fields'!E95</f>
        <v>5</v>
      </c>
      <c r="I10" s="30" t="str">
        <f aca="false">'III Database Fields'!E5</f>
        <v>ESFM</v>
      </c>
      <c r="J10" s="30" t="n">
        <f aca="false">'III Database Fields'!E32</f>
        <v>0.85</v>
      </c>
      <c r="K10" s="30" t="n">
        <f aca="false">'III Database Fields'!E92</f>
        <v>3600</v>
      </c>
      <c r="L10" s="30" t="n">
        <f aca="false">'III Database Fields'!E8</f>
        <v>6.57</v>
      </c>
      <c r="M10" s="30" t="n">
        <f aca="false">'III Database Fields'!E6</f>
        <v>7.42</v>
      </c>
      <c r="N10" s="30" t="n">
        <f aca="false">'III Database Fields'!E7</f>
        <v>7.76</v>
      </c>
      <c r="O10" s="30" t="n">
        <f aca="false">'III Database Fields'!E29</f>
        <v>7.5</v>
      </c>
      <c r="P10" s="31" t="n">
        <f aca="false">'III Database Fields'!E56</f>
        <v>88.5</v>
      </c>
      <c r="Q10" s="32" t="n">
        <f aca="false">'III Database Fields'!E70</f>
        <v>8.52855882352941</v>
      </c>
      <c r="R10" s="33" t="n">
        <f aca="false">'III Database Fields'!E33</f>
        <v>1.14560446974294</v>
      </c>
      <c r="S10" s="7" t="str">
        <f aca="false">G10&amp;I10&amp;-H10&amp;-K10</f>
        <v>openESFM-5-3600</v>
      </c>
      <c r="T10" s="20" t="n">
        <f aca="false">VLOOKUP(S10,'Minimum Motor'!$O$8:$P$327,2,0)</f>
        <v>86.5</v>
      </c>
      <c r="U10" s="20" t="str">
        <f aca="false">IF(T10&gt;F10,$U$18,$U$19)</f>
        <v>Proceed</v>
      </c>
      <c r="V10" s="20" t="n">
        <f aca="false">(INDEX('Minimum Motor'!$T$9:$T$47,(MATCH($F10,'Minimum Motor'!$S$9:$S$47,1)),1))-(INDEX('Minimum Motor'!$X$9:$X$47,MATCH($T10,'Minimum Motor'!$W$9:$W$47,-1),1))</f>
        <v>5</v>
      </c>
      <c r="W10" s="20" t="e">
        <f aca="false">(MATCH($P10,'minimum motor'!#ref!,1))</f>
        <v>#VALUE!</v>
      </c>
      <c r="X10" s="20" t="e">
        <f aca="false">V10+W10</f>
        <v>#VALUE!</v>
      </c>
      <c r="Y10" s="20" t="e">
        <f aca="false">INDEX('minimum motor'!#ref!,X10,1)</f>
        <v>#VALUE!</v>
      </c>
      <c r="Z10" s="20" t="n">
        <f aca="false">INDEX('Minimum Motor'!$S$9:$T$47,(((MATCH(III_V!$P10,'Minimum Motor'!$S$9:$S$47,1)))+III_V!$V10),1)</f>
        <v>92.4</v>
      </c>
      <c r="AA10" s="7" t="n">
        <f aca="false">(O10/(P10/100))-O10</f>
        <v>0.974576271186441</v>
      </c>
      <c r="AB10" s="20" t="n">
        <f aca="false">IF(L10/($O10+$AA10)&gt;=1, 1, L10/($O10+$AA10))</f>
        <v>0.77526</v>
      </c>
      <c r="AC10" s="20" t="n">
        <f aca="false">IF(M10/($O10+$AA10)&gt;=1, 1, M10/($O10+$AA10))</f>
        <v>0.87556</v>
      </c>
      <c r="AD10" s="20" t="n">
        <f aca="false">IF(N10/($O10+$AA10)&gt;=1, 1, N10/($O10+$AA10))</f>
        <v>0.91568</v>
      </c>
      <c r="AE10" s="7" t="n">
        <f aca="false">(-0.4508*(AB10)^3)+(1.2399*(AB10)^2)-(0.4301*AB10)+0.641</f>
        <v>0.842723753742081</v>
      </c>
      <c r="AF10" s="7" t="n">
        <f aca="false">(-0.4508*(AC10)^3)+(1.2399*(AC10)^2)-(0.4301*AC10)+0.641</f>
        <v>0.912354578404912</v>
      </c>
      <c r="AG10" s="7" t="n">
        <f aca="false">(-0.4508*(AD10)^3)+(1.2399*(AD10)^2)-(0.4301*AD10)+0.641</f>
        <v>0.940674060701783</v>
      </c>
      <c r="AH10" s="34" t="n">
        <f aca="false">AE10*$AA10</f>
        <v>0.821298573562198</v>
      </c>
      <c r="AI10" s="34" t="n">
        <f aca="false">AF10*$AA10</f>
        <v>0.889159123021737</v>
      </c>
      <c r="AJ10" s="34" t="n">
        <f aca="false">AG10*$AA10</f>
        <v>0.916758618480552</v>
      </c>
      <c r="AK10" s="34" t="n">
        <f aca="false">(L10-AH10)</f>
        <v>5.7487014264378</v>
      </c>
      <c r="AL10" s="34" t="n">
        <f aca="false">(M10-AI10)</f>
        <v>6.53084087697826</v>
      </c>
      <c r="AM10" s="34" t="n">
        <f aca="false">(N10-AJ10)</f>
        <v>6.84324138151945</v>
      </c>
      <c r="AN10" s="34" t="n">
        <f aca="false">(O10/(Z10/100))-O10</f>
        <v>0.616883116883116</v>
      </c>
      <c r="AO10" s="34" t="n">
        <f aca="false">IF((AK10/$O10)&gt;=1,1,AK10/$O10)</f>
        <v>0.76649352352504</v>
      </c>
      <c r="AP10" s="34" t="n">
        <f aca="false">IF((AL10/$O10)&gt;=1,1,AL10/$O10)</f>
        <v>0.870778783597102</v>
      </c>
      <c r="AQ10" s="34" t="n">
        <f aca="false">IF((AM10/$O10)&gt;=1,1,AM10/$O10)</f>
        <v>0.912432184202593</v>
      </c>
      <c r="AR10" s="7" t="n">
        <f aca="false">(-0.4508*(AO10)^3)+(1.2399*(AO10)^2)-(0.4301*AO10)+0.641</f>
        <v>0.836781428303435</v>
      </c>
      <c r="AS10" s="7" t="n">
        <f aca="false">(-0.4508*(AP10)^3)+(1.2399*(AP10)^2)-(0.4301*AP10)+0.641</f>
        <v>0.908988221473289</v>
      </c>
      <c r="AT10" s="7" t="n">
        <f aca="false">(-0.4508*(AQ10)^3)+(1.2399*(AQ10)^2)-(0.4301*AQ10)+0.641</f>
        <v>0.938379001790141</v>
      </c>
      <c r="AU10" s="7" t="n">
        <f aca="false">AR10*$AN10</f>
        <v>0.516196335641729</v>
      </c>
      <c r="AV10" s="7" t="n">
        <f aca="false">AS10*$AN10</f>
        <v>0.560739487272483</v>
      </c>
      <c r="AW10" s="7" t="n">
        <f aca="false">AT10*$AN10</f>
        <v>0.57887016344197</v>
      </c>
      <c r="AX10" s="7" t="n">
        <f aca="false">AK10+AU10</f>
        <v>6.26489776207953</v>
      </c>
      <c r="AY10" s="7" t="n">
        <f aca="false">AL10+AV10</f>
        <v>7.09158036425075</v>
      </c>
      <c r="AZ10" s="7" t="n">
        <f aca="false">AM10+AW10</f>
        <v>7.42211154496142</v>
      </c>
      <c r="BA10" s="35" t="n">
        <f aca="false">(0.3333*AX10)+(0.3333*AY10)+(0.3333*AZ10)</f>
        <v>6.92550393744152</v>
      </c>
      <c r="BB10" s="36" t="n">
        <f aca="false">BA10/Q10</f>
        <v>0.812036837728641</v>
      </c>
      <c r="BC10" s="36" t="n">
        <f aca="false">BB10-J10</f>
        <v>-0.037963162271359</v>
      </c>
      <c r="BD10" s="37" t="n">
        <f aca="false">IF((U10=$U$19),(R10-BB10)*100,U22)</f>
        <v>33.35676320143</v>
      </c>
      <c r="BE10" s="38"/>
    </row>
    <row r="11" s="39" customFormat="true" ht="15" hidden="false" customHeight="false" outlineLevel="0" collapsed="false">
      <c r="A11" s="28" t="str">
        <f aca="false">'III Database Fields'!F38</f>
        <v>84861Q</v>
      </c>
      <c r="B11" s="29" t="str">
        <f aca="false">'III Database Fields'!F2</f>
        <v>xxx</v>
      </c>
      <c r="C11" s="29" t="n">
        <f aca="false">'III Database Fields'!F1</f>
        <v>5</v>
      </c>
      <c r="D11" s="29" t="s">
        <v>112</v>
      </c>
      <c r="E11" s="29" t="s">
        <v>112</v>
      </c>
      <c r="F11" s="29" t="n">
        <v>94.7</v>
      </c>
      <c r="G11" s="29" t="s">
        <v>114</v>
      </c>
      <c r="H11" s="29" t="n">
        <v>25</v>
      </c>
      <c r="I11" s="30" t="str">
        <f aca="false">'III Database Fields'!F5</f>
        <v>ESFM</v>
      </c>
      <c r="J11" s="30" t="n">
        <f aca="false">'III Database Fields'!F32</f>
        <v>0.94</v>
      </c>
      <c r="K11" s="30" t="n">
        <f aca="false">'III Database Fields'!F92</f>
        <v>3600</v>
      </c>
      <c r="L11" s="30" t="n">
        <f aca="false">'III Database Fields'!F8</f>
        <v>22.5</v>
      </c>
      <c r="M11" s="30" t="n">
        <f aca="false">'III Database Fields'!F6</f>
        <v>25.8</v>
      </c>
      <c r="N11" s="30" t="n">
        <f aca="false">'III Database Fields'!F7</f>
        <v>27.1</v>
      </c>
      <c r="O11" s="30" t="n">
        <f aca="false">'III Database Fields'!F29</f>
        <v>30</v>
      </c>
      <c r="P11" s="31" t="n">
        <f aca="false">'III Database Fields'!F56</f>
        <v>91.7</v>
      </c>
      <c r="Q11" s="32" t="n">
        <f aca="false">'III Database Fields'!F70</f>
        <v>26.734914893617</v>
      </c>
      <c r="R11" s="33" t="n">
        <f aca="false">'III Database Fields'!F33</f>
        <v>1.08028292335208</v>
      </c>
      <c r="S11" s="7" t="str">
        <f aca="false">G11&amp;I11&amp;-H11&amp;-K11</f>
        <v>enclosedESFM-25-3600</v>
      </c>
      <c r="T11" s="20" t="n">
        <f aca="false">VLOOKUP(S11,'Minimum Motor'!$O$8:$P$327,2,0)</f>
        <v>91.7</v>
      </c>
      <c r="U11" s="20" t="str">
        <f aca="false">IF(T11&gt;F11,$U$18,$U$19)</f>
        <v>Proceed</v>
      </c>
      <c r="V11" s="20" t="n">
        <f aca="false">(INDEX('Minimum Motor'!$T$9:$T$47,(MATCH($F11,'Minimum Motor'!$S$9:$S$47,1)),1))-(INDEX('Minimum Motor'!$X$9:$X$47,MATCH($T11,'Minimum Motor'!$W$9:$W$47,-1),1))</f>
        <v>5</v>
      </c>
      <c r="W11" s="20" t="e">
        <f aca="false">(MATCH($P11,'minimum motor'!#ref!,1))</f>
        <v>#VALUE!</v>
      </c>
      <c r="X11" s="20" t="e">
        <f aca="false">V11+W11</f>
        <v>#VALUE!</v>
      </c>
      <c r="Y11" s="20" t="e">
        <f aca="false">INDEX('minimum motor'!#ref!,X11,1)</f>
        <v>#VALUE!</v>
      </c>
      <c r="Z11" s="20" t="n">
        <f aca="false">INDEX('Minimum Motor'!$S$9:$T$47,(((MATCH(III_V!$P11,'Minimum Motor'!$S$9:$S$47,1)))+III_V!$V11),1)</f>
        <v>94.5</v>
      </c>
      <c r="AA11" s="7" t="n">
        <f aca="false">(O11/(P11/100))-O11</f>
        <v>2.71537622682661</v>
      </c>
      <c r="AB11" s="20" t="n">
        <f aca="false">IF(L11/($O11+$AA11)&gt;=1, 1, L11/($O11+$AA11))</f>
        <v>0.68775</v>
      </c>
      <c r="AC11" s="20" t="n">
        <f aca="false">IF(M11/($O11+$AA11)&gt;=1, 1, M11/($O11+$AA11))</f>
        <v>0.78862</v>
      </c>
      <c r="AD11" s="20" t="n">
        <f aca="false">IF(N11/($O11+$AA11)&gt;=1, 1, N11/($O11+$AA11))</f>
        <v>0.828356666666667</v>
      </c>
      <c r="AE11" s="7" t="n">
        <f aca="false">(-0.4508*(AB11)^3)+(1.2399*(AB11)^2)-(0.4301*AB11)+0.641</f>
        <v>0.785023651016394</v>
      </c>
      <c r="AF11" s="7" t="n">
        <f aca="false">(-0.4508*(AC11)^3)+(1.2399*(AC11)^2)-(0.4301*AC11)+0.641</f>
        <v>0.851835761956152</v>
      </c>
      <c r="AG11" s="7" t="n">
        <f aca="false">(-0.4508*(AD11)^3)+(1.2399*(AD11)^2)-(0.4301*AD11)+0.641</f>
        <v>0.879278324264392</v>
      </c>
      <c r="AH11" s="34" t="n">
        <f aca="false">AE11*$AA11</f>
        <v>2.13163455946654</v>
      </c>
      <c r="AI11" s="34" t="n">
        <f aca="false">AF11*$AA11</f>
        <v>2.31305457717646</v>
      </c>
      <c r="AJ11" s="34" t="n">
        <f aca="false">AG11*$AA11</f>
        <v>2.38757145847147</v>
      </c>
      <c r="AK11" s="34" t="n">
        <f aca="false">(L11-AH11)</f>
        <v>20.3683654405335</v>
      </c>
      <c r="AL11" s="34" t="n">
        <f aca="false">(M11-AI11)</f>
        <v>23.4869454228235</v>
      </c>
      <c r="AM11" s="34" t="n">
        <f aca="false">(N11-AJ11)</f>
        <v>24.7124285415285</v>
      </c>
      <c r="AN11" s="34" t="n">
        <f aca="false">(O11/(Z11/100))-O11</f>
        <v>1.74603174603175</v>
      </c>
      <c r="AO11" s="34" t="n">
        <f aca="false">IF((AK11/$O11)&gt;=1,1,AK11/$O11)</f>
        <v>0.678945514684449</v>
      </c>
      <c r="AP11" s="34" t="n">
        <f aca="false">IF((AL11/$O11)&gt;=1,1,AL11/$O11)</f>
        <v>0.782898180760785</v>
      </c>
      <c r="AQ11" s="34" t="n">
        <f aca="false">IF((AM11/$O11)&gt;=1,1,AM11/$O11)</f>
        <v>0.823747618050951</v>
      </c>
      <c r="AR11" s="7" t="n">
        <f aca="false">(-0.4508*(AO11)^3)+(1.2399*(AO11)^2)-(0.4301*AO11)+0.641</f>
        <v>0.779450986694223</v>
      </c>
      <c r="AS11" s="7" t="n">
        <f aca="false">(-0.4508*(AP11)^3)+(1.2399*(AP11)^2)-(0.4301*AP11)+0.641</f>
        <v>0.847925319168438</v>
      </c>
      <c r="AT11" s="7" t="n">
        <f aca="false">(-0.4508*(AQ11)^3)+(1.2399*(AQ11)^2)-(0.4301*AQ11)+0.641</f>
        <v>0.876072661135221</v>
      </c>
      <c r="AU11" s="7" t="n">
        <f aca="false">AR11*$AN11</f>
        <v>1.36094616724388</v>
      </c>
      <c r="AV11" s="7" t="n">
        <f aca="false">AS11*$AN11</f>
        <v>1.48050452553219</v>
      </c>
      <c r="AW11" s="7" t="n">
        <f aca="false">AT11*$AN11</f>
        <v>1.52965067817261</v>
      </c>
      <c r="AX11" s="7" t="n">
        <f aca="false">AK11+AU11</f>
        <v>21.7293116077773</v>
      </c>
      <c r="AY11" s="7" t="n">
        <f aca="false">AL11+AV11</f>
        <v>24.9674499483557</v>
      </c>
      <c r="AZ11" s="7" t="n">
        <f aca="false">AM11+AW11</f>
        <v>26.2420792197011</v>
      </c>
      <c r="BA11" s="35" t="n">
        <f aca="false">(0.3333*AX11)+(0.3333*AY11)+(0.3333*AZ11)</f>
        <v>24.3105156305855</v>
      </c>
      <c r="BB11" s="36" t="n">
        <f aca="false">BA11/Q11</f>
        <v>0.909317113120479</v>
      </c>
      <c r="BC11" s="36" t="n">
        <f aca="false">BB11-J11</f>
        <v>-0.0306828868795205</v>
      </c>
      <c r="BD11" s="37" t="n">
        <f aca="false">IF((U11=$U$19),(R11-BB11)*100,U23)</f>
        <v>17.0965810231602</v>
      </c>
      <c r="BE11" s="38"/>
    </row>
    <row r="12" s="39" customFormat="true" ht="15" hidden="false" customHeight="false" outlineLevel="0" collapsed="false">
      <c r="A12" s="40" t="str">
        <f aca="false">'III Database Fields'!L38</f>
        <v>B4XZL5</v>
      </c>
      <c r="B12" s="41" t="str">
        <f aca="false">'III Database Fields'!L2</f>
        <v>xxx</v>
      </c>
      <c r="C12" s="41" t="n">
        <f aca="false">'III Database Fields'!L1</f>
        <v>11</v>
      </c>
      <c r="D12" s="41" t="s">
        <v>112</v>
      </c>
      <c r="E12" s="41" t="s">
        <v>112</v>
      </c>
      <c r="F12" s="29" t="n">
        <v>95.4</v>
      </c>
      <c r="G12" s="29" t="s">
        <v>113</v>
      </c>
      <c r="H12" s="41" t="n">
        <v>40</v>
      </c>
      <c r="I12" s="42" t="str">
        <f aca="false">'III Database Fields'!L5</f>
        <v>IL</v>
      </c>
      <c r="J12" s="42" t="n">
        <f aca="false">'III Database Fields'!L32</f>
        <v>0.92</v>
      </c>
      <c r="K12" s="42" t="n">
        <f aca="false">'III Database Fields'!L92</f>
        <v>3600</v>
      </c>
      <c r="L12" s="43" t="n">
        <f aca="false">'III Database Fields'!L8</f>
        <v>29.258</v>
      </c>
      <c r="M12" s="43" t="n">
        <f aca="false">'III Database Fields'!L6</f>
        <v>39.9458</v>
      </c>
      <c r="N12" s="43" t="n">
        <f aca="false">'III Database Fields'!L7</f>
        <v>44.2452</v>
      </c>
      <c r="O12" s="42" t="n">
        <f aca="false">'III Database Fields'!L29</f>
        <v>50</v>
      </c>
      <c r="P12" s="42" t="n">
        <f aca="false">'III Database Fields'!L56</f>
        <v>93</v>
      </c>
      <c r="Q12" s="42" t="n">
        <f aca="false">'III Database Fields'!L70</f>
        <v>41.100599673913</v>
      </c>
      <c r="R12" s="44" t="n">
        <f aca="false">'III Database Fields'!L33</f>
        <v>1.14896043469693</v>
      </c>
      <c r="S12" s="7" t="str">
        <f aca="false">G12&amp;I12&amp;-H12&amp;-K12</f>
        <v>openIL-40-3600</v>
      </c>
      <c r="T12" s="20" t="n">
        <f aca="false">VLOOKUP(S12,'Minimum Motor'!$O$8:$P$327,2,0)</f>
        <v>92.4</v>
      </c>
      <c r="U12" s="20" t="str">
        <f aca="false">IF(T12&gt;F12,$U$18,$U$19)</f>
        <v>Proceed</v>
      </c>
      <c r="V12" s="20" t="n">
        <f aca="false">(INDEX('Minimum Motor'!$T$9:$T$47,(MATCH($F12,'Minimum Motor'!$S$9:$S$47,1)),1))-(INDEX('Minimum Motor'!$X$9:$X$47,MATCH($T12,'Minimum Motor'!$W$9:$W$47,-1),1))</f>
        <v>6</v>
      </c>
      <c r="W12" s="20" t="e">
        <f aca="false">(MATCH($P12,'minimum motor'!#ref!,1))</f>
        <v>#VALUE!</v>
      </c>
      <c r="X12" s="20" t="e">
        <f aca="false">V12+W12</f>
        <v>#VALUE!</v>
      </c>
      <c r="Y12" s="20" t="e">
        <f aca="false">INDEX('minimum motor'!#ref!,X12,1)</f>
        <v>#VALUE!</v>
      </c>
      <c r="Z12" s="20" t="n">
        <f aca="false">INDEX('Minimum Motor'!$S$9:$T$47,(((MATCH(III_V!$P12,'Minimum Motor'!$S$9:$S$47,1)))+III_V!$V12),1)</f>
        <v>95.8</v>
      </c>
      <c r="AA12" s="7" t="n">
        <f aca="false">(O12/(P12/100))-O12</f>
        <v>3.76344086021505</v>
      </c>
      <c r="AB12" s="45" t="n">
        <f aca="false">IF(L12/($O12+$AA12)&gt;=1, 1, L12/($O12+$AA12))</f>
        <v>0.5441988</v>
      </c>
      <c r="AC12" s="45" t="n">
        <f aca="false">IF(M12/($O12+$AA12)&gt;=1, 1, M12/($O12+$AA12))</f>
        <v>0.74299188</v>
      </c>
      <c r="AD12" s="45" t="n">
        <f aca="false">IF(N12/($O12+$AA12)&gt;=1, 1, N12/($O12+$AA12))</f>
        <v>0.82296072</v>
      </c>
      <c r="AE12" s="46" t="n">
        <f aca="false">(-0.4508*(AB12)^3)+(1.2399*(AB12)^2)-(0.4301*AB12)+0.641</f>
        <v>0.701485857221643</v>
      </c>
      <c r="AF12" s="46" t="n">
        <f aca="false">(-0.4508*(AC12)^3)+(1.2399*(AC12)^2)-(0.4301*AC12)+0.641</f>
        <v>0.8210101277412</v>
      </c>
      <c r="AG12" s="46" t="n">
        <f aca="false">(-0.4508*(AD12)^3)+(1.2399*(AD12)^2)-(0.4301*AD12)+0.641</f>
        <v>0.875525888729844</v>
      </c>
      <c r="AH12" s="47" t="n">
        <f aca="false">AE12*$AA12</f>
        <v>2.64000053793091</v>
      </c>
      <c r="AI12" s="47" t="n">
        <f aca="false">AF12*$AA12</f>
        <v>3.08982306139161</v>
      </c>
      <c r="AJ12" s="47" t="n">
        <f aca="false">AG12*$AA12</f>
        <v>3.29498990382199</v>
      </c>
      <c r="AK12" s="47" t="n">
        <f aca="false">(L12-AH12)</f>
        <v>26.6179994620691</v>
      </c>
      <c r="AL12" s="47" t="n">
        <f aca="false">(M12-AI12)</f>
        <v>36.8559769386084</v>
      </c>
      <c r="AM12" s="47" t="n">
        <f aca="false">(N12-AJ12)</f>
        <v>40.950210096178</v>
      </c>
      <c r="AN12" s="47" t="n">
        <f aca="false">(O12/(Z12/100))-O12</f>
        <v>2.19206680584551</v>
      </c>
      <c r="AO12" s="47" t="n">
        <f aca="false">IF((AK12/$O12)&gt;=1,1,AK12/$O12)</f>
        <v>0.532359989241382</v>
      </c>
      <c r="AP12" s="47" t="n">
        <f aca="false">IF((AL12/$O12)&gt;=1,1,AL12/$O12)</f>
        <v>0.737119538772168</v>
      </c>
      <c r="AQ12" s="47" t="n">
        <f aca="false">IF((AM12/$O12)&gt;=1,1,AM12/$O12)</f>
        <v>0.81900420192356</v>
      </c>
      <c r="AR12" s="46" t="n">
        <f aca="false">(-0.4508*(AO12)^3)+(1.2399*(AO12)^2)-(0.4301*AO12)+0.641</f>
        <v>0.695414220058571</v>
      </c>
      <c r="AS12" s="46" t="n">
        <f aca="false">(-0.4508*(AP12)^3)+(1.2399*(AP12)^2)-(0.4301*AP12)+0.641</f>
        <v>0.817108541220944</v>
      </c>
      <c r="AT12" s="46" t="n">
        <f aca="false">(-0.4508*(AQ12)^3)+(1.2399*(AQ12)^2)-(0.4301*AQ12)+0.641</f>
        <v>0.872779129699445</v>
      </c>
      <c r="AU12" s="46" t="n">
        <f aca="false">AR12*$AN12</f>
        <v>1.52439442810334</v>
      </c>
      <c r="AV12" s="46" t="n">
        <f aca="false">AS12*$AN12</f>
        <v>1.79115650998328</v>
      </c>
      <c r="AW12" s="46" t="n">
        <f aca="false">AT12*$AN12</f>
        <v>1.91319015904889</v>
      </c>
      <c r="AX12" s="46" t="n">
        <f aca="false">AK12+AU12</f>
        <v>28.1423938901724</v>
      </c>
      <c r="AY12" s="46" t="n">
        <f aca="false">AL12+AV12</f>
        <v>38.6471334485917</v>
      </c>
      <c r="AZ12" s="46" t="n">
        <f aca="false">AM12+AW12</f>
        <v>42.8634002552269</v>
      </c>
      <c r="BA12" s="35" t="n">
        <f aca="false">(0.3333*AX12)+(0.3333*AY12)+(0.3333*AZ12)</f>
        <v>36.5473207670772</v>
      </c>
      <c r="BB12" s="36" t="n">
        <f aca="false">BA12/Q12</f>
        <v>0.889216241540002</v>
      </c>
      <c r="BC12" s="36" t="n">
        <f aca="false">BB12-J12</f>
        <v>-0.0307837584599977</v>
      </c>
      <c r="BD12" s="37" t="n">
        <f aca="false">IF((U12=$U$19),(R12-BB12)*100,U24)</f>
        <v>25.9744193156927</v>
      </c>
      <c r="BE12" s="38"/>
    </row>
    <row r="13" s="39" customFormat="true" ht="15" hidden="false" customHeight="false" outlineLevel="0" collapsed="false">
      <c r="A13" s="40" t="str">
        <f aca="false">'III Database Fields'!K38</f>
        <v>Y5PG85</v>
      </c>
      <c r="B13" s="29" t="str">
        <f aca="false">'III Database Fields'!K2</f>
        <v>xxx</v>
      </c>
      <c r="C13" s="41" t="n">
        <f aca="false">'III Database Fields'!K1</f>
        <v>10</v>
      </c>
      <c r="D13" s="41" t="s">
        <v>112</v>
      </c>
      <c r="E13" s="41" t="s">
        <v>112</v>
      </c>
      <c r="F13" s="29" t="n">
        <v>96</v>
      </c>
      <c r="G13" s="29" t="s">
        <v>114</v>
      </c>
      <c r="H13" s="41" t="n">
        <f aca="false">'III Database Fields'!K95</f>
        <v>50</v>
      </c>
      <c r="I13" s="42" t="str">
        <f aca="false">'III Database Fields'!K5</f>
        <v>IL</v>
      </c>
      <c r="J13" s="44" t="n">
        <f aca="false">'III Database Fields'!K32</f>
        <v>0.900333918371054</v>
      </c>
      <c r="K13" s="42" t="n">
        <f aca="false">'III Database Fields'!K92</f>
        <v>3600</v>
      </c>
      <c r="L13" s="48" t="n">
        <f aca="false">'III Database Fields'!K8</f>
        <v>37.8928434075323</v>
      </c>
      <c r="M13" s="48" t="n">
        <f aca="false">'III Database Fields'!K6</f>
        <v>51.6156895012263</v>
      </c>
      <c r="N13" s="48" t="n">
        <f aca="false">'III Database Fields'!K7</f>
        <v>57.1430796382283</v>
      </c>
      <c r="O13" s="42" t="n">
        <f aca="false">'III Database Fields'!K29</f>
        <v>75</v>
      </c>
      <c r="P13" s="42" t="n">
        <f aca="false">'III Database Fields'!K56</f>
        <v>93.6</v>
      </c>
      <c r="Q13" s="49" t="n">
        <f aca="false">'III Database Fields'!K70</f>
        <v>54.289837875203</v>
      </c>
      <c r="R13" s="44" t="n">
        <f aca="false">'III Database Fields'!K33</f>
        <v>1.12467134911685</v>
      </c>
      <c r="S13" s="7" t="str">
        <f aca="false">G13&amp;I13&amp;-H13&amp;-K13</f>
        <v>enclosedIL-50-3600</v>
      </c>
      <c r="T13" s="20" t="n">
        <f aca="false">VLOOKUP(S13,'Minimum Motor'!$O$8:$P$327,2,0)</f>
        <v>93</v>
      </c>
      <c r="U13" s="20" t="str">
        <f aca="false">IF(T13&gt;F13,$U$18,$U$19)</f>
        <v>Proceed</v>
      </c>
      <c r="V13" s="20" t="n">
        <f aca="false">(INDEX('Minimum Motor'!$T$9:$T$47,(MATCH($F13,'Minimum Motor'!$S$9:$S$47,1)),1))-(INDEX('Minimum Motor'!$X$9:$X$47,MATCH($T13,'Minimum Motor'!$W$9:$W$47,-1),1))</f>
        <v>6</v>
      </c>
      <c r="W13" s="20" t="e">
        <f aca="false">(MATCH($P13,'minimum motor'!#ref!,1))</f>
        <v>#VALUE!</v>
      </c>
      <c r="X13" s="20" t="e">
        <f aca="false">V13+W13</f>
        <v>#VALUE!</v>
      </c>
      <c r="Y13" s="20" t="e">
        <f aca="false">INDEX('minimum motor'!#ref!,X13,1)</f>
        <v>#VALUE!</v>
      </c>
      <c r="Z13" s="20" t="n">
        <f aca="false">INDEX('Minimum Motor'!$S$9:$T$47,(((MATCH(III_V!$P13,'Minimum Motor'!$S$9:$S$47,1)))+III_V!$V13),1)</f>
        <v>96.2</v>
      </c>
      <c r="AA13" s="7" t="n">
        <f aca="false">(O13/(P13/100))-O13</f>
        <v>5.12820512820514</v>
      </c>
      <c r="AB13" s="45" t="n">
        <f aca="false">IF(L13/($O13+$AA13)&gt;=1, 1, L13/($O13+$AA13))</f>
        <v>0.472902685726003</v>
      </c>
      <c r="AC13" s="45" t="n">
        <f aca="false">IF(M13/($O13+$AA13)&gt;=1, 1, M13/($O13+$AA13))</f>
        <v>0.644163804975304</v>
      </c>
      <c r="AD13" s="45" t="n">
        <f aca="false">IF(N13/($O13+$AA13)&gt;=1, 1, N13/($O13+$AA13))</f>
        <v>0.713145633885089</v>
      </c>
      <c r="AE13" s="46" t="n">
        <f aca="false">(-0.4508*(AB13)^3)+(1.2399*(AB13)^2)-(0.4301*AB13)+0.641</f>
        <v>0.667216071106987</v>
      </c>
      <c r="AF13" s="46" t="n">
        <f aca="false">(-0.4508*(AC13)^3)+(1.2399*(AC13)^2)-(0.4301*AC13)+0.641</f>
        <v>0.757941877691538</v>
      </c>
      <c r="AG13" s="46" t="n">
        <f aca="false">(-0.4508*(AD13)^3)+(1.2399*(AD13)^2)-(0.4301*AD13)+0.641</f>
        <v>0.801359993424975</v>
      </c>
      <c r="AH13" s="47" t="n">
        <f aca="false">AE13*$AA13</f>
        <v>3.42162087747174</v>
      </c>
      <c r="AI13" s="47" t="n">
        <f aca="false">AF13*$AA13</f>
        <v>3.88688142405917</v>
      </c>
      <c r="AJ13" s="47" t="n">
        <f aca="false">AG13*$AA13</f>
        <v>4.10953842782039</v>
      </c>
      <c r="AK13" s="47" t="n">
        <f aca="false">(L13-AH13)</f>
        <v>34.4712225300605</v>
      </c>
      <c r="AL13" s="47" t="n">
        <f aca="false">(M13-AI13)</f>
        <v>47.7288080771671</v>
      </c>
      <c r="AM13" s="47" t="n">
        <f aca="false">(N13-AJ13)</f>
        <v>53.0335412104079</v>
      </c>
      <c r="AN13" s="47" t="n">
        <f aca="false">(O13/(Z13/100))-O13</f>
        <v>2.96257796257795</v>
      </c>
      <c r="AO13" s="47" t="n">
        <f aca="false">IF((AK13/$O13)&gt;=1,1,AK13/$O13)</f>
        <v>0.459616300400807</v>
      </c>
      <c r="AP13" s="47" t="n">
        <f aca="false">IF((AL13/$O13)&gt;=1,1,AL13/$O13)</f>
        <v>0.636384107695561</v>
      </c>
      <c r="AQ13" s="47" t="n">
        <f aca="false">IF((AM13/$O13)&gt;=1,1,AM13/$O13)</f>
        <v>0.707113882805438</v>
      </c>
      <c r="AR13" s="46" t="n">
        <f aca="false">(-0.4508*(AO13)^3)+(1.2399*(AO13)^2)-(0.4301*AO13)+0.641</f>
        <v>0.661475004661445</v>
      </c>
      <c r="AS13" s="46" t="n">
        <f aca="false">(-0.4508*(AP13)^3)+(1.2399*(AP13)^2)-(0.4301*AP13)+0.641</f>
        <v>0.753248953024924</v>
      </c>
      <c r="AT13" s="46" t="n">
        <f aca="false">(-0.4508*(AQ13)^3)+(1.2399*(AQ13)^2)-(0.4301*AQ13)+0.641</f>
        <v>0.797446100996352</v>
      </c>
      <c r="AU13" s="46" t="n">
        <f aca="false">AR13*$AN13</f>
        <v>1.95967127160615</v>
      </c>
      <c r="AV13" s="46" t="n">
        <f aca="false">AS13*$AN13</f>
        <v>2.23155874856655</v>
      </c>
      <c r="AW13" s="46" t="n">
        <f aca="false">AT13*$AN13</f>
        <v>2.3624962451555</v>
      </c>
      <c r="AX13" s="46" t="n">
        <f aca="false">AK13+AU13</f>
        <v>36.4308938016667</v>
      </c>
      <c r="AY13" s="46" t="n">
        <f aca="false">AL13+AV13</f>
        <v>49.9603668257336</v>
      </c>
      <c r="AZ13" s="46" t="n">
        <f aca="false">AM13+AW13</f>
        <v>55.3960374555634</v>
      </c>
      <c r="BA13" s="35" t="n">
        <f aca="false">(0.3333*AX13)+(0.3333*AY13)+(0.3333*AZ13)</f>
        <v>47.2577064510518</v>
      </c>
      <c r="BB13" s="36" t="n">
        <f aca="false">BA13/Q13</f>
        <v>0.870470576089838</v>
      </c>
      <c r="BC13" s="36" t="n">
        <f aca="false">BB13-J13</f>
        <v>-0.0298633422812158</v>
      </c>
      <c r="BD13" s="37" t="n">
        <f aca="false">IF((U13=$U$19),(R13-BB13)*100,U25)</f>
        <v>25.4200773027015</v>
      </c>
      <c r="BE13" s="38"/>
    </row>
    <row r="14" s="39" customFormat="true" ht="15" hidden="false" customHeight="false" outlineLevel="0" collapsed="false">
      <c r="A14" s="28" t="str">
        <f aca="false">'III Database Fields'!G38</f>
        <v>85WZM5</v>
      </c>
      <c r="B14" s="29" t="str">
        <f aca="false">'III Database Fields'!G2</f>
        <v>xxx</v>
      </c>
      <c r="C14" s="29" t="n">
        <f aca="false">'III Database Fields'!G1</f>
        <v>6</v>
      </c>
      <c r="D14" s="29" t="s">
        <v>112</v>
      </c>
      <c r="E14" s="29" t="s">
        <v>112</v>
      </c>
      <c r="F14" s="29" t="n">
        <v>96</v>
      </c>
      <c r="G14" s="29" t="s">
        <v>113</v>
      </c>
      <c r="H14" s="29" t="n">
        <f aca="false">'III Database Fields'!G95</f>
        <v>50</v>
      </c>
      <c r="I14" s="30" t="str">
        <f aca="false">'III Database Fields'!G5</f>
        <v>ESFM</v>
      </c>
      <c r="J14" s="30" t="n">
        <f aca="false">'III Database Fields'!G32</f>
        <v>0.91</v>
      </c>
      <c r="K14" s="30" t="n">
        <f aca="false">'III Database Fields'!G92</f>
        <v>3600</v>
      </c>
      <c r="L14" s="30" t="n">
        <f aca="false">'III Database Fields'!G8</f>
        <v>59.3</v>
      </c>
      <c r="M14" s="30" t="n">
        <f aca="false">'III Database Fields'!G6</f>
        <v>69.6</v>
      </c>
      <c r="N14" s="30" t="n">
        <f aca="false">'III Database Fields'!G7</f>
        <v>73.8</v>
      </c>
      <c r="O14" s="30" t="n">
        <f aca="false">'III Database Fields'!G29</f>
        <v>75</v>
      </c>
      <c r="P14" s="31" t="n">
        <f aca="false">'III Database Fields'!G56</f>
        <v>93.6</v>
      </c>
      <c r="Q14" s="32" t="n">
        <f aca="false">'III Database Fields'!G70</f>
        <v>74.2416593406593</v>
      </c>
      <c r="R14" s="33" t="n">
        <f aca="false">'III Database Fields'!G33</f>
        <v>1.08840036392656</v>
      </c>
      <c r="S14" s="7" t="str">
        <f aca="false">G14&amp;I14&amp;-H14&amp;-K14</f>
        <v>openESFM-50-3600</v>
      </c>
      <c r="T14" s="20" t="n">
        <f aca="false">VLOOKUP(S14,'Minimum Motor'!$O$8:$P$327,2,0)</f>
        <v>93</v>
      </c>
      <c r="U14" s="20" t="str">
        <f aca="false">IF(T14&gt;F14,$U$18,$U$19)</f>
        <v>Proceed</v>
      </c>
      <c r="V14" s="20" t="n">
        <f aca="false">(INDEX('Minimum Motor'!$T$9:$T$47,(MATCH($F14,'Minimum Motor'!$S$9:$S$47,1)),1))-(INDEX('Minimum Motor'!$X$9:$X$47,MATCH($T14,'Minimum Motor'!$W$9:$W$47,-1),1))</f>
        <v>6</v>
      </c>
      <c r="W14" s="20" t="e">
        <f aca="false">(MATCH($P14,'minimum motor'!#ref!,1))</f>
        <v>#VALUE!</v>
      </c>
      <c r="X14" s="20" t="e">
        <f aca="false">V14+W14</f>
        <v>#VALUE!</v>
      </c>
      <c r="Y14" s="20" t="e">
        <f aca="false">INDEX('minimum motor'!#ref!,X14,1)</f>
        <v>#VALUE!</v>
      </c>
      <c r="Z14" s="20" t="n">
        <f aca="false">INDEX('Minimum Motor'!$S$9:$T$47,(((MATCH(III_V!$P14,'Minimum Motor'!$S$9:$S$47,1)))+III_V!$V14),1)</f>
        <v>96.2</v>
      </c>
      <c r="AA14" s="7" t="n">
        <f aca="false">(O14/(P14/100))-O14</f>
        <v>5.12820512820514</v>
      </c>
      <c r="AB14" s="20" t="n">
        <f aca="false">IF(L14/($O14+$AA14)&gt;=1, 1, L14/($O14+$AA14))</f>
        <v>0.740064</v>
      </c>
      <c r="AC14" s="20" t="n">
        <f aca="false">IF(M14/($O14+$AA14)&gt;=1, 1, M14/($O14+$AA14))</f>
        <v>0.868608</v>
      </c>
      <c r="AD14" s="20" t="n">
        <f aca="false">IF(N14/($O14+$AA14)&gt;=1, 1, N14/($O14+$AA14))</f>
        <v>0.921024</v>
      </c>
      <c r="AE14" s="7" t="n">
        <f aca="false">(-0.4508*(AB14)^3)+(1.2399*(AB14)^2)-(0.4301*AB14)+0.641</f>
        <v>0.819062781955974</v>
      </c>
      <c r="AF14" s="7" t="n">
        <f aca="false">(-0.4508*(AC14)^3)+(1.2399*(AC14)^2)-(0.4301*AC14)+0.641</f>
        <v>0.907460738832814</v>
      </c>
      <c r="AG14" s="7" t="n">
        <f aca="false">(-0.4508*(AD14)^3)+(1.2399*(AD14)^2)-(0.4301*AD14)+0.641</f>
        <v>0.944450408710052</v>
      </c>
      <c r="AH14" s="34" t="n">
        <f aca="false">AE14*$AA14</f>
        <v>4.20032195874859</v>
      </c>
      <c r="AI14" s="34" t="n">
        <f aca="false">AF14*$AA14</f>
        <v>4.65364481452726</v>
      </c>
      <c r="AJ14" s="34" t="n">
        <f aca="false">AG14*$AA14</f>
        <v>4.84333542928233</v>
      </c>
      <c r="AK14" s="34" t="n">
        <f aca="false">(L14-AH14)</f>
        <v>55.0996780412514</v>
      </c>
      <c r="AL14" s="34" t="n">
        <f aca="false">(M14-AI14)</f>
        <v>64.9463551854727</v>
      </c>
      <c r="AM14" s="34" t="n">
        <f aca="false">(N14-AJ14)</f>
        <v>68.9566645707177</v>
      </c>
      <c r="AN14" s="34" t="n">
        <f aca="false">(O14/(Z14/100))-O14</f>
        <v>2.96257796257795</v>
      </c>
      <c r="AO14" s="34" t="n">
        <f aca="false">IF((AK14/$O14)&gt;=1,1,AK14/$O14)</f>
        <v>0.734662373883352</v>
      </c>
      <c r="AP14" s="34" t="n">
        <f aca="false">IF((AL14/$O14)&gt;=1,1,AL14/$O14)</f>
        <v>0.86595140247297</v>
      </c>
      <c r="AQ14" s="34" t="n">
        <f aca="false">IF((AM14/$O14)&gt;=1,1,AM14/$O14)</f>
        <v>0.919422194276235</v>
      </c>
      <c r="AR14" s="7" t="n">
        <f aca="false">(-0.4508*(AO14)^3)+(1.2399*(AO14)^2)-(0.4301*AO14)+0.641</f>
        <v>0.815480941973356</v>
      </c>
      <c r="AS14" s="7" t="n">
        <f aca="false">(-0.4508*(AP14)^3)+(1.2399*(AP14)^2)-(0.4301*AP14)+0.641</f>
        <v>0.90559224970201</v>
      </c>
      <c r="AT14" s="7" t="n">
        <f aca="false">(-0.4508*(AQ14)^3)+(1.2399*(AQ14)^2)-(0.4301*AQ14)+0.641</f>
        <v>0.943318504931036</v>
      </c>
      <c r="AU14" s="7" t="n">
        <f aca="false">AR14*$AN14</f>
        <v>2.41592586759257</v>
      </c>
      <c r="AV14" s="7" t="n">
        <f aca="false">AS14*$AN14</f>
        <v>2.68288764204856</v>
      </c>
      <c r="AW14" s="7" t="n">
        <f aca="false">AT14*$AN14</f>
        <v>2.79465461440067</v>
      </c>
      <c r="AX14" s="7" t="n">
        <f aca="false">AK14+AU14</f>
        <v>57.515603908844</v>
      </c>
      <c r="AY14" s="7" t="n">
        <f aca="false">AL14+AV14</f>
        <v>67.6292428275213</v>
      </c>
      <c r="AZ14" s="7" t="n">
        <f aca="false">AM14+AW14</f>
        <v>71.7513191851183</v>
      </c>
      <c r="BA14" s="35" t="n">
        <f aca="false">(0.3333*AX14)+(0.3333*AY14)+(0.3333*AZ14)</f>
        <v>65.6254921016305</v>
      </c>
      <c r="BB14" s="36" t="n">
        <f aca="false">BA14/Q14</f>
        <v>0.883944306800938</v>
      </c>
      <c r="BC14" s="36" t="n">
        <f aca="false">BB14-J14</f>
        <v>-0.0260556931990619</v>
      </c>
      <c r="BD14" s="37" t="n">
        <f aca="false">IF((U14=$U$19),(R14-BB14)*100,U26)</f>
        <v>20.4456057125622</v>
      </c>
      <c r="BE14" s="38"/>
    </row>
    <row r="15" s="63" customFormat="true" ht="15" hidden="false" customHeight="false" outlineLevel="0" collapsed="false">
      <c r="A15" s="50" t="str">
        <f aca="false">'III Database Fields'!C38</f>
        <v>X4KK74</v>
      </c>
      <c r="B15" s="51" t="str">
        <f aca="false">'III Database Fields'!C2</f>
        <v>xxx</v>
      </c>
      <c r="C15" s="51" t="n">
        <f aca="false">'III Database Fields'!C1</f>
        <v>2</v>
      </c>
      <c r="D15" s="51" t="s">
        <v>112</v>
      </c>
      <c r="E15" s="51" t="s">
        <v>112</v>
      </c>
      <c r="F15" s="51" t="n">
        <v>98.4</v>
      </c>
      <c r="G15" s="51" t="s">
        <v>114</v>
      </c>
      <c r="H15" s="51" t="n">
        <f aca="false">'III Database Fields'!C95</f>
        <v>100</v>
      </c>
      <c r="I15" s="52" t="str">
        <f aca="false">'III Database Fields'!C5</f>
        <v>ESFM</v>
      </c>
      <c r="J15" s="52" t="n">
        <f aca="false">'III Database Fields'!C32</f>
        <v>0.95</v>
      </c>
      <c r="K15" s="52" t="n">
        <f aca="false">'III Database Fields'!C92</f>
        <v>1800</v>
      </c>
      <c r="L15" s="52" t="n">
        <f aca="false">'III Database Fields'!C8</f>
        <v>86.9</v>
      </c>
      <c r="M15" s="52" t="n">
        <f aca="false">'III Database Fields'!C6</f>
        <v>102</v>
      </c>
      <c r="N15" s="52" t="n">
        <f aca="false">'III Database Fields'!C7</f>
        <v>108</v>
      </c>
      <c r="O15" s="52" t="n">
        <f aca="false">'III Database Fields'!C29</f>
        <v>125</v>
      </c>
      <c r="P15" s="53" t="n">
        <f aca="false">'III Database Fields'!C56</f>
        <v>95.4</v>
      </c>
      <c r="Q15" s="54" t="n">
        <f aca="false">'III Database Fields'!C70</f>
        <v>104.165021052632</v>
      </c>
      <c r="R15" s="55" t="n">
        <f aca="false">'III Database Fields'!C33</f>
        <v>1.07904337594123</v>
      </c>
      <c r="S15" s="56" t="str">
        <f aca="false">G15&amp;I15&amp;-H15&amp;-K15</f>
        <v>enclosedESFM-100-1800</v>
      </c>
      <c r="T15" s="57" t="n">
        <f aca="false">VLOOKUP(S15,'Minimum Motor'!$O$8:$P$327,2,0)</f>
        <v>95.4</v>
      </c>
      <c r="U15" s="57" t="str">
        <f aca="false">IF(T15&gt;F15,$U$18,$U$19)</f>
        <v>Proceed</v>
      </c>
      <c r="V15" s="57" t="n">
        <f aca="false">(INDEX('Minimum Motor'!$T$9:$T$47,(MATCH($F15,'Minimum Motor'!$S$9:$S$47,1)),1))-(INDEX('Minimum Motor'!$X$9:$X$47,MATCH($T15,'Minimum Motor'!$W$9:$W$47,-1),1))</f>
        <v>11</v>
      </c>
      <c r="W15" s="57" t="e">
        <f aca="false">(MATCH($P15,'minimum motor'!#ref!,1))</f>
        <v>#VALUE!</v>
      </c>
      <c r="X15" s="57" t="e">
        <f aca="false">V15+W15</f>
        <v>#VALUE!</v>
      </c>
      <c r="Y15" s="57" t="e">
        <f aca="false">INDEX('minimum motor'!#ref!,X15,1)</f>
        <v>#VALUE!</v>
      </c>
      <c r="Z15" s="57" t="n">
        <f aca="false">INDEX('Minimum Motor'!$S$9:$T$47,(((MATCH(III_V!$P15,'Minimum Motor'!$S$9:$S$47,1)))+III_V!$V15),1)</f>
        <v>98.4</v>
      </c>
      <c r="AA15" s="56" t="n">
        <f aca="false">(O15/(P15/100))-O15</f>
        <v>6.02725366876308</v>
      </c>
      <c r="AB15" s="57" t="n">
        <f aca="false">IF(L15/($O15+$AA15)&gt;=1, 1, L15/($O15+$AA15))</f>
        <v>0.6632208</v>
      </c>
      <c r="AC15" s="57" t="n">
        <f aca="false">IF(M15/($O15+$AA15)&gt;=1, 1, M15/($O15+$AA15))</f>
        <v>0.778464</v>
      </c>
      <c r="AD15" s="57" t="n">
        <f aca="false">IF(N15/($O15+$AA15)&gt;=1, 1, N15/($O15+$AA15))</f>
        <v>0.824256</v>
      </c>
      <c r="AE15" s="56" t="n">
        <f aca="false">(-0.4508*(AB15)^3)+(1.2399*(AB15)^2)-(0.4301*AB15)+0.641</f>
        <v>0.769623554452316</v>
      </c>
      <c r="AF15" s="56" t="n">
        <f aca="false">(-0.4508*(AC15)^3)+(1.2399*(AC15)^2)-(0.4301*AC15)+0.641</f>
        <v>0.844903012431225</v>
      </c>
      <c r="AG15" s="56" t="n">
        <f aca="false">(-0.4508*(AD15)^3)+(1.2399*(AD15)^2)-(0.4301*AD15)+0.641</f>
        <v>0.876425990902218</v>
      </c>
      <c r="AH15" s="58" t="n">
        <f aca="false">AE15*$AA15</f>
        <v>4.6387163921392</v>
      </c>
      <c r="AI15" s="58" t="n">
        <f aca="false">AF15*$AA15</f>
        <v>5.09244478142508</v>
      </c>
      <c r="AJ15" s="58" t="n">
        <f aca="false">AG15*$AA15</f>
        <v>5.28244176906471</v>
      </c>
      <c r="AK15" s="58" t="n">
        <f aca="false">(L15-AH15)</f>
        <v>82.2612836078608</v>
      </c>
      <c r="AL15" s="58" t="n">
        <f aca="false">(M15-AI15)</f>
        <v>96.9075552185749</v>
      </c>
      <c r="AM15" s="58" t="n">
        <f aca="false">(N15-AJ15)</f>
        <v>102.717558230935</v>
      </c>
      <c r="AN15" s="58" t="n">
        <f aca="false">(O15/(Z15/100))-O15</f>
        <v>2.03252032520324</v>
      </c>
      <c r="AO15" s="58" t="n">
        <f aca="false">IF((AK15/$O15)&gt;=1,1,AK15/$O15)</f>
        <v>0.658090268862886</v>
      </c>
      <c r="AP15" s="58" t="n">
        <f aca="false">IF((AL15/$O15)&gt;=1,1,AL15/$O15)</f>
        <v>0.775260441748599</v>
      </c>
      <c r="AQ15" s="58" t="n">
        <f aca="false">IF((AM15/$O15)&gt;=1,1,AM15/$O15)</f>
        <v>0.821740465847482</v>
      </c>
      <c r="AR15" s="56" t="n">
        <f aca="false">(-0.4508*(AO15)^3)+(1.2399*(AO15)^2)-(0.4301*AO15)+0.641</f>
        <v>0.766453325549768</v>
      </c>
      <c r="AS15" s="56" t="n">
        <f aca="false">(-0.4508*(AP15)^3)+(1.2399*(AP15)^2)-(0.4301*AP15)+0.641</f>
        <v>0.842724053936527</v>
      </c>
      <c r="AT15" s="56" t="n">
        <f aca="false">(-0.4508*(AQ15)^3)+(1.2399*(AQ15)^2)-(0.4301*AQ15)+0.641</f>
        <v>0.874678312232758</v>
      </c>
      <c r="AU15" s="56" t="n">
        <f aca="false">AR15*$AN15</f>
        <v>1.55783196249952</v>
      </c>
      <c r="AV15" s="56" t="n">
        <f aca="false">AS15*$AN15</f>
        <v>1.71285376816366</v>
      </c>
      <c r="AW15" s="56" t="n">
        <f aca="false">AT15*$AN15</f>
        <v>1.77780144762754</v>
      </c>
      <c r="AX15" s="56" t="n">
        <f aca="false">AK15+AU15</f>
        <v>83.8191155703603</v>
      </c>
      <c r="AY15" s="56" t="n">
        <f aca="false">AL15+AV15</f>
        <v>98.6204089867386</v>
      </c>
      <c r="AZ15" s="56" t="n">
        <f aca="false">AM15+AW15</f>
        <v>104.495359678563</v>
      </c>
      <c r="BA15" s="59" t="n">
        <f aca="false">(0.3333*AX15)+(0.3333*AY15)+(0.3333*AZ15)</f>
        <v>95.6353969157461</v>
      </c>
      <c r="BB15" s="60" t="n">
        <f aca="false">BA15/Q15</f>
        <v>0.918114314664462</v>
      </c>
      <c r="BC15" s="60" t="n">
        <f aca="false">BB15-J15</f>
        <v>-0.0318856853355383</v>
      </c>
      <c r="BD15" s="61" t="n">
        <f aca="false">IF((U15=$U$19),(R15-BB15)*100,U27)</f>
        <v>16.092906127677</v>
      </c>
      <c r="BE15" s="62"/>
    </row>
    <row r="16" customFormat="false" ht="15" hidden="false" customHeight="false" outlineLevel="0" collapsed="false">
      <c r="A16" s="64" t="str">
        <f aca="false">'III Database Fields'!B38</f>
        <v>N4Z914</v>
      </c>
      <c r="B16" s="29" t="str">
        <f aca="false">'III Database Fields'!B2</f>
        <v>xxx</v>
      </c>
      <c r="C16" s="29" t="n">
        <f aca="false">'III Database Fields'!B1</f>
        <v>1</v>
      </c>
      <c r="D16" s="29" t="s">
        <v>112</v>
      </c>
      <c r="E16" s="29" t="s">
        <v>112</v>
      </c>
      <c r="F16" s="29" t="n">
        <v>99.2</v>
      </c>
      <c r="G16" s="29" t="s">
        <v>113</v>
      </c>
      <c r="H16" s="29" t="n">
        <v>200</v>
      </c>
      <c r="I16" s="30" t="str">
        <f aca="false">'III Database Fields'!B5</f>
        <v>ESFM</v>
      </c>
      <c r="J16" s="30" t="n">
        <f aca="false">'III Database Fields'!B32</f>
        <v>0.95</v>
      </c>
      <c r="K16" s="30" t="n">
        <f aca="false">'III Database Fields'!B92</f>
        <v>1800</v>
      </c>
      <c r="L16" s="30" t="n">
        <f aca="false">'III Database Fields'!B8</f>
        <v>170</v>
      </c>
      <c r="M16" s="30" t="n">
        <f aca="false">'III Database Fields'!B6</f>
        <v>197</v>
      </c>
      <c r="N16" s="30" t="n">
        <f aca="false">'III Database Fields'!B7</f>
        <v>208</v>
      </c>
      <c r="O16" s="30" t="n">
        <f aca="false">'III Database Fields'!B29</f>
        <v>250</v>
      </c>
      <c r="P16" s="31" t="n">
        <f aca="false">'III Database Fields'!B56</f>
        <v>95.8</v>
      </c>
      <c r="Q16" s="32" t="n">
        <f aca="false">'III Database Fields'!B70</f>
        <v>201.734210526316</v>
      </c>
      <c r="R16" s="33" t="n">
        <f aca="false">'III Database Fields'!B33</f>
        <v>1.07838270469279</v>
      </c>
      <c r="S16" s="7" t="str">
        <f aca="false">G16&amp;I16&amp;-H16&amp;-K16</f>
        <v>openESFM-200-1800</v>
      </c>
      <c r="T16" s="20" t="n">
        <f aca="false">VLOOKUP(S16,'Minimum Motor'!$O$8:$P$327,2,0)</f>
        <v>95.8</v>
      </c>
      <c r="U16" s="20" t="str">
        <f aca="false">IF(T16&gt;F16,$U$18,$U$19)</f>
        <v>Proceed</v>
      </c>
      <c r="V16" s="20" t="n">
        <f aca="false">(INDEX('Minimum Motor'!$T$9:$T$47,(MATCH($F16,'Minimum Motor'!$S$9:$S$47,1)),1))-(INDEX('Minimum Motor'!$X$9:$X$47,MATCH($T16,'Minimum Motor'!$W$9:$W$47,-1),1))</f>
        <v>16</v>
      </c>
      <c r="W16" s="20" t="e">
        <f aca="false">(MATCH($P16,'minimum motor'!#ref!,1))</f>
        <v>#VALUE!</v>
      </c>
      <c r="X16" s="20" t="e">
        <f aca="false">V16+W16</f>
        <v>#VALUE!</v>
      </c>
      <c r="Y16" s="20" t="e">
        <f aca="false">INDEX('minimum motor'!#ref!,X16,1)</f>
        <v>#VALUE!</v>
      </c>
      <c r="Z16" s="20" t="n">
        <f aca="false">INDEX('Minimum Motor'!$S$9:$T$47,(((MATCH(III_V!$P16,'Minimum Motor'!$S$9:$S$47,1)))+III_V!$V16),1)</f>
        <v>99</v>
      </c>
      <c r="AA16" s="7" t="n">
        <f aca="false">(O16/(P16/100))-O16</f>
        <v>10.9603340292276</v>
      </c>
      <c r="AB16" s="20" t="n">
        <f aca="false">IF(L16/($O16+$AA16)&gt;=1, 1, L16/($O16+$AA16))</f>
        <v>0.65144</v>
      </c>
      <c r="AC16" s="20" t="n">
        <f aca="false">IF(M16/($O16+$AA16)&gt;=1, 1, M16/($O16+$AA16))</f>
        <v>0.754904</v>
      </c>
      <c r="AD16" s="20" t="n">
        <f aca="false">IF(N16/($O16+$AA16)&gt;=1, 1, N16/($O16+$AA16))</f>
        <v>0.797056</v>
      </c>
      <c r="AE16" s="7" t="n">
        <f aca="false">(-0.4508*(AB16)^3)+(1.2399*(AB16)^2)-(0.4301*AB16)+0.641</f>
        <v>0.762371495531742</v>
      </c>
      <c r="AF16" s="7" t="n">
        <f aca="false">(-0.4508*(AC16)^3)+(1.2399*(AC16)^2)-(0.4301*AC16)+0.641</f>
        <v>0.82897377093697</v>
      </c>
      <c r="AG16" s="7" t="n">
        <f aca="false">(-0.4508*(AD16)^3)+(1.2399*(AD16)^2)-(0.4301*AD16)+0.641</f>
        <v>0.85762170816078</v>
      </c>
      <c r="AH16" s="34" t="n">
        <f aca="false">AE16*$AA16</f>
        <v>8.35584624538967</v>
      </c>
      <c r="AI16" s="34" t="n">
        <f aca="false">AF16*$AA16</f>
        <v>9.08582943093757</v>
      </c>
      <c r="AJ16" s="34" t="n">
        <f aca="false">AG16*$AA16</f>
        <v>9.39982039215887</v>
      </c>
      <c r="AK16" s="34" t="n">
        <f aca="false">(L16-AH16)</f>
        <v>161.64415375461</v>
      </c>
      <c r="AL16" s="34" t="n">
        <f aca="false">(M16-AI16)</f>
        <v>187.914170569062</v>
      </c>
      <c r="AM16" s="34" t="n">
        <f aca="false">(N16-AJ16)</f>
        <v>198.600179607841</v>
      </c>
      <c r="AN16" s="34" t="n">
        <f aca="false">(O16/(Z16/100))-O16</f>
        <v>2.52525252525254</v>
      </c>
      <c r="AO16" s="34" t="n">
        <f aca="false">IF((AK16/$O16)&gt;=1,1,AK16/$O16)</f>
        <v>0.646576615018441</v>
      </c>
      <c r="AP16" s="34" t="n">
        <f aca="false">IF((AL16/$O16)&gt;=1,1,AL16/$O16)</f>
        <v>0.75165668227625</v>
      </c>
      <c r="AQ16" s="34" t="n">
        <f aca="false">IF((AM16/$O16)&gt;=1,1,AM16/$O16)</f>
        <v>0.794400718431365</v>
      </c>
      <c r="AR16" s="7" t="n">
        <f aca="false">(-0.4508*(AO16)^3)+(1.2399*(AO16)^2)-(0.4301*AO16)+0.641</f>
        <v>0.759406477825667</v>
      </c>
      <c r="AS16" s="7" t="n">
        <f aca="false">(-0.4508*(AP16)^3)+(1.2399*(AP16)^2)-(0.4301*AP16)+0.641</f>
        <v>0.826796478991009</v>
      </c>
      <c r="AT16" s="7" t="n">
        <f aca="false">(-0.4508*(AQ16)^3)+(1.2399*(AQ16)^2)-(0.4301*AQ16)+0.641</f>
        <v>0.855797984146272</v>
      </c>
      <c r="AU16" s="7" t="n">
        <f aca="false">AR16*$AN16</f>
        <v>1.9176931258224</v>
      </c>
      <c r="AV16" s="7" t="n">
        <f aca="false">AS16*$AN16</f>
        <v>2.08786989644196</v>
      </c>
      <c r="AW16" s="7" t="n">
        <f aca="false">AT16*$AN16</f>
        <v>2.16110602057141</v>
      </c>
      <c r="AX16" s="7" t="n">
        <f aca="false">AK16+AU16</f>
        <v>163.561846880433</v>
      </c>
      <c r="AY16" s="7" t="n">
        <f aca="false">AL16+AV16</f>
        <v>190.002040465504</v>
      </c>
      <c r="AZ16" s="7" t="n">
        <f aca="false">AM16+AW16</f>
        <v>200.761285628413</v>
      </c>
      <c r="BA16" s="35" t="n">
        <f aca="false">(0.3333*AX16)+(0.3333*AY16)+(0.3333*AZ16)</f>
        <v>184.756580152351</v>
      </c>
      <c r="BB16" s="36" t="n">
        <f aca="false">BA16/Q16</f>
        <v>0.915841590131534</v>
      </c>
      <c r="BC16" s="36" t="n">
        <f aca="false">BB16-J16</f>
        <v>-0.0341584098684656</v>
      </c>
      <c r="BD16" s="37" t="n">
        <f aca="false">IF((U16=$U$19),(R16-BB16)*100,U28)</f>
        <v>16.2541114561258</v>
      </c>
      <c r="BE16" s="38"/>
    </row>
    <row r="18" customFormat="false" ht="58.5" hidden="false" customHeight="true" outlineLevel="0" collapsed="false">
      <c r="A18" s="65"/>
      <c r="B18" s="65" t="s">
        <v>115</v>
      </c>
      <c r="C18" s="65"/>
      <c r="F18" s="21" t="s">
        <v>116</v>
      </c>
      <c r="G18" s="21"/>
      <c r="H18" s="66" t="s">
        <v>117</v>
      </c>
      <c r="M18" s="67"/>
      <c r="U18" s="0" t="s">
        <v>118</v>
      </c>
      <c r="V18" s="66" t="s">
        <v>119</v>
      </c>
      <c r="Z18" s="66" t="s">
        <v>120</v>
      </c>
      <c r="BB18" s="68"/>
      <c r="BC18" s="68"/>
      <c r="BD18" s="69"/>
    </row>
    <row r="19" customFormat="false" ht="15" hidden="false" customHeight="false" outlineLevel="0" collapsed="false">
      <c r="F19" s="70"/>
      <c r="G19" s="70"/>
      <c r="M19" s="67"/>
      <c r="U19" s="0" t="s">
        <v>121</v>
      </c>
      <c r="Z19" s="20"/>
      <c r="BB19" s="68"/>
      <c r="BC19" s="68"/>
      <c r="BD19" s="69"/>
    </row>
    <row r="20" customFormat="false" ht="15" hidden="false" customHeight="false" outlineLevel="0" collapsed="false">
      <c r="F20" s="70"/>
      <c r="G20" s="70"/>
      <c r="BB20" s="68"/>
      <c r="BC20" s="68"/>
      <c r="BD20" s="69"/>
    </row>
    <row r="21" customFormat="false" ht="15" hidden="false" customHeight="false" outlineLevel="0" collapsed="false">
      <c r="A21" s="71" t="s">
        <v>122</v>
      </c>
      <c r="B21" s="71"/>
      <c r="F21" s="70"/>
      <c r="G21" s="70"/>
      <c r="U21" s="0" t="n">
        <v>3</v>
      </c>
      <c r="V21" s="0" t="n">
        <v>3</v>
      </c>
      <c r="BB21" s="68"/>
      <c r="BC21" s="68"/>
      <c r="BD21" s="69"/>
    </row>
    <row r="22" customFormat="false" ht="15" hidden="false" customHeight="false" outlineLevel="0" collapsed="false">
      <c r="F22" s="70"/>
      <c r="G22" s="70"/>
      <c r="U22" s="0" t="n">
        <v>3</v>
      </c>
      <c r="V22" s="0" t="n">
        <v>3</v>
      </c>
      <c r="BB22" s="68"/>
      <c r="BC22" s="68"/>
      <c r="BD22" s="69"/>
    </row>
    <row r="23" customFormat="false" ht="15" hidden="false" customHeight="false" outlineLevel="0" collapsed="false">
      <c r="F23" s="70"/>
      <c r="G23" s="70"/>
      <c r="U23" s="0" t="n">
        <v>2</v>
      </c>
      <c r="V23" s="0" t="n">
        <v>2</v>
      </c>
      <c r="BB23" s="68"/>
      <c r="BC23" s="68"/>
      <c r="BD23" s="69"/>
    </row>
    <row r="24" customFormat="false" ht="15" hidden="false" customHeight="false" outlineLevel="0" collapsed="false">
      <c r="B24" s="72"/>
      <c r="F24" s="70"/>
      <c r="G24" s="70"/>
      <c r="U24" s="0" t="n">
        <v>3</v>
      </c>
      <c r="V24" s="0" t="n">
        <v>3</v>
      </c>
      <c r="BB24" s="68"/>
      <c r="BC24" s="68"/>
      <c r="BD24" s="69"/>
    </row>
    <row r="25" customFormat="false" ht="15" hidden="false" customHeight="false" outlineLevel="0" collapsed="false">
      <c r="F25" s="70"/>
      <c r="G25" s="70"/>
      <c r="U25" s="0" t="n">
        <v>5</v>
      </c>
      <c r="V25" s="0" t="n">
        <v>3</v>
      </c>
      <c r="BB25" s="68"/>
      <c r="BC25" s="68"/>
      <c r="BD25" s="69"/>
    </row>
    <row r="26" customFormat="false" ht="15" hidden="false" customHeight="false" outlineLevel="0" collapsed="false">
      <c r="F26" s="70"/>
      <c r="G26" s="70"/>
      <c r="U26" s="0" t="n">
        <v>5</v>
      </c>
      <c r="V26" s="0" t="n">
        <v>5</v>
      </c>
      <c r="BB26" s="68"/>
      <c r="BC26" s="68"/>
      <c r="BD26" s="69"/>
    </row>
    <row r="27" customFormat="false" ht="15" hidden="false" customHeight="false" outlineLevel="0" collapsed="false">
      <c r="F27" s="70"/>
      <c r="G27" s="70"/>
      <c r="U27" s="0" t="n">
        <v>6</v>
      </c>
      <c r="V27" s="0" t="n">
        <v>6</v>
      </c>
      <c r="BB27" s="68"/>
      <c r="BC27" s="68"/>
      <c r="BD27" s="69"/>
    </row>
    <row r="28" customFormat="false" ht="15" hidden="false" customHeight="false" outlineLevel="0" collapsed="false">
      <c r="F28" s="70"/>
      <c r="G28" s="70"/>
      <c r="U28" s="0" t="n">
        <v>6</v>
      </c>
      <c r="V28" s="0" t="n">
        <v>6</v>
      </c>
      <c r="BB28" s="68"/>
      <c r="BC28" s="68"/>
      <c r="BD28" s="69"/>
    </row>
    <row r="29" customFormat="false" ht="15" hidden="false" customHeight="false" outlineLevel="0" collapsed="false">
      <c r="F29" s="70"/>
      <c r="G29" s="70"/>
      <c r="U29" s="0" t="n">
        <v>6</v>
      </c>
      <c r="V29" s="0" t="n">
        <v>6</v>
      </c>
      <c r="AQ29" s="38"/>
      <c r="BB29" s="68"/>
      <c r="BC29" s="68"/>
    </row>
    <row r="30" customFormat="false" ht="15" hidden="false" customHeight="false" outlineLevel="0" collapsed="false">
      <c r="F30" s="70"/>
      <c r="G30" s="70"/>
      <c r="U30" s="0" t="n">
        <v>11</v>
      </c>
      <c r="V30" s="0" t="n">
        <v>11</v>
      </c>
    </row>
    <row r="31" customFormat="false" ht="15" hidden="false" customHeight="false" outlineLevel="0" collapsed="false">
      <c r="F31" s="70"/>
      <c r="G31" s="70"/>
      <c r="U31" s="0" t="n">
        <v>16</v>
      </c>
      <c r="V31" s="0" t="n">
        <v>15</v>
      </c>
    </row>
    <row r="33" customFormat="false" ht="15.75" hidden="false" customHeight="false" outlineLevel="0" collapsed="false">
      <c r="BC33" s="73"/>
      <c r="BD33" s="73"/>
      <c r="BE33" s="74"/>
      <c r="BF33" s="74"/>
      <c r="BG33" s="74"/>
      <c r="BH33" s="74"/>
      <c r="BI33" s="74"/>
      <c r="BJ33" s="74"/>
      <c r="BK33" s="74"/>
      <c r="BL33" s="74"/>
      <c r="BM33" s="74"/>
    </row>
    <row r="34" customFormat="false" ht="15.75" hidden="false" customHeight="false" outlineLevel="0" collapsed="false">
      <c r="BC34" s="73"/>
      <c r="BD34" s="73"/>
      <c r="BE34" s="74"/>
      <c r="BF34" s="74"/>
      <c r="BG34" s="74"/>
      <c r="BH34" s="74"/>
      <c r="BI34" s="74"/>
      <c r="BJ34" s="74"/>
      <c r="BK34" s="74"/>
      <c r="BL34" s="74"/>
      <c r="BM34" s="74"/>
    </row>
  </sheetData>
  <mergeCells count="3">
    <mergeCell ref="B2:H2"/>
    <mergeCell ref="I2:R2"/>
    <mergeCell ref="AA2:BD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D30"/>
  <sheetViews>
    <sheetView showFormulas="false" showGridLines="true" showRowColHeaders="true" showZeros="true" rightToLeft="false" tabSelected="true" showOutlineSymbols="true" defaultGridColor="true" view="normal" topLeftCell="AX1" colorId="64" zoomScale="100" zoomScaleNormal="100" zoomScalePageLayoutView="100" workbookViewId="0">
      <selection pane="topLeft" activeCell="AY5" activeCellId="0" sqref="AY5"/>
    </sheetView>
  </sheetViews>
  <sheetFormatPr defaultRowHeight="15" zeroHeight="false" outlineLevelRow="0" outlineLevelCol="0"/>
  <cols>
    <col collapsed="false" customWidth="true" hidden="false" outlineLevel="0" max="1" min="1" style="1" width="14.14"/>
    <col collapsed="false" customWidth="true" hidden="false" outlineLevel="0" max="7" min="2" style="0" width="30.71"/>
    <col collapsed="false" customWidth="true" hidden="false" outlineLevel="0" max="8" min="8" style="0" width="32.86"/>
    <col collapsed="false" customWidth="true" hidden="false" outlineLevel="0" max="10" min="9" style="0" width="36.85"/>
    <col collapsed="false" customWidth="true" hidden="false" outlineLevel="0" max="19" min="11" style="0" width="30.71"/>
    <col collapsed="false" customWidth="true" hidden="false" outlineLevel="0" max="20" min="20" style="0" width="36"/>
    <col collapsed="false" customWidth="true" hidden="false" outlineLevel="0" max="22" min="21" style="0" width="30.71"/>
    <col collapsed="false" customWidth="true" hidden="false" outlineLevel="0" max="23" min="23" style="0" width="38.7"/>
    <col collapsed="false" customWidth="true" hidden="false" outlineLevel="0" max="24" min="24" style="0" width="38"/>
    <col collapsed="false" customWidth="true" hidden="false" outlineLevel="0" max="25" min="25" style="0" width="35.43"/>
    <col collapsed="false" customWidth="true" hidden="false" outlineLevel="0" max="26" min="26" style="0" width="43.57"/>
    <col collapsed="false" customWidth="true" hidden="false" outlineLevel="0" max="43" min="27" style="0" width="30.71"/>
    <col collapsed="false" customWidth="true" hidden="false" outlineLevel="0" max="44" min="44" style="75" width="30.71"/>
    <col collapsed="false" customWidth="true" hidden="false" outlineLevel="0" max="52" min="45" style="0" width="30.71"/>
    <col collapsed="false" customWidth="true" hidden="false" outlineLevel="0" max="54" min="53" style="0" width="25.15"/>
    <col collapsed="false" customWidth="true" hidden="false" outlineLevel="0" max="55" min="55" style="0" width="30.71"/>
    <col collapsed="false" customWidth="true" hidden="false" outlineLevel="0" max="1025" min="56" style="0" width="9.14"/>
  </cols>
  <sheetData>
    <row r="1" s="76" customFormat="true" ht="15.75" hidden="false" customHeight="false" outlineLevel="0" collapsed="false">
      <c r="F1" s="2" t="s">
        <v>123</v>
      </c>
      <c r="G1" s="3"/>
      <c r="H1" s="2"/>
      <c r="W1" s="0"/>
      <c r="X1" s="0"/>
      <c r="AR1" s="77"/>
    </row>
    <row r="2" customFormat="false" ht="24" hidden="false" customHeight="false" outlineLevel="0" collapsed="false">
      <c r="A2" s="4"/>
      <c r="B2" s="5" t="s">
        <v>1</v>
      </c>
      <c r="C2" s="5"/>
      <c r="D2" s="5"/>
      <c r="E2" s="5"/>
      <c r="F2" s="5"/>
      <c r="G2" s="5"/>
      <c r="H2" s="5"/>
      <c r="I2" s="5"/>
      <c r="J2" s="5"/>
      <c r="K2" s="78" t="s">
        <v>2</v>
      </c>
      <c r="L2" s="78"/>
      <c r="M2" s="78"/>
      <c r="N2" s="78"/>
      <c r="O2" s="78"/>
      <c r="P2" s="78"/>
      <c r="Q2" s="78"/>
      <c r="R2" s="78"/>
      <c r="S2" s="78"/>
      <c r="T2" s="7"/>
      <c r="U2" s="8"/>
      <c r="V2" s="8"/>
      <c r="W2" s="8"/>
      <c r="X2" s="8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</row>
    <row r="3" customFormat="false" ht="33" hidden="false" customHeight="false" outlineLevel="0" collapsed="false">
      <c r="A3" s="10"/>
      <c r="B3" s="11"/>
      <c r="C3" s="11"/>
      <c r="D3" s="11"/>
      <c r="E3" s="11"/>
      <c r="F3" s="13" t="s">
        <v>4</v>
      </c>
      <c r="G3" s="12"/>
      <c r="H3" s="12" t="s">
        <v>3</v>
      </c>
      <c r="I3" s="13"/>
      <c r="J3" s="80"/>
      <c r="K3" s="14"/>
      <c r="L3" s="14" t="s">
        <v>5</v>
      </c>
      <c r="M3" s="14" t="s">
        <v>124</v>
      </c>
      <c r="N3" s="14" t="s">
        <v>125</v>
      </c>
      <c r="O3" s="15" t="s">
        <v>6</v>
      </c>
      <c r="P3" s="15" t="s">
        <v>126</v>
      </c>
      <c r="Q3" s="15" t="s">
        <v>127</v>
      </c>
      <c r="R3" s="15" t="s">
        <v>128</v>
      </c>
      <c r="S3" s="15" t="s">
        <v>129</v>
      </c>
      <c r="T3" s="15"/>
      <c r="U3" s="16" t="s">
        <v>130</v>
      </c>
      <c r="V3" s="16"/>
      <c r="W3" s="16"/>
      <c r="X3" s="15" t="s">
        <v>15</v>
      </c>
      <c r="Y3" s="15" t="s">
        <v>131</v>
      </c>
      <c r="Z3" s="15" t="s">
        <v>132</v>
      </c>
      <c r="AA3" s="11" t="s">
        <v>133</v>
      </c>
      <c r="AB3" s="81" t="s">
        <v>134</v>
      </c>
      <c r="AC3" s="11" t="s">
        <v>135</v>
      </c>
      <c r="AD3" s="11" t="s">
        <v>136</v>
      </c>
      <c r="AE3" s="11" t="s">
        <v>137</v>
      </c>
      <c r="AF3" s="11" t="s">
        <v>138</v>
      </c>
      <c r="AG3" s="11" t="s">
        <v>139</v>
      </c>
      <c r="AH3" s="11" t="s">
        <v>140</v>
      </c>
      <c r="AI3" s="11" t="s">
        <v>141</v>
      </c>
      <c r="AJ3" s="11" t="s">
        <v>142</v>
      </c>
      <c r="AK3" s="11" t="s">
        <v>143</v>
      </c>
      <c r="AL3" s="11" t="s">
        <v>144</v>
      </c>
      <c r="AM3" s="11" t="s">
        <v>145</v>
      </c>
      <c r="AN3" s="11" t="s">
        <v>146</v>
      </c>
      <c r="AO3" s="11" t="s">
        <v>147</v>
      </c>
      <c r="AP3" s="11" t="s">
        <v>148</v>
      </c>
      <c r="AQ3" s="11" t="s">
        <v>149</v>
      </c>
      <c r="AR3" s="82" t="s">
        <v>150</v>
      </c>
      <c r="AS3" s="11" t="s">
        <v>151</v>
      </c>
      <c r="AT3" s="11" t="s">
        <v>152</v>
      </c>
      <c r="AU3" s="11" t="s">
        <v>153</v>
      </c>
      <c r="AV3" s="11" t="s">
        <v>154</v>
      </c>
      <c r="AW3" s="11" t="s">
        <v>155</v>
      </c>
      <c r="AX3" s="11" t="s">
        <v>156</v>
      </c>
      <c r="AY3" s="11" t="s">
        <v>157</v>
      </c>
      <c r="AZ3" s="11" t="s">
        <v>158</v>
      </c>
      <c r="BA3" s="11" t="s">
        <v>159</v>
      </c>
      <c r="BB3" s="11" t="s">
        <v>160</v>
      </c>
      <c r="BC3" s="11" t="s">
        <v>161</v>
      </c>
      <c r="BD3" s="17"/>
    </row>
    <row r="4" customFormat="false" ht="45" hidden="false" customHeight="false" outlineLevel="0" collapsed="false">
      <c r="A4" s="18" t="s">
        <v>46</v>
      </c>
      <c r="B4" s="19" t="s">
        <v>47</v>
      </c>
      <c r="C4" s="19" t="s">
        <v>48</v>
      </c>
      <c r="D4" s="19" t="s">
        <v>49</v>
      </c>
      <c r="E4" s="19" t="s">
        <v>50</v>
      </c>
      <c r="F4" s="19" t="s">
        <v>53</v>
      </c>
      <c r="G4" s="19" t="s">
        <v>52</v>
      </c>
      <c r="H4" s="19" t="s">
        <v>162</v>
      </c>
      <c r="I4" s="19" t="s">
        <v>163</v>
      </c>
      <c r="J4" s="83" t="s">
        <v>164</v>
      </c>
      <c r="K4" s="19" t="s">
        <v>165</v>
      </c>
      <c r="L4" s="19" t="s">
        <v>55</v>
      </c>
      <c r="M4" s="19" t="s">
        <v>166</v>
      </c>
      <c r="N4" s="19" t="s">
        <v>63</v>
      </c>
      <c r="O4" s="19" t="s">
        <v>56</v>
      </c>
      <c r="P4" s="19" t="s">
        <v>58</v>
      </c>
      <c r="Q4" s="19" t="s">
        <v>167</v>
      </c>
      <c r="R4" s="19" t="s">
        <v>60</v>
      </c>
      <c r="S4" s="19" t="s">
        <v>61</v>
      </c>
      <c r="T4" s="7" t="s">
        <v>64</v>
      </c>
      <c r="U4" s="20" t="s">
        <v>168</v>
      </c>
      <c r="V4" s="20" t="s">
        <v>66</v>
      </c>
      <c r="W4" s="20" t="s">
        <v>67</v>
      </c>
      <c r="X4" s="19" t="s">
        <v>68</v>
      </c>
      <c r="Y4" s="19" t="s">
        <v>69</v>
      </c>
      <c r="Z4" s="19" t="s">
        <v>71</v>
      </c>
      <c r="AA4" s="19" t="s">
        <v>74</v>
      </c>
      <c r="AB4" s="84" t="s">
        <v>77</v>
      </c>
      <c r="AC4" s="19" t="s">
        <v>80</v>
      </c>
      <c r="AD4" s="19" t="s">
        <v>169</v>
      </c>
      <c r="AE4" s="19" t="s">
        <v>170</v>
      </c>
      <c r="AF4" s="19" t="s">
        <v>171</v>
      </c>
      <c r="AG4" s="19" t="s">
        <v>172</v>
      </c>
      <c r="AH4" s="19" t="s">
        <v>173</v>
      </c>
      <c r="AI4" s="19" t="s">
        <v>174</v>
      </c>
      <c r="AJ4" s="19" t="s">
        <v>175</v>
      </c>
      <c r="AK4" s="19" t="s">
        <v>176</v>
      </c>
      <c r="AL4" s="19" t="s">
        <v>176</v>
      </c>
      <c r="AM4" s="19" t="s">
        <v>176</v>
      </c>
      <c r="AN4" s="19" t="s">
        <v>177</v>
      </c>
      <c r="AO4" s="19" t="s">
        <v>178</v>
      </c>
      <c r="AP4" s="19" t="s">
        <v>179</v>
      </c>
      <c r="AQ4" s="19" t="s">
        <v>180</v>
      </c>
      <c r="AR4" s="85" t="s">
        <v>181</v>
      </c>
      <c r="AS4" s="19" t="s">
        <v>182</v>
      </c>
      <c r="AT4" s="19" t="s">
        <v>183</v>
      </c>
      <c r="AU4" s="19" t="s">
        <v>184</v>
      </c>
      <c r="AV4" s="19" t="s">
        <v>185</v>
      </c>
      <c r="AW4" s="19" t="s">
        <v>186</v>
      </c>
      <c r="AX4" s="19" t="s">
        <v>187</v>
      </c>
      <c r="AY4" s="19" t="s">
        <v>188</v>
      </c>
      <c r="AZ4" s="19" t="s">
        <v>189</v>
      </c>
      <c r="BA4" s="19" t="s">
        <v>190</v>
      </c>
      <c r="BB4" s="19" t="s">
        <v>191</v>
      </c>
      <c r="BC4" s="19" t="s">
        <v>192</v>
      </c>
      <c r="BD4" s="21"/>
    </row>
    <row r="5" customFormat="false" ht="15" hidden="false" customHeight="false" outlineLevel="0" collapsed="false">
      <c r="A5" s="86"/>
      <c r="B5" s="87" t="s">
        <v>98</v>
      </c>
      <c r="C5" s="87" t="s">
        <v>99</v>
      </c>
      <c r="D5" s="88"/>
      <c r="E5" s="88"/>
      <c r="F5" s="89" t="s">
        <v>101</v>
      </c>
      <c r="G5" s="25"/>
      <c r="H5" s="89" t="s">
        <v>100</v>
      </c>
      <c r="I5" s="88"/>
      <c r="K5" s="87" t="s">
        <v>102</v>
      </c>
      <c r="L5" s="87" t="s">
        <v>103</v>
      </c>
      <c r="M5" s="87" t="s">
        <v>110</v>
      </c>
      <c r="N5" s="87" t="s">
        <v>111</v>
      </c>
      <c r="O5" s="87" t="s">
        <v>104</v>
      </c>
      <c r="P5" s="87" t="s">
        <v>106</v>
      </c>
      <c r="Q5" s="87" t="s">
        <v>193</v>
      </c>
      <c r="R5" s="87" t="s">
        <v>108</v>
      </c>
      <c r="S5" s="87" t="s">
        <v>109</v>
      </c>
      <c r="T5" s="4"/>
      <c r="U5" s="4"/>
      <c r="V5" s="4"/>
      <c r="W5" s="4"/>
      <c r="X5" s="26"/>
      <c r="AR5" s="90"/>
      <c r="AS5" s="91"/>
      <c r="AT5" s="91"/>
    </row>
    <row r="6" customFormat="false" ht="15" hidden="false" customHeight="false" outlineLevel="0" collapsed="false">
      <c r="A6" s="28" t="str">
        <f aca="false">'III Database Fields'!B38</f>
        <v>N4Z914</v>
      </c>
      <c r="B6" s="92" t="str">
        <f aca="false">'III Database Fields'!B2</f>
        <v>xxx</v>
      </c>
      <c r="C6" s="29" t="n">
        <f aca="false">'III Database Fields'!B1</f>
        <v>1</v>
      </c>
      <c r="D6" s="29" t="s">
        <v>112</v>
      </c>
      <c r="E6" s="29" t="s">
        <v>112</v>
      </c>
      <c r="F6" s="29" t="n">
        <f aca="false">'III Database Fields'!B95</f>
        <v>150</v>
      </c>
      <c r="G6" s="29" t="s">
        <v>113</v>
      </c>
      <c r="H6" s="29" t="n">
        <v>95</v>
      </c>
      <c r="I6" s="29" t="s">
        <v>112</v>
      </c>
      <c r="J6" s="29" t="s">
        <v>112</v>
      </c>
      <c r="K6" s="30" t="str">
        <f aca="false">'III Database Fields'!B5</f>
        <v>ESFM</v>
      </c>
      <c r="L6" s="30" t="n">
        <f aca="false">'III Database Fields'!B32</f>
        <v>0.95</v>
      </c>
      <c r="M6" s="30" t="n">
        <f aca="false">'III Database Fields'!B70</f>
        <v>201.734210526316</v>
      </c>
      <c r="N6" s="30" t="n">
        <f aca="false">'III Database Fields'!B33</f>
        <v>1.07838270469279</v>
      </c>
      <c r="O6" s="30" t="n">
        <f aca="false">'III Database Fields'!B92</f>
        <v>1800</v>
      </c>
      <c r="P6" s="30" t="n">
        <f aca="false">'III Database Fields'!B6</f>
        <v>197</v>
      </c>
      <c r="Q6" s="30" t="n">
        <f aca="false">'III Database Fields'!B11</f>
        <v>2902</v>
      </c>
      <c r="R6" s="30" t="n">
        <f aca="false">'III Database Fields'!B29</f>
        <v>250</v>
      </c>
      <c r="S6" s="31" t="n">
        <f aca="false">'III Database Fields'!B56</f>
        <v>95.8</v>
      </c>
      <c r="T6" s="7" t="str">
        <f aca="false">G6&amp;K6&amp;-F6&amp;-O6</f>
        <v>openESFM-150-1800</v>
      </c>
      <c r="U6" s="20" t="n">
        <f aca="false">VLOOKUP(T6,'Minimum Motor'!$O$8:$P$327,2,0)</f>
        <v>95.8</v>
      </c>
      <c r="V6" s="20" t="str">
        <f aca="false">IF(K6=$X$20,V9,IF(U6&gt;H6,$V$18,$V$19))</f>
        <v>Error_Eff_Less_default</v>
      </c>
      <c r="W6" s="20" t="n">
        <f aca="false">(INDEX('Minimum Motor'!$T$9:$T$47,(MATCH($H6,'Minimum Motor'!$S$9:$S$47,1)),1))-(INDEX('Minimum Motor'!$X$9:$X$47,MATCH($U6,'Minimum Motor'!$W$9:$W$47,-1),1))</f>
        <v>-2</v>
      </c>
      <c r="X6" s="20" t="n">
        <f aca="false">IF(K6=$X$20,S6,INDEX('Minimum Motor'!$S$9:$T$47,(((MATCH($S6,'Minimum Motor'!$S$9:$S$47,1)))+W6),1))</f>
        <v>95</v>
      </c>
      <c r="Y6" s="7" t="n">
        <f aca="false">(R6/(S6/100))-R6</f>
        <v>10.9603340292276</v>
      </c>
      <c r="Z6" s="20" t="n">
        <f aca="false">IF(P6/(R6+Y6)&gt;=1, 1, P6/(R6+Y6))</f>
        <v>0.754904</v>
      </c>
      <c r="AA6" s="7" t="n">
        <f aca="false">(-0.4508*(Z6)^3)+(1.2399*(Z6)^2)-(0.4301*Z6)+0.641</f>
        <v>0.82897377093697</v>
      </c>
      <c r="AB6" s="34" t="n">
        <f aca="false">AA6*Y6</f>
        <v>9.08582943093757</v>
      </c>
      <c r="AC6" s="34" t="n">
        <f aca="false">P6-AB6</f>
        <v>187.914170569062</v>
      </c>
      <c r="AD6" s="34" t="n">
        <f aca="false">((0.8*(0.25*$Q6)^3/($Q6)^3)+(0.2*0.25*$Q6/$Q6))*$AC6</f>
        <v>11.7446356605664</v>
      </c>
      <c r="AE6" s="34" t="n">
        <f aca="false">((0.8*(0.5*$Q6)^3/($Q6)^3)+(0.2*0.5*$Q6/$Q6))*$AC6</f>
        <v>37.5828341138125</v>
      </c>
      <c r="AF6" s="34" t="n">
        <f aca="false">((0.8*(0.75*$Q6)^3/($Q6)^3)+(0.2*0.75*$Q6/$Q6))*$AC6</f>
        <v>91.6081581524179</v>
      </c>
      <c r="AG6" s="34" t="n">
        <f aca="false">IF(AD6/$R6&gt;=1,1,AD6/$R6)</f>
        <v>0.0469785426422656</v>
      </c>
      <c r="AH6" s="34" t="n">
        <f aca="false">IF(AE6/$R6&gt;=1,1,AE6/$R6)</f>
        <v>0.15033133645525</v>
      </c>
      <c r="AI6" s="34" t="n">
        <f aca="false">IF(AF6/$R6&gt;=1,1,AF6/$R6)</f>
        <v>0.366432632609672</v>
      </c>
      <c r="AJ6" s="34" t="n">
        <f aca="false">IF(AC6/R6&gt;=1,1,AC6/R6)</f>
        <v>0.75165668227625</v>
      </c>
      <c r="AK6" s="7" t="n">
        <f aca="false">IF(R6&lt;=5, -0.4658, IF(R6&lt;=20,-1.3198, IF(R6&lt;=50,-1.5122, IF(R6&gt;50,-0.8914))))</f>
        <v>-0.8914</v>
      </c>
      <c r="AL6" s="7" t="n">
        <f aca="false">IF(R6&lt;=5, 1.4965, IF(R6&lt;=20,2.9551, IF(R6&lt;=50,3.0777, IF(R6&gt;50,2.8846))))</f>
        <v>2.8846</v>
      </c>
      <c r="AM6" s="7" t="n">
        <f aca="false">IF(R6&lt;=5, 0.5303, IF(R6&lt;=20,0.1052, IF(R6&lt;=50,0.1847, IF(R6&gt;50,0.2625))))</f>
        <v>0.2625</v>
      </c>
      <c r="AN6" s="34" t="n">
        <f aca="false">($AK6*AG6^2)+($AL6*AG6)+$AM6</f>
        <v>0.396046999041799</v>
      </c>
      <c r="AO6" s="34" t="n">
        <f aca="false">($AK6*AH6^2)+($AL6*AH6)+$AM6</f>
        <v>0.67600056928263</v>
      </c>
      <c r="AP6" s="34" t="n">
        <f aca="false">($AK6*AI6^2)+($AL6*AI6)+$AM6</f>
        <v>1.19982073192721</v>
      </c>
      <c r="AQ6" s="34" t="n">
        <f aca="false">($AK6*AJ6^2)+($AL6*AJ6)+$AM6</f>
        <v>1.92709876928948</v>
      </c>
      <c r="AR6" s="93" t="n">
        <f aca="false">(R6/(X6/100))-R6</f>
        <v>13.1578947368421</v>
      </c>
      <c r="AS6" s="7" t="n">
        <f aca="false">AN6*$AR6</f>
        <v>5.21114472423421</v>
      </c>
      <c r="AT6" s="7" t="n">
        <f aca="false">AO6*$AR6</f>
        <v>8.89474433266621</v>
      </c>
      <c r="AU6" s="7" t="n">
        <f aca="false">AP6*$AR6</f>
        <v>15.7871148937791</v>
      </c>
      <c r="AV6" s="7" t="n">
        <f aca="false">AQ6*$AR6</f>
        <v>25.356562753809</v>
      </c>
      <c r="AW6" s="7" t="n">
        <f aca="false">AD6+AS6</f>
        <v>16.9557803848006</v>
      </c>
      <c r="AX6" s="7" t="n">
        <f aca="false">AE6+AT6</f>
        <v>46.4775784464787</v>
      </c>
      <c r="AY6" s="7" t="n">
        <f aca="false">AF6+AU6</f>
        <v>107.395273046197</v>
      </c>
      <c r="AZ6" s="7" t="n">
        <f aca="false">AC6+AV6</f>
        <v>213.270733322871</v>
      </c>
      <c r="BA6" s="35" t="n">
        <f aca="false">(0.25*AW6)+(0.25*AX6)+(0.25*AY6)+(0.25*AZ6)</f>
        <v>96.0248413000869</v>
      </c>
      <c r="BB6" s="36" t="n">
        <f aca="false">BA6/M6</f>
        <v>0.475996813081739</v>
      </c>
      <c r="BC6" s="37" t="str">
        <f aca="false">IF((V6=$V$19),(N6-BB6)*100,V18)</f>
        <v>Error_Eff_Less_default</v>
      </c>
      <c r="BD6" s="94" t="n">
        <f aca="false">L6-BB6</f>
        <v>0.474003186918261</v>
      </c>
    </row>
    <row r="7" s="105" customFormat="true" ht="15" hidden="false" customHeight="false" outlineLevel="0" collapsed="false">
      <c r="A7" s="95" t="str">
        <f aca="false">'III Database Fields'!C38</f>
        <v>X4KK74</v>
      </c>
      <c r="B7" s="96" t="str">
        <f aca="false">'III Database Fields'!C2</f>
        <v>xxx</v>
      </c>
      <c r="C7" s="96" t="n">
        <f aca="false">'III Database Fields'!C1</f>
        <v>2</v>
      </c>
      <c r="D7" s="96" t="s">
        <v>112</v>
      </c>
      <c r="E7" s="96" t="s">
        <v>112</v>
      </c>
      <c r="F7" s="96" t="n">
        <f aca="false">'III Database Fields'!C95</f>
        <v>100</v>
      </c>
      <c r="G7" s="96" t="s">
        <v>114</v>
      </c>
      <c r="H7" s="96" t="n">
        <v>97.4</v>
      </c>
      <c r="I7" s="96" t="s">
        <v>112</v>
      </c>
      <c r="J7" s="97" t="s">
        <v>112</v>
      </c>
      <c r="K7" s="96" t="str">
        <f aca="false">'III Database Fields'!C5</f>
        <v>ESFM</v>
      </c>
      <c r="L7" s="96" t="n">
        <f aca="false">'III Database Fields'!C32</f>
        <v>0.95</v>
      </c>
      <c r="M7" s="96" t="n">
        <f aca="false">'III Database Fields'!C70</f>
        <v>104.165021052632</v>
      </c>
      <c r="N7" s="96" t="n">
        <f aca="false">'III Database Fields'!C33</f>
        <v>1.07904337594123</v>
      </c>
      <c r="O7" s="96" t="n">
        <f aca="false">'III Database Fields'!C92</f>
        <v>1800</v>
      </c>
      <c r="P7" s="96" t="n">
        <f aca="false">'III Database Fields'!C6</f>
        <v>102</v>
      </c>
      <c r="Q7" s="96" t="n">
        <f aca="false">'III Database Fields'!C11</f>
        <v>1986</v>
      </c>
      <c r="R7" s="96" t="n">
        <f aca="false">'III Database Fields'!C29</f>
        <v>125</v>
      </c>
      <c r="S7" s="98" t="n">
        <f aca="false">'III Database Fields'!C56</f>
        <v>95.4</v>
      </c>
      <c r="T7" s="99" t="str">
        <f aca="false">G7&amp;K7&amp;-F7&amp;-O7</f>
        <v>enclosedESFM-100-1800</v>
      </c>
      <c r="U7" s="98" t="n">
        <f aca="false">VLOOKUP(T7,'Minimum Motor'!$O$8:$P$327,2,0)</f>
        <v>95.4</v>
      </c>
      <c r="V7" s="98" t="str">
        <f aca="false">IF(K7=$X$20,V10,IF(U7&gt;H7,$V$18,$V$19))</f>
        <v>Proceed</v>
      </c>
      <c r="W7" s="98" t="n">
        <f aca="false">(INDEX('Minimum Motor'!$T$9:$T$47,(MATCH($H7,'Minimum Motor'!$S$9:$S$47,1)),1))-(INDEX('Minimum Motor'!$X$9:$X$47,MATCH($U7,'Minimum Motor'!$W$9:$W$47,-1),1))</f>
        <v>6</v>
      </c>
      <c r="X7" s="98" t="n">
        <f aca="false">IF(K7=$X$20,S7,INDEX('Minimum Motor'!$S$9:$T$47,(((MATCH($S7,'Minimum Motor'!$S$9:$S$47,1)))+W7),1))</f>
        <v>97.4</v>
      </c>
      <c r="Y7" s="99" t="n">
        <f aca="false">(R7/(S7/100))-R7</f>
        <v>6.02725366876308</v>
      </c>
      <c r="Z7" s="98" t="n">
        <f aca="false">IF(P7/(R7+Y7)&gt;=1, 1, P7/(R7+Y7))</f>
        <v>0.778464</v>
      </c>
      <c r="AA7" s="99" t="n">
        <f aca="false">(-0.4508*(Z7)^3)+(1.2399*(Z7)^2)-(0.4301*Z7)+0.641</f>
        <v>0.844903012431225</v>
      </c>
      <c r="AB7" s="100" t="n">
        <f aca="false">AA7*Y7</f>
        <v>5.09244478142508</v>
      </c>
      <c r="AC7" s="100" t="n">
        <f aca="false">P7-AB7</f>
        <v>96.9075552185749</v>
      </c>
      <c r="AD7" s="100" t="n">
        <f aca="false">((0.8*(0.25*$Q7)^3/($Q7)^3)+(0.2*0.25*$Q7/$Q7))*$AC7</f>
        <v>6.05672220116093</v>
      </c>
      <c r="AE7" s="100" t="n">
        <f aca="false">((0.8*(0.5*$Q7)^3/($Q7)^3)+(0.2*0.5*$Q7/$Q7))*$AC7</f>
        <v>19.381511043715</v>
      </c>
      <c r="AF7" s="100" t="n">
        <f aca="false">((0.8*(0.75*$Q7)^3/($Q7)^3)+(0.2*0.75*$Q7/$Q7))*$AC7</f>
        <v>47.2424331690553</v>
      </c>
      <c r="AG7" s="100" t="n">
        <f aca="false">IF(AD7/$R7&gt;=1,1,AD7/$R7)</f>
        <v>0.0484537776092875</v>
      </c>
      <c r="AH7" s="100" t="n">
        <f aca="false">IF(AE7/$R7&gt;=1,1,AE7/$R7)</f>
        <v>0.15505208834972</v>
      </c>
      <c r="AI7" s="100" t="n">
        <f aca="false">IF(AF7/$R7&gt;=1,1,AF7/$R7)</f>
        <v>0.377939465352442</v>
      </c>
      <c r="AJ7" s="100" t="n">
        <f aca="false">IF(AC7/R7&gt;=1,1,AC7/R7)</f>
        <v>0.775260441748599</v>
      </c>
      <c r="AK7" s="99" t="n">
        <f aca="false">IF(R7&lt;=5, -0.4658, IF(R7&lt;=20,-1.3198, IF(R7&lt;=50,-1.5122, IF(R7&gt;50,-0.8914))))</f>
        <v>-0.8914</v>
      </c>
      <c r="AL7" s="99" t="n">
        <f aca="false">IF(R7&lt;=5, 1.4965, IF(R7&lt;=20,2.9551, IF(R7&lt;=50,3.0777, IF(R7&gt;50,2.8846))))</f>
        <v>2.8846</v>
      </c>
      <c r="AM7" s="99" t="n">
        <f aca="false">IF(R7&lt;=5, 0.5303, IF(R7&lt;=20,0.1052, IF(R7&lt;=50,0.1847, IF(R7&gt;50,0.2625))))</f>
        <v>0.2625</v>
      </c>
      <c r="AN7" s="100" t="n">
        <f aca="false">($AK7*AG7^2)+($AL7*AG7)+$AM7</f>
        <v>0.400176965993257</v>
      </c>
      <c r="AO7" s="100" t="n">
        <f aca="false">($AK7*AH7^2)+($AL7*AH7)+$AM7</f>
        <v>0.688332972853027</v>
      </c>
      <c r="AP7" s="100" t="n">
        <f aca="false">($AK7*AI7^2)+($AL7*AI7)+$AM7</f>
        <v>1.2253781750913</v>
      </c>
      <c r="AQ7" s="100" t="n">
        <f aca="false">($AK7*AJ7^2)+($AL7*AJ7)+$AM7</f>
        <v>1.96305924025365</v>
      </c>
      <c r="AR7" s="93" t="n">
        <f aca="false">(R7/(X7/100))-R7</f>
        <v>3.33675564681724</v>
      </c>
      <c r="AS7" s="99" t="n">
        <f aca="false">AN7*$AR7</f>
        <v>1.33529275100419</v>
      </c>
      <c r="AT7" s="99" t="n">
        <f aca="false">AO7*$AR7</f>
        <v>2.29679893405784</v>
      </c>
      <c r="AU7" s="99" t="n">
        <f aca="false">AP7*$AR7</f>
        <v>4.08878754522251</v>
      </c>
      <c r="AV7" s="99" t="n">
        <f aca="false">AQ7*$AR7</f>
        <v>6.55024900495311</v>
      </c>
      <c r="AW7" s="99" t="n">
        <f aca="false">AD7+AS7</f>
        <v>7.39201495216512</v>
      </c>
      <c r="AX7" s="99" t="n">
        <f aca="false">AE7+AT7</f>
        <v>21.6783099777728</v>
      </c>
      <c r="AY7" s="99" t="n">
        <f aca="false">AF7+AU7</f>
        <v>51.3312207142778</v>
      </c>
      <c r="AZ7" s="99" t="n">
        <f aca="false">AC7+AV7</f>
        <v>103.457804223528</v>
      </c>
      <c r="BA7" s="101" t="n">
        <f aca="false">(0.25*AW7)+(0.25*AX7)+(0.25*AY7)+(0.25*AZ7)</f>
        <v>45.9648374669359</v>
      </c>
      <c r="BB7" s="102" t="n">
        <f aca="false">BA7/M7</f>
        <v>0.441269410810288</v>
      </c>
      <c r="BC7" s="103" t="n">
        <f aca="false">IF((V7=$V$19),(N7-BB7)*100,V19)</f>
        <v>63.7773965130944</v>
      </c>
      <c r="BD7" s="104" t="n">
        <f aca="false">L7-BB7</f>
        <v>0.508730589189713</v>
      </c>
    </row>
    <row r="8" s="116" customFormat="true" ht="15" hidden="false" customHeight="false" outlineLevel="0" collapsed="false">
      <c r="A8" s="106" t="str">
        <f aca="false">'III Database Fields'!D38</f>
        <v>W4MLD5</v>
      </c>
      <c r="B8" s="107" t="str">
        <f aca="false">'III Database Fields'!D2</f>
        <v>xxx</v>
      </c>
      <c r="C8" s="107" t="n">
        <f aca="false">'III Database Fields'!D1</f>
        <v>3</v>
      </c>
      <c r="D8" s="107" t="s">
        <v>112</v>
      </c>
      <c r="E8" s="107" t="s">
        <v>112</v>
      </c>
      <c r="F8" s="107" t="n">
        <f aca="false">'III Database Fields'!D95</f>
        <v>1</v>
      </c>
      <c r="G8" s="107" t="s">
        <v>113</v>
      </c>
      <c r="H8" s="107" t="n">
        <v>79</v>
      </c>
      <c r="I8" s="107" t="s">
        <v>112</v>
      </c>
      <c r="J8" s="108" t="s">
        <v>112</v>
      </c>
      <c r="K8" s="107" t="str">
        <f aca="false">'III Database Fields'!D5</f>
        <v>ESCC</v>
      </c>
      <c r="L8" s="107" t="n">
        <f aca="false">'III Database Fields'!D32</f>
        <v>0.9</v>
      </c>
      <c r="M8" s="107" t="n">
        <f aca="false">'III Database Fields'!D70</f>
        <v>1.55169666666667</v>
      </c>
      <c r="N8" s="107" t="n">
        <f aca="false">'III Database Fields'!D33</f>
        <v>1.10710788757884</v>
      </c>
      <c r="O8" s="107" t="n">
        <f aca="false">'III Database Fields'!D92</f>
        <v>3600</v>
      </c>
      <c r="P8" s="107" t="n">
        <f aca="false">'III Database Fields'!D6</f>
        <v>1.43</v>
      </c>
      <c r="Q8" s="107" t="n">
        <f aca="false">'III Database Fields'!D11</f>
        <v>42.7</v>
      </c>
      <c r="R8" s="107" t="n">
        <f aca="false">'III Database Fields'!D29</f>
        <v>1.5</v>
      </c>
      <c r="S8" s="109" t="n">
        <f aca="false">'III Database Fields'!D56</f>
        <v>84</v>
      </c>
      <c r="T8" s="110" t="str">
        <f aca="false">G8&amp;K8&amp;-F8&amp;-O8</f>
        <v>openESCC-1-3600</v>
      </c>
      <c r="U8" s="109" t="n">
        <f aca="false">VLOOKUP(T8,'Minimum Motor'!$O$8:$P$327,2,0)</f>
        <v>77</v>
      </c>
      <c r="V8" s="109" t="str">
        <f aca="false">IF(K8=$X$20,V11,IF(U8&gt;H8,$V$18,$V$19))</f>
        <v>Proceed</v>
      </c>
      <c r="W8" s="109" t="n">
        <f aca="false">(INDEX('Minimum Motor'!$T$9:$T$47,(MATCH($H8,'Minimum Motor'!$S$9:$S$47,1)),1))-(INDEX('Minimum Motor'!$X$9:$X$47,MATCH($U8,'Minimum Motor'!$W$9:$W$47,-1),1))</f>
        <v>1</v>
      </c>
      <c r="X8" s="109" t="n">
        <f aca="false">IF(K8=$X$20,S8,INDEX('Minimum Motor'!$S$9:$T$47,(((MATCH($S8,'Minimum Motor'!$S$9:$S$47,1)))+W8),1))</f>
        <v>85.5</v>
      </c>
      <c r="Y8" s="110" t="n">
        <f aca="false">(R8/(S8/100))-R8</f>
        <v>0.285714285714286</v>
      </c>
      <c r="Z8" s="109" t="n">
        <f aca="false">IF(P8/(R8+Y8)&gt;=1, 1, P8/(R8+Y8))</f>
        <v>0.8008</v>
      </c>
      <c r="AA8" s="110" t="n">
        <f aca="false">(-0.4508*(Z8)^3)+(1.2399*(Z8)^2)-(0.4301*Z8)+0.641</f>
        <v>0.86019706407639</v>
      </c>
      <c r="AB8" s="111" t="n">
        <f aca="false">AA8*Y8</f>
        <v>0.245770589736112</v>
      </c>
      <c r="AC8" s="111" t="n">
        <f aca="false">P8-AB8</f>
        <v>1.18422941026389</v>
      </c>
      <c r="AD8" s="111" t="n">
        <f aca="false">((0.8*(0.25*$Q8)^3/($Q8)^3)+(0.2*0.25*$Q8/$Q8))*$AC8</f>
        <v>0.074014338141493</v>
      </c>
      <c r="AE8" s="111" t="n">
        <f aca="false">((0.8*(0.5*$Q8)^3/($Q8)^3)+(0.2*0.5*$Q8/$Q8))*$AC8</f>
        <v>0.236845882052778</v>
      </c>
      <c r="AF8" s="111" t="n">
        <f aca="false">((0.8*(0.75*$Q8)^3/($Q8)^3)+(0.2*0.75*$Q8/$Q8))*$AC8</f>
        <v>0.577311837503646</v>
      </c>
      <c r="AG8" s="111" t="n">
        <f aca="false">IF(AD8/$R8&gt;=1,1,AD8/$R8)</f>
        <v>0.0493428920943287</v>
      </c>
      <c r="AH8" s="111" t="n">
        <f aca="false">IF(AE8/$R8&gt;=1,1,AE8/$R8)</f>
        <v>0.157897254701852</v>
      </c>
      <c r="AI8" s="111" t="n">
        <f aca="false">IF(AF8/$R8&gt;=1,1,AF8/$R8)</f>
        <v>0.384874558335764</v>
      </c>
      <c r="AJ8" s="111" t="n">
        <f aca="false">IF(AC8/R8&gt;=1,1,AC8/R8)</f>
        <v>0.789486273509259</v>
      </c>
      <c r="AK8" s="110" t="n">
        <f aca="false">IF(R8&lt;=5, -0.4658, IF(R8&lt;=20,-1.3198, IF(R8&lt;=50,-1.5122, IF(R8&gt;50,-0.8914))))</f>
        <v>-0.4658</v>
      </c>
      <c r="AL8" s="110" t="n">
        <f aca="false">IF(R8&lt;=5, 1.4965, IF(R8&lt;=20,2.9551, IF(R8&lt;=50,3.0777, IF(R8&gt;50,2.8846))))</f>
        <v>1.4965</v>
      </c>
      <c r="AM8" s="110" t="n">
        <f aca="false">IF(R8&lt;=5, 0.5303, IF(R8&lt;=20,0.1052, IF(R8&lt;=50,0.1847, IF(R8&gt;50,0.2625))))</f>
        <v>0.5303</v>
      </c>
      <c r="AN8" s="111" t="n">
        <f aca="false">($AK8*AG8^2)+($AL8*AG8)+$AM8</f>
        <v>0.603007544977254</v>
      </c>
      <c r="AO8" s="111" t="n">
        <f aca="false">($AK8*AH8^2)+($AL8*AH8)+$AM8</f>
        <v>0.75498012891218</v>
      </c>
      <c r="AP8" s="111" t="n">
        <f aca="false">($AK8*AI8^2)+($AL8*AI8)+$AM8</f>
        <v>1.03726655587977</v>
      </c>
      <c r="AQ8" s="111" t="n">
        <f aca="false">($AK8*AJ8^2)+($AL8*AJ8)+$AM8</f>
        <v>1.42143838957807</v>
      </c>
      <c r="AR8" s="110" t="n">
        <f aca="false">(R8/(X8/100))-R8</f>
        <v>0.254385964912281</v>
      </c>
      <c r="AS8" s="110" t="n">
        <f aca="false">AN8*$AR8</f>
        <v>0.153396656178424</v>
      </c>
      <c r="AT8" s="110" t="n">
        <f aca="false">AO8*$AR8</f>
        <v>0.192056348582923</v>
      </c>
      <c r="AU8" s="110" t="n">
        <f aca="false">AP8*$AR8</f>
        <v>0.263866053688713</v>
      </c>
      <c r="AV8" s="110" t="n">
        <f aca="false">AQ8*$AR8</f>
        <v>0.361593976296177</v>
      </c>
      <c r="AW8" s="110" t="n">
        <f aca="false">AD8+AS8</f>
        <v>0.227410994319917</v>
      </c>
      <c r="AX8" s="110" t="n">
        <f aca="false">AE8+AT8</f>
        <v>0.428902230635701</v>
      </c>
      <c r="AY8" s="110" t="n">
        <f aca="false">AF8+AU8</f>
        <v>0.841177891192359</v>
      </c>
      <c r="AZ8" s="110" t="n">
        <f aca="false">AC8+AV8</f>
        <v>1.54582338656007</v>
      </c>
      <c r="BA8" s="112" t="n">
        <f aca="false">(0.25*AW8)+(0.25*AX8)+(0.25*AY8)+(0.25*AZ8)</f>
        <v>0.76082862567701</v>
      </c>
      <c r="BB8" s="113" t="n">
        <f aca="false">BA8/M8</f>
        <v>0.490320461480021</v>
      </c>
      <c r="BC8" s="114" t="n">
        <f aca="false">IF((V8=$V$19),(N8-BB8)*100,V20)</f>
        <v>61.6787426098816</v>
      </c>
      <c r="BD8" s="115" t="n">
        <f aca="false">L8-BB8</f>
        <v>0.409679538519979</v>
      </c>
    </row>
    <row r="9" customFormat="false" ht="15" hidden="false" customHeight="false" outlineLevel="0" collapsed="false">
      <c r="A9" s="28" t="str">
        <f aca="false">'III Database Fields'!E38</f>
        <v>XQK274</v>
      </c>
      <c r="B9" s="29" t="str">
        <f aca="false">'III Database Fields'!E2</f>
        <v>xxx</v>
      </c>
      <c r="C9" s="29" t="n">
        <f aca="false">'III Database Fields'!E1</f>
        <v>4</v>
      </c>
      <c r="D9" s="29" t="s">
        <v>112</v>
      </c>
      <c r="E9" s="29" t="s">
        <v>112</v>
      </c>
      <c r="F9" s="29" t="n">
        <f aca="false">'III Database Fields'!E95</f>
        <v>5</v>
      </c>
      <c r="G9" s="29" t="s">
        <v>114</v>
      </c>
      <c r="H9" s="29" t="n">
        <v>90.5</v>
      </c>
      <c r="I9" s="29" t="s">
        <v>112</v>
      </c>
      <c r="J9" s="117" t="s">
        <v>112</v>
      </c>
      <c r="K9" s="30" t="str">
        <f aca="false">'III Database Fields'!E5</f>
        <v>ESFM</v>
      </c>
      <c r="L9" s="30" t="n">
        <f aca="false">'III Database Fields'!E32</f>
        <v>0.85</v>
      </c>
      <c r="M9" s="30" t="n">
        <f aca="false">'III Database Fields'!E70</f>
        <v>8.52855882352941</v>
      </c>
      <c r="N9" s="30" t="n">
        <f aca="false">'III Database Fields'!E33</f>
        <v>1.14560446974294</v>
      </c>
      <c r="O9" s="30" t="n">
        <f aca="false">'III Database Fields'!E92</f>
        <v>3600</v>
      </c>
      <c r="P9" s="30" t="n">
        <f aca="false">'III Database Fields'!E6</f>
        <v>7.42</v>
      </c>
      <c r="Q9" s="30" t="n">
        <f aca="false">'III Database Fields'!E11</f>
        <v>63.6</v>
      </c>
      <c r="R9" s="30" t="n">
        <f aca="false">'III Database Fields'!E29</f>
        <v>7.5</v>
      </c>
      <c r="S9" s="31" t="n">
        <f aca="false">'III Database Fields'!E56</f>
        <v>88.5</v>
      </c>
      <c r="T9" s="7" t="str">
        <f aca="false">G9&amp;K9&amp;-F9&amp;-O9</f>
        <v>enclosedESFM-5-3600</v>
      </c>
      <c r="U9" s="20" t="n">
        <f aca="false">VLOOKUP(T9,'Minimum Motor'!$O$8:$P$327,2,0)</f>
        <v>88.5</v>
      </c>
      <c r="V9" s="20" t="str">
        <f aca="false">IF(K9=$X$20,V12,IF(U9&gt;H9,$V$18,$V$19))</f>
        <v>Proceed</v>
      </c>
      <c r="W9" s="20" t="n">
        <f aca="false">(INDEX('Minimum Motor'!$T$9:$T$47,(MATCH($H9,'Minimum Motor'!$S$9:$S$47,1)),1))-(INDEX('Minimum Motor'!$X$9:$X$47,MATCH($U9,'Minimum Motor'!$W$9:$W$47,-1),1))</f>
        <v>2</v>
      </c>
      <c r="X9" s="20" t="n">
        <f aca="false">IF(K9=$X$20,S9,INDEX('Minimum Motor'!$S$9:$T$47,(((MATCH($S9,'Minimum Motor'!$S$9:$S$47,1)))+W9),1))</f>
        <v>90.2</v>
      </c>
      <c r="Y9" s="7" t="n">
        <f aca="false">(R9/(S9/100))-R9</f>
        <v>0.974576271186441</v>
      </c>
      <c r="Z9" s="20" t="n">
        <f aca="false">IF(P9/(R9+Y9)&gt;=1, 1, P9/(R9+Y9))</f>
        <v>0.87556</v>
      </c>
      <c r="AA9" s="7" t="n">
        <f aca="false">(-0.4508*(Z9)^3)+(1.2399*(Z9)^2)-(0.4301*Z9)+0.641</f>
        <v>0.912354578404912</v>
      </c>
      <c r="AB9" s="34" t="n">
        <f aca="false">AA9*Y9</f>
        <v>0.889159123021737</v>
      </c>
      <c r="AC9" s="34" t="n">
        <f aca="false">P9-AB9</f>
        <v>6.53084087697826</v>
      </c>
      <c r="AD9" s="34" t="n">
        <f aca="false">((0.8*(0.25*$Q9)^3/($Q9)^3)+(0.2*0.25*$Q9/$Q9))*$AC9</f>
        <v>0.408177554811141</v>
      </c>
      <c r="AE9" s="34" t="n">
        <f aca="false">((0.8*(0.5*$Q9)^3/($Q9)^3)+(0.2*0.5*$Q9/$Q9))*$AC9</f>
        <v>1.30616817539565</v>
      </c>
      <c r="AF9" s="34" t="n">
        <f aca="false">((0.8*(0.75*$Q9)^3/($Q9)^3)+(0.2*0.75*$Q9/$Q9))*$AC9</f>
        <v>3.1837849275269</v>
      </c>
      <c r="AG9" s="34" t="n">
        <f aca="false">IF(AD9/$R9&gt;=1,1,AD9/$R9)</f>
        <v>0.0544236739748189</v>
      </c>
      <c r="AH9" s="34" t="n">
        <f aca="false">IF(AE9/$R9&gt;=1,1,AE9/$R9)</f>
        <v>0.17415575671942</v>
      </c>
      <c r="AI9" s="34" t="n">
        <f aca="false">IF(AF9/$R9&gt;=1,1,AF9/$R9)</f>
        <v>0.424504657003587</v>
      </c>
      <c r="AJ9" s="34" t="n">
        <f aca="false">IF(AC9/R9&gt;=1,1,AC9/R9)</f>
        <v>0.870778783597102</v>
      </c>
      <c r="AK9" s="7" t="n">
        <f aca="false">IF(R9&lt;=5, -0.4658, IF(R9&lt;=20,-1.3198, IF(R9&lt;=50,-1.5122, IF(R9&gt;50,-0.8914))))</f>
        <v>-1.3198</v>
      </c>
      <c r="AL9" s="7" t="n">
        <f aca="false">IF(R9&lt;=5, 1.4965, IF(R9&lt;=20,2.9551, IF(R9&lt;=50,3.0777, IF(R9&gt;50,2.8846))))</f>
        <v>2.9551</v>
      </c>
      <c r="AM9" s="7" t="n">
        <f aca="false">IF(R9&lt;=5, 0.5303, IF(R9&lt;=20,0.1052, IF(R9&lt;=50,0.1847, IF(R9&gt;50,0.2625))))</f>
        <v>0.1052</v>
      </c>
      <c r="AN9" s="34" t="n">
        <f aca="false">($AK9*AG9^2)+($AL9*AG9)+$AM9</f>
        <v>0.262118235448874</v>
      </c>
      <c r="AO9" s="34" t="n">
        <f aca="false">($AK9*AH9^2)+($AL9*AH9)+$AM9</f>
        <v>0.57981784229704</v>
      </c>
      <c r="AP9" s="34" t="n">
        <f aca="false">($AK9*AI9^2)+($AL9*AI9)+$AM9</f>
        <v>1.12182020371266</v>
      </c>
      <c r="AQ9" s="34" t="n">
        <f aca="false">($AK9*AJ9^2)+($AL9*AJ9)+$AM9</f>
        <v>1.67769252379483</v>
      </c>
      <c r="AR9" s="93" t="n">
        <f aca="false">(R9/(X9/100))-R9</f>
        <v>0.814855875831485</v>
      </c>
      <c r="AS9" s="7" t="n">
        <f aca="false">AN9*$AR9</f>
        <v>0.213588584318096</v>
      </c>
      <c r="AT9" s="7" t="n">
        <f aca="false">AO9*$AR9</f>
        <v>0.472467975707677</v>
      </c>
      <c r="AU9" s="7" t="n">
        <f aca="false">AP9*$AR9</f>
        <v>0.914121784621731</v>
      </c>
      <c r="AV9" s="7" t="n">
        <f aca="false">AQ9*$AR9</f>
        <v>1.36707761085277</v>
      </c>
      <c r="AW9" s="7" t="n">
        <f aca="false">AD9+AS9</f>
        <v>0.621766139129237</v>
      </c>
      <c r="AX9" s="7" t="n">
        <f aca="false">AE9+AT9</f>
        <v>1.77863615110333</v>
      </c>
      <c r="AY9" s="7" t="n">
        <f aca="false">AF9+AU9</f>
        <v>4.09790671214864</v>
      </c>
      <c r="AZ9" s="7" t="n">
        <f aca="false">AC9+AV9</f>
        <v>7.89791848783103</v>
      </c>
      <c r="BA9" s="35" t="n">
        <f aca="false">(0.25*AW9)+(0.25*AX9)+(0.25*AY9)+(0.25*AZ9)</f>
        <v>3.59905687255306</v>
      </c>
      <c r="BB9" s="36" t="n">
        <f aca="false">BA9/M9</f>
        <v>0.422000592013698</v>
      </c>
      <c r="BC9" s="37" t="n">
        <f aca="false">IF((V9=$V$19),(N9-BB9)*100,V21)</f>
        <v>72.3603877729243</v>
      </c>
      <c r="BD9" s="94" t="n">
        <f aca="false">L9-BB9</f>
        <v>0.427999407986302</v>
      </c>
    </row>
    <row r="10" customFormat="false" ht="15" hidden="false" customHeight="false" outlineLevel="0" collapsed="false">
      <c r="A10" s="28" t="str">
        <f aca="false">'III Database Fields'!F38</f>
        <v>84861Q</v>
      </c>
      <c r="B10" s="29" t="str">
        <f aca="false">'III Database Fields'!F2</f>
        <v>xxx</v>
      </c>
      <c r="C10" s="29" t="n">
        <f aca="false">'III Database Fields'!F1</f>
        <v>5</v>
      </c>
      <c r="D10" s="29" t="s">
        <v>112</v>
      </c>
      <c r="E10" s="29" t="s">
        <v>112</v>
      </c>
      <c r="F10" s="29" t="n">
        <f aca="false">'III Database Fields'!F95</f>
        <v>20</v>
      </c>
      <c r="G10" s="29" t="s">
        <v>113</v>
      </c>
      <c r="H10" s="29" t="n">
        <v>93</v>
      </c>
      <c r="I10" s="29" t="s">
        <v>112</v>
      </c>
      <c r="J10" s="117" t="s">
        <v>112</v>
      </c>
      <c r="K10" s="30" t="str">
        <f aca="false">'III Database Fields'!F5</f>
        <v>ESFM</v>
      </c>
      <c r="L10" s="30" t="n">
        <f aca="false">'III Database Fields'!F32</f>
        <v>0.94</v>
      </c>
      <c r="M10" s="30" t="n">
        <f aca="false">'III Database Fields'!F70</f>
        <v>26.734914893617</v>
      </c>
      <c r="N10" s="30" t="n">
        <f aca="false">'III Database Fields'!F33</f>
        <v>1.08028292335208</v>
      </c>
      <c r="O10" s="30" t="n">
        <f aca="false">'III Database Fields'!F92</f>
        <v>3600</v>
      </c>
      <c r="P10" s="30" t="n">
        <f aca="false">'III Database Fields'!F6</f>
        <v>25.8</v>
      </c>
      <c r="Q10" s="30" t="n">
        <f aca="false">'III Database Fields'!F11</f>
        <v>395.9</v>
      </c>
      <c r="R10" s="30" t="n">
        <f aca="false">'III Database Fields'!F29</f>
        <v>30</v>
      </c>
      <c r="S10" s="31" t="n">
        <f aca="false">'III Database Fields'!F56</f>
        <v>91.7</v>
      </c>
      <c r="T10" s="7" t="str">
        <f aca="false">G10&amp;K10&amp;-F10&amp;-O10</f>
        <v>openESFM-20-3600</v>
      </c>
      <c r="U10" s="20" t="n">
        <f aca="false">VLOOKUP(T10,'Minimum Motor'!$O$8:$P$327,2,0)</f>
        <v>91</v>
      </c>
      <c r="V10" s="20" t="str">
        <f aca="false">IF(K10=$X$20,V13,IF(U10&gt;H10,$V$18,$V$19))</f>
        <v>Proceed</v>
      </c>
      <c r="W10" s="20" t="n">
        <f aca="false">(INDEX('Minimum Motor'!$T$9:$T$47,(MATCH($H10,'Minimum Motor'!$S$9:$S$47,1)),1))-(INDEX('Minimum Motor'!$X$9:$X$47,MATCH($U10,'Minimum Motor'!$W$9:$W$47,-1),1))</f>
        <v>3</v>
      </c>
      <c r="X10" s="20" t="n">
        <f aca="false">IF(K10=$X$20,S10,INDEX('Minimum Motor'!$S$9:$T$47,(((MATCH($S10,'Minimum Motor'!$S$9:$S$47,1)))+W10),1))</f>
        <v>93.6</v>
      </c>
      <c r="Y10" s="7" t="n">
        <f aca="false">(R10/(S10/100))-R10</f>
        <v>2.71537622682661</v>
      </c>
      <c r="Z10" s="20" t="n">
        <f aca="false">IF(P10/(R10+Y10)&gt;=1, 1, P10/(R10+Y10))</f>
        <v>0.78862</v>
      </c>
      <c r="AA10" s="7" t="n">
        <f aca="false">(-0.4508*(Z10)^3)+(1.2399*(Z10)^2)-(0.4301*Z10)+0.641</f>
        <v>0.851835761956152</v>
      </c>
      <c r="AB10" s="34" t="n">
        <f aca="false">AA10*Y10</f>
        <v>2.31305457717646</v>
      </c>
      <c r="AC10" s="34" t="n">
        <f aca="false">P10-AB10</f>
        <v>23.4869454228235</v>
      </c>
      <c r="AD10" s="34" t="n">
        <f aca="false">((0.8*(0.25*$Q10)^3/($Q10)^3)+(0.2*0.25*$Q10/$Q10))*$AC10</f>
        <v>1.46793408892647</v>
      </c>
      <c r="AE10" s="34" t="n">
        <f aca="false">((0.8*(0.5*$Q10)^3/($Q10)^3)+(0.2*0.5*$Q10/$Q10))*$AC10</f>
        <v>4.69738908456471</v>
      </c>
      <c r="AF10" s="34" t="n">
        <f aca="false">((0.8*(0.75*$Q10)^3/($Q10)^3)+(0.2*0.75*$Q10/$Q10))*$AC10</f>
        <v>11.4498858936265</v>
      </c>
      <c r="AG10" s="34" t="n">
        <f aca="false">IF(AD10/$R10&gt;=1,1,AD10/$R10)</f>
        <v>0.048931136297549</v>
      </c>
      <c r="AH10" s="34" t="n">
        <f aca="false">IF(AE10/$R10&gt;=1,1,AE10/$R10)</f>
        <v>0.156579636152157</v>
      </c>
      <c r="AI10" s="34" t="n">
        <f aca="false">IF(AF10/$R10&gt;=1,1,AF10/$R10)</f>
        <v>0.381662863120882</v>
      </c>
      <c r="AJ10" s="34" t="n">
        <f aca="false">IF(AC10/R10&gt;=1,1,AC10/R10)</f>
        <v>0.782898180760785</v>
      </c>
      <c r="AK10" s="7" t="n">
        <f aca="false">IF(R10&lt;=5, -0.4658, IF(R10&lt;=20,-1.3198, IF(R10&lt;=50,-1.5122, IF(R10&gt;50,-0.8914))))</f>
        <v>-1.5122</v>
      </c>
      <c r="AL10" s="7" t="n">
        <f aca="false">IF(R10&lt;=5, 1.4965, IF(R10&lt;=20,2.9551, IF(R10&lt;=50,3.0777, IF(R10&gt;50,2.8846))))</f>
        <v>3.0777</v>
      </c>
      <c r="AM10" s="7" t="n">
        <f aca="false">IF(R10&lt;=5, 0.5303, IF(R10&lt;=20,0.1052, IF(R10&lt;=50,0.1847, IF(R10&gt;50,0.2625))))</f>
        <v>0.1847</v>
      </c>
      <c r="AN10" s="34" t="n">
        <f aca="false">($AK10*AG10^2)+($AL10*AG10)+$AM10</f>
        <v>0.3316747641095</v>
      </c>
      <c r="AO10" s="34" t="n">
        <f aca="false">($AK10*AH10^2)+($AL10*AH10)+$AM10</f>
        <v>0.629530262873199</v>
      </c>
      <c r="AP10" s="34" t="n">
        <f aca="false">($AK10*AI10^2)+($AL10*AI10)+$AM10</f>
        <v>1.13906685039745</v>
      </c>
      <c r="AQ10" s="34" t="n">
        <f aca="false">($AK10*AJ10^2)+($AL10*AJ10)+$AM10</f>
        <v>1.6673536481201</v>
      </c>
      <c r="AR10" s="93" t="n">
        <f aca="false">(R10/(X10/100))-R10</f>
        <v>2.05128205128205</v>
      </c>
      <c r="AS10" s="7" t="n">
        <f aca="false">AN10*$AR10</f>
        <v>0.680358490481026</v>
      </c>
      <c r="AT10" s="7" t="n">
        <f aca="false">AO10*$AR10</f>
        <v>1.29134412897066</v>
      </c>
      <c r="AU10" s="7" t="n">
        <f aca="false">AP10*$AR10</f>
        <v>2.33654738543067</v>
      </c>
      <c r="AV10" s="7" t="n">
        <f aca="false">AQ10*$AR10</f>
        <v>3.4202126115284</v>
      </c>
      <c r="AW10" s="7" t="n">
        <f aca="false">AD10+AS10</f>
        <v>2.1482925794075</v>
      </c>
      <c r="AX10" s="7" t="n">
        <f aca="false">AE10+AT10</f>
        <v>5.98873321353537</v>
      </c>
      <c r="AY10" s="7" t="n">
        <f aca="false">AF10+AU10</f>
        <v>13.7864332790571</v>
      </c>
      <c r="AZ10" s="7" t="n">
        <f aca="false">AC10+AV10</f>
        <v>26.9071580343519</v>
      </c>
      <c r="BA10" s="35" t="n">
        <f aca="false">(0.25*AW10)+(0.25*AX10)+(0.25*AY10)+(0.25*AZ10)</f>
        <v>12.207654276588</v>
      </c>
      <c r="BB10" s="36" t="n">
        <f aca="false">BA10/M10</f>
        <v>0.456618407994355</v>
      </c>
      <c r="BC10" s="37" t="n">
        <f aca="false">IF((V10=$V$19),(N10-BB10)*100,V22)</f>
        <v>62.3664515357727</v>
      </c>
      <c r="BD10" s="94" t="n">
        <f aca="false">L10-BB10</f>
        <v>0.483381592005645</v>
      </c>
    </row>
    <row r="11" s="116" customFormat="true" ht="15" hidden="false" customHeight="false" outlineLevel="0" collapsed="false">
      <c r="A11" s="106" t="str">
        <f aca="false">'III Database Fields'!G38</f>
        <v>85WZM5</v>
      </c>
      <c r="B11" s="107" t="str">
        <f aca="false">'III Database Fields'!G2</f>
        <v>xxx</v>
      </c>
      <c r="C11" s="107" t="n">
        <f aca="false">'III Database Fields'!G1</f>
        <v>6</v>
      </c>
      <c r="D11" s="107" t="s">
        <v>112</v>
      </c>
      <c r="E11" s="107" t="s">
        <v>112</v>
      </c>
      <c r="F11" s="107" t="n">
        <f aca="false">'III Database Fields'!G95</f>
        <v>50</v>
      </c>
      <c r="G11" s="107" t="s">
        <v>114</v>
      </c>
      <c r="H11" s="107" t="n">
        <v>95</v>
      </c>
      <c r="I11" s="107" t="s">
        <v>112</v>
      </c>
      <c r="J11" s="108" t="s">
        <v>112</v>
      </c>
      <c r="K11" s="107" t="str">
        <f aca="false">'III Database Fields'!G5</f>
        <v>ESFM</v>
      </c>
      <c r="L11" s="107" t="n">
        <f aca="false">'III Database Fields'!G32</f>
        <v>0.91</v>
      </c>
      <c r="M11" s="107" t="n">
        <f aca="false">'III Database Fields'!G70</f>
        <v>74.2416593406593</v>
      </c>
      <c r="N11" s="107" t="n">
        <f aca="false">'III Database Fields'!G33</f>
        <v>1.08840036392656</v>
      </c>
      <c r="O11" s="107" t="n">
        <f aca="false">'III Database Fields'!G92</f>
        <v>3600</v>
      </c>
      <c r="P11" s="107" t="n">
        <f aca="false">'III Database Fields'!G6</f>
        <v>69.6</v>
      </c>
      <c r="Q11" s="107" t="n">
        <f aca="false">'III Database Fields'!G11</f>
        <v>469.7</v>
      </c>
      <c r="R11" s="107" t="n">
        <f aca="false">'III Database Fields'!G29</f>
        <v>75</v>
      </c>
      <c r="S11" s="109" t="n">
        <f aca="false">'III Database Fields'!G56</f>
        <v>93.6</v>
      </c>
      <c r="T11" s="110" t="str">
        <f aca="false">G11&amp;K11&amp;-F11&amp;-O11</f>
        <v>enclosedESFM-50-3600</v>
      </c>
      <c r="U11" s="109" t="n">
        <f aca="false">VLOOKUP(T11,'Minimum Motor'!$O$8:$P$327,2,0)</f>
        <v>93</v>
      </c>
      <c r="V11" s="109" t="str">
        <f aca="false">IF(K11=$X$20,V14,IF(U11&gt;H11,$V$18,$V$19))</f>
        <v>Proceed</v>
      </c>
      <c r="W11" s="109" t="n">
        <f aca="false">(INDEX('Minimum Motor'!$T$9:$T$47,(MATCH($H11,'Minimum Motor'!$S$9:$S$47,1)),1))-(INDEX('Minimum Motor'!$X$9:$X$47,MATCH($U11,'Minimum Motor'!$W$9:$W$47,-1),1))</f>
        <v>4</v>
      </c>
      <c r="X11" s="109" t="n">
        <f aca="false">IF(K11=$X$20,S11,INDEX('Minimum Motor'!$S$9:$T$47,(((MATCH($S11,'Minimum Motor'!$S$9:$S$47,1)))+W11),1))</f>
        <v>95.4</v>
      </c>
      <c r="Y11" s="110" t="n">
        <f aca="false">(R11/(S11/100))-R11</f>
        <v>5.12820512820514</v>
      </c>
      <c r="Z11" s="109" t="n">
        <f aca="false">IF(P11/(R11+Y11)&gt;=1, 1, P11/(R11+Y11))</f>
        <v>0.868608</v>
      </c>
      <c r="AA11" s="110" t="n">
        <f aca="false">(-0.4508*(Z11)^3)+(1.2399*(Z11)^2)-(0.4301*Z11)+0.641</f>
        <v>0.907460738832814</v>
      </c>
      <c r="AB11" s="111" t="n">
        <f aca="false">AA11*Y11</f>
        <v>4.65364481452726</v>
      </c>
      <c r="AC11" s="111" t="n">
        <f aca="false">P11-AB11</f>
        <v>64.9463551854727</v>
      </c>
      <c r="AD11" s="111" t="n">
        <f aca="false">((0.8*(0.25*$Q11)^3/($Q11)^3)+(0.2*0.25*$Q11/$Q11))*$AC11</f>
        <v>4.05914719909205</v>
      </c>
      <c r="AE11" s="111" t="n">
        <f aca="false">((0.8*(0.5*$Q11)^3/($Q11)^3)+(0.2*0.5*$Q11/$Q11))*$AC11</f>
        <v>12.9892710370945</v>
      </c>
      <c r="AF11" s="111" t="n">
        <f aca="false">((0.8*(0.75*$Q11)^3/($Q11)^3)+(0.2*0.75*$Q11/$Q11))*$AC11</f>
        <v>31.661348152918</v>
      </c>
      <c r="AG11" s="111" t="n">
        <f aca="false">IF(AD11/$R11&gt;=1,1,AD11/$R11)</f>
        <v>0.0541219626545606</v>
      </c>
      <c r="AH11" s="111" t="n">
        <f aca="false">IF(AE11/$R11&gt;=1,1,AE11/$R11)</f>
        <v>0.173190280494594</v>
      </c>
      <c r="AI11" s="111" t="n">
        <f aca="false">IF(AF11/$R11&gt;=1,1,AF11/$R11)</f>
        <v>0.422151308705573</v>
      </c>
      <c r="AJ11" s="111" t="n">
        <f aca="false">IF(AC11/R11&gt;=1,1,AC11/R11)</f>
        <v>0.86595140247297</v>
      </c>
      <c r="AK11" s="110" t="n">
        <f aca="false">IF(R11&lt;=5, -0.4658, IF(R11&lt;=20,-1.3198, IF(R11&lt;=50,-1.5122, IF(R11&gt;50,-0.8914))))</f>
        <v>-0.8914</v>
      </c>
      <c r="AL11" s="110" t="n">
        <f aca="false">IF(R11&lt;=5, 1.4965, IF(R11&lt;=20,2.9551, IF(R11&lt;=50,3.0777, IF(R11&gt;50,2.8846))))</f>
        <v>2.8846</v>
      </c>
      <c r="AM11" s="110" t="n">
        <f aca="false">IF(R11&lt;=5, 0.5303, IF(R11&lt;=20,0.1052, IF(R11&lt;=50,0.1847, IF(R11&gt;50,0.2625))))</f>
        <v>0.2625</v>
      </c>
      <c r="AN11" s="111" t="n">
        <f aca="false">($AK11*AG11^2)+($AL11*AG11)+$AM11</f>
        <v>0.41600913632276</v>
      </c>
      <c r="AO11" s="111" t="n">
        <f aca="false">($AK11*AH11^2)+($AL11*AH11)+$AM11</f>
        <v>0.735347253092706</v>
      </c>
      <c r="AP11" s="111" t="n">
        <f aca="false">($AK11*AI11^2)+($AL11*AI11)+$AM11</f>
        <v>1.32137973125045</v>
      </c>
      <c r="AQ11" s="111" t="n">
        <f aca="false">($AK11*AJ11^2)+($AL11*AJ11)+$AM11</f>
        <v>2.09198766502354</v>
      </c>
      <c r="AR11" s="110" t="n">
        <f aca="false">(R11/(X11/100))-R11</f>
        <v>3.61635220125785</v>
      </c>
      <c r="AS11" s="110" t="n">
        <f aca="false">AN11*$AR11</f>
        <v>1.50443555588419</v>
      </c>
      <c r="AT11" s="110" t="n">
        <f aca="false">AO11*$AR11</f>
        <v>2.65927465741072</v>
      </c>
      <c r="AU11" s="110" t="n">
        <f aca="false">AP11*$AR11</f>
        <v>4.77857449980508</v>
      </c>
      <c r="AV11" s="110" t="n">
        <f aca="false">AQ11*$AR11</f>
        <v>7.56536419741216</v>
      </c>
      <c r="AW11" s="110" t="n">
        <f aca="false">AD11+AS11</f>
        <v>5.56358275497624</v>
      </c>
      <c r="AX11" s="110" t="n">
        <f aca="false">AE11+AT11</f>
        <v>15.6485456945053</v>
      </c>
      <c r="AY11" s="110" t="n">
        <f aca="false">AF11+AU11</f>
        <v>36.439922652723</v>
      </c>
      <c r="AZ11" s="110" t="n">
        <f aca="false">AC11+AV11</f>
        <v>72.5117193828849</v>
      </c>
      <c r="BA11" s="112" t="n">
        <f aca="false">(0.25*AW11)+(0.25*AX11)+(0.25*AY11)+(0.25*AZ11)</f>
        <v>32.5409426212724</v>
      </c>
      <c r="BB11" s="113" t="n">
        <f aca="false">BA11/M11</f>
        <v>0.438311089895736</v>
      </c>
      <c r="BC11" s="114" t="n">
        <f aca="false">IF((V11=$V$19),(N11-BB11)*100,V23)</f>
        <v>65.0089274030824</v>
      </c>
      <c r="BD11" s="115" t="n">
        <f aca="false">L11-BB11</f>
        <v>0.471688910104264</v>
      </c>
    </row>
    <row r="12" customFormat="false" ht="15" hidden="false" customHeight="false" outlineLevel="0" collapsed="false">
      <c r="A12" s="28" t="str">
        <f aca="false">'III Database Fields'!H38</f>
        <v>N59774</v>
      </c>
      <c r="B12" s="29" t="str">
        <f aca="false">'III Database Fields'!H2</f>
        <v>xxx</v>
      </c>
      <c r="C12" s="29" t="n">
        <f aca="false">'III Database Fields'!H1</f>
        <v>7</v>
      </c>
      <c r="D12" s="29" t="s">
        <v>112</v>
      </c>
      <c r="E12" s="29" t="s">
        <v>112</v>
      </c>
      <c r="F12" s="29" t="n">
        <f aca="false">'III Database Fields'!H95</f>
        <v>1</v>
      </c>
      <c r="G12" s="29" t="s">
        <v>113</v>
      </c>
      <c r="H12" s="29" t="n">
        <v>87.5</v>
      </c>
      <c r="I12" s="29" t="s">
        <v>112</v>
      </c>
      <c r="J12" s="117" t="s">
        <v>112</v>
      </c>
      <c r="K12" s="30" t="str">
        <f aca="false">'III Database Fields'!H5</f>
        <v>ESFM</v>
      </c>
      <c r="L12" s="30" t="n">
        <f aca="false">'III Database Fields'!H32</f>
        <v>0.89</v>
      </c>
      <c r="M12" s="30" t="n">
        <f aca="false">'III Database Fields'!H70</f>
        <v>1.23208651685393</v>
      </c>
      <c r="N12" s="30" t="n">
        <f aca="false">'III Database Fields'!H33</f>
        <v>1.17473318792345</v>
      </c>
      <c r="O12" s="30" t="n">
        <f aca="false">'III Database Fields'!H92</f>
        <v>1800</v>
      </c>
      <c r="P12" s="30" t="n">
        <f aca="false">'III Database Fields'!H6</f>
        <v>1.12</v>
      </c>
      <c r="Q12" s="30" t="n">
        <f aca="false">'III Database Fields'!H11</f>
        <v>35.2</v>
      </c>
      <c r="R12" s="30" t="n">
        <f aca="false">'III Database Fields'!H29</f>
        <v>1.5</v>
      </c>
      <c r="S12" s="31" t="n">
        <f aca="false">'III Database Fields'!H56</f>
        <v>86.5</v>
      </c>
      <c r="T12" s="7" t="str">
        <f aca="false">G12&amp;K12&amp;-F12&amp;-O12</f>
        <v>openESFM-1-1800</v>
      </c>
      <c r="U12" s="20" t="n">
        <f aca="false">VLOOKUP(T12,'Minimum Motor'!$O$8:$P$327,2,0)</f>
        <v>85.5</v>
      </c>
      <c r="V12" s="20" t="str">
        <f aca="false">IF(K12=$X$20,V15,IF(U12&gt;H12,$V$18,$V$19))</f>
        <v>Proceed</v>
      </c>
      <c r="W12" s="20" t="n">
        <f aca="false">(INDEX('Minimum Motor'!$T$9:$T$47,(MATCH($H12,'Minimum Motor'!$S$9:$S$47,1)),1))-(INDEX('Minimum Motor'!$X$9:$X$47,MATCH($U12,'Minimum Motor'!$W$9:$W$47,-1),1))</f>
        <v>2</v>
      </c>
      <c r="X12" s="20" t="n">
        <f aca="false">IF(K12=$X$20,S12,INDEX('Minimum Motor'!$S$9:$T$47,(((MATCH($S12,'Minimum Motor'!$S$9:$S$47,1)))+W12),1))</f>
        <v>88.5</v>
      </c>
      <c r="Y12" s="7" t="n">
        <f aca="false">(R12/(S12/100))-R12</f>
        <v>0.234104046242775</v>
      </c>
      <c r="Z12" s="20" t="n">
        <f aca="false">IF(P12/(R12+Y12)&gt;=1, 1, P12/(R12+Y12))</f>
        <v>0.645866666666667</v>
      </c>
      <c r="AA12" s="7" t="n">
        <f aca="false">(-0.4508*(Z12)^3)+(1.2399*(Z12)^2)-(0.4301*Z12)+0.641</f>
        <v>0.758975088451159</v>
      </c>
      <c r="AB12" s="34" t="n">
        <f aca="false">AA12*Y12</f>
        <v>0.177679139203884</v>
      </c>
      <c r="AC12" s="34" t="n">
        <f aca="false">P12-AB12</f>
        <v>0.942320860796116</v>
      </c>
      <c r="AD12" s="34" t="n">
        <f aca="false">((0.8*(0.25*$Q12)^3/($Q12)^3)+(0.2*0.25*$Q12/$Q12))*$AC12</f>
        <v>0.0588950537997572</v>
      </c>
      <c r="AE12" s="34" t="n">
        <f aca="false">((0.8*(0.5*$Q12)^3/($Q12)^3)+(0.2*0.5*$Q12/$Q12))*$AC12</f>
        <v>0.188464172159223</v>
      </c>
      <c r="AF12" s="34" t="n">
        <f aca="false">((0.8*(0.75*$Q12)^3/($Q12)^3)+(0.2*0.75*$Q12/$Q12))*$AC12</f>
        <v>0.459381419638107</v>
      </c>
      <c r="AG12" s="34" t="n">
        <f aca="false">IF(AD12/$R12&gt;=1,1,AD12/$R12)</f>
        <v>0.0392633691998382</v>
      </c>
      <c r="AH12" s="34" t="n">
        <f aca="false">IF(AE12/$R12&gt;=1,1,AE12/$R12)</f>
        <v>0.125642781439482</v>
      </c>
      <c r="AI12" s="34" t="n">
        <f aca="false">IF(AF12/$R12&gt;=1,1,AF12/$R12)</f>
        <v>0.306254279758738</v>
      </c>
      <c r="AJ12" s="34" t="n">
        <f aca="false">IF(AC12/R12&gt;=1,1,AC12/R12)</f>
        <v>0.628213907197411</v>
      </c>
      <c r="AK12" s="7" t="n">
        <f aca="false">IF(R12&lt;=5, -0.4658, IF(R12&lt;=20,-1.3198, IF(R12&lt;=50,-1.5122, IF(R12&gt;50,-0.8914))))</f>
        <v>-0.4658</v>
      </c>
      <c r="AL12" s="7" t="n">
        <f aca="false">IF(R12&lt;=5, 1.4965, IF(R12&lt;=20,2.9551, IF(R12&lt;=50,3.0777, IF(R12&gt;50,2.8846))))</f>
        <v>1.4965</v>
      </c>
      <c r="AM12" s="7" t="n">
        <f aca="false">IF(R12&lt;=5, 0.5303, IF(R12&lt;=20,0.1052, IF(R12&lt;=50,0.1847, IF(R12&gt;50,0.2625))))</f>
        <v>0.5303</v>
      </c>
      <c r="AN12" s="34" t="n">
        <f aca="false">($AK12*AG12^2)+($AL12*AG12)+$AM12</f>
        <v>0.588339549063</v>
      </c>
      <c r="AO12" s="34" t="n">
        <f aca="false">($AK12*AH12^2)+($AL12*AH12)+$AM12</f>
        <v>0.710971253071913</v>
      </c>
      <c r="AP12" s="34" t="n">
        <f aca="false">($AK12*AI12^2)+($AL12*AI12)+$AM12</f>
        <v>0.944921363312052</v>
      </c>
      <c r="AQ12" s="34" t="n">
        <f aca="false">($AK12*AJ12^2)+($AL12*AJ12)+$AM12</f>
        <v>1.28659287831412</v>
      </c>
      <c r="AR12" s="93" t="n">
        <f aca="false">(R12/(X12/100))-R12</f>
        <v>0.194915254237288</v>
      </c>
      <c r="AS12" s="7" t="n">
        <f aca="false">AN12*$AR12</f>
        <v>0.114676352783466</v>
      </c>
      <c r="AT12" s="7" t="n">
        <f aca="false">AO12*$AR12</f>
        <v>0.138579142547915</v>
      </c>
      <c r="AU12" s="7" t="n">
        <f aca="false">AP12*$AR12</f>
        <v>0.184179587764213</v>
      </c>
      <c r="AV12" s="7" t="n">
        <f aca="false">AQ12*$AR12</f>
        <v>0.25077657797648</v>
      </c>
      <c r="AW12" s="7" t="n">
        <f aca="false">AD12+AS12</f>
        <v>0.173571406583223</v>
      </c>
      <c r="AX12" s="7" t="n">
        <f aca="false">AE12+AT12</f>
        <v>0.327043314707138</v>
      </c>
      <c r="AY12" s="7" t="n">
        <f aca="false">AF12+AU12</f>
        <v>0.64356100740232</v>
      </c>
      <c r="AZ12" s="7" t="n">
        <f aca="false">AC12+AV12</f>
        <v>1.1930974387726</v>
      </c>
      <c r="BA12" s="35" t="n">
        <f aca="false">(0.25*AW12)+(0.25*AX12)+(0.25*AY12)+(0.25*AZ12)</f>
        <v>0.58431829186632</v>
      </c>
      <c r="BB12" s="36" t="n">
        <f aca="false">BA12/M12</f>
        <v>0.474251023668651</v>
      </c>
      <c r="BC12" s="37" t="n">
        <f aca="false">IF((V12=$V$19),(N12-BB12)*100,V24)</f>
        <v>70.0482164254799</v>
      </c>
      <c r="BD12" s="94" t="n">
        <f aca="false">L12-BB12</f>
        <v>0.41574897633135</v>
      </c>
    </row>
    <row r="13" customFormat="false" ht="15" hidden="false" customHeight="false" outlineLevel="0" collapsed="false">
      <c r="A13" s="28" t="str">
        <f aca="false">'III Database Fields'!I38</f>
        <v>2QYWJ5</v>
      </c>
      <c r="B13" s="29" t="str">
        <f aca="false">'III Database Fields'!I2</f>
        <v>xxx</v>
      </c>
      <c r="C13" s="29" t="n">
        <f aca="false">'III Database Fields'!I1</f>
        <v>8</v>
      </c>
      <c r="D13" s="29" t="s">
        <v>112</v>
      </c>
      <c r="E13" s="29" t="s">
        <v>112</v>
      </c>
      <c r="F13" s="29" t="n">
        <f aca="false">'III Database Fields'!I95</f>
        <v>2</v>
      </c>
      <c r="G13" s="29" t="s">
        <v>114</v>
      </c>
      <c r="H13" s="29" t="n">
        <v>87.5</v>
      </c>
      <c r="I13" s="29" t="s">
        <v>112</v>
      </c>
      <c r="J13" s="117" t="s">
        <v>112</v>
      </c>
      <c r="K13" s="30" t="str">
        <f aca="false">'III Database Fields'!I5</f>
        <v>ESCC</v>
      </c>
      <c r="L13" s="30" t="n">
        <f aca="false">'III Database Fields'!I32</f>
        <v>0.93</v>
      </c>
      <c r="M13" s="30" t="n">
        <f aca="false">'III Database Fields'!I70</f>
        <v>2.85992903225806</v>
      </c>
      <c r="N13" s="30" t="n">
        <f aca="false">'III Database Fields'!I33</f>
        <v>1.10090339275359</v>
      </c>
      <c r="O13" s="30" t="n">
        <f aca="false">'III Database Fields'!I92</f>
        <v>3600</v>
      </c>
      <c r="P13" s="30" t="n">
        <f aca="false">'III Database Fields'!I6</f>
        <v>2.73</v>
      </c>
      <c r="Q13" s="30" t="n">
        <f aca="false">'III Database Fields'!I11</f>
        <v>65.7</v>
      </c>
      <c r="R13" s="30" t="n">
        <f aca="false">'III Database Fields'!I29</f>
        <v>3</v>
      </c>
      <c r="S13" s="31" t="n">
        <f aca="false">'III Database Fields'!I56</f>
        <v>85.5</v>
      </c>
      <c r="T13" s="7" t="str">
        <f aca="false">G13&amp;K13&amp;-F13&amp;-O13</f>
        <v>enclosedESCC-2-3600</v>
      </c>
      <c r="U13" s="20" t="n">
        <f aca="false">VLOOKUP(T13,'Minimum Motor'!$O$8:$P$327,2,0)</f>
        <v>85.5</v>
      </c>
      <c r="V13" s="20" t="str">
        <f aca="false">IF(K13=$X$20,V16,IF(U13&gt;H13,$V$18,$V$19))</f>
        <v>Proceed</v>
      </c>
      <c r="W13" s="20" t="n">
        <f aca="false">(INDEX('Minimum Motor'!$T$9:$T$47,(MATCH($H13,'Minimum Motor'!$S$9:$S$47,1)),1))-(INDEX('Minimum Motor'!$X$9:$X$47,MATCH($U13,'Minimum Motor'!$W$9:$W$47,-1),1))</f>
        <v>2</v>
      </c>
      <c r="X13" s="20" t="n">
        <f aca="false">IF(K13=$X$20,S13,INDEX('Minimum Motor'!$S$9:$T$47,(((MATCH($S13,'Minimum Motor'!$S$9:$S$47,1)))+W13),1))</f>
        <v>87.5</v>
      </c>
      <c r="Y13" s="7" t="n">
        <f aca="false">(R13/(S13/100))-R13</f>
        <v>0.508771929824562</v>
      </c>
      <c r="Z13" s="20" t="n">
        <f aca="false">IF(P13/(R13+Y13)&gt;=1, 1, P13/(R13+Y13))</f>
        <v>0.77805</v>
      </c>
      <c r="AA13" s="7" t="n">
        <f aca="false">(-0.4508*(Z13)^3)+(1.2399*(Z13)^2)-(0.4301*Z13)+0.641</f>
        <v>0.844621204823596</v>
      </c>
      <c r="AB13" s="34" t="n">
        <f aca="false">AA13*Y13</f>
        <v>0.429719560348847</v>
      </c>
      <c r="AC13" s="34" t="n">
        <f aca="false">P13-AB13</f>
        <v>2.30028043965115</v>
      </c>
      <c r="AD13" s="34" t="n">
        <f aca="false">((0.8*(0.25*$Q13)^3/($Q13)^3)+(0.2*0.25*$Q13/$Q13))*$AC13</f>
        <v>0.143767527478197</v>
      </c>
      <c r="AE13" s="34" t="n">
        <f aca="false">((0.8*(0.5*$Q13)^3/($Q13)^3)+(0.2*0.5*$Q13/$Q13))*$AC13</f>
        <v>0.460056087930231</v>
      </c>
      <c r="AF13" s="34" t="n">
        <f aca="false">((0.8*(0.75*$Q13)^3/($Q13)^3)+(0.2*0.75*$Q13/$Q13))*$AC13</f>
        <v>1.12138671432994</v>
      </c>
      <c r="AG13" s="34" t="n">
        <f aca="false">IF(AD13/$R13&gt;=1,1,AD13/$R13)</f>
        <v>0.047922509159399</v>
      </c>
      <c r="AH13" s="34" t="n">
        <f aca="false">IF(AE13/$R13&gt;=1,1,AE13/$R13)</f>
        <v>0.153352029310077</v>
      </c>
      <c r="AI13" s="34" t="n">
        <f aca="false">IF(AF13/$R13&gt;=1,1,AF13/$R13)</f>
        <v>0.373795571443312</v>
      </c>
      <c r="AJ13" s="34" t="n">
        <f aca="false">IF(AC13/R13&gt;=1,1,AC13/R13)</f>
        <v>0.766760146550384</v>
      </c>
      <c r="AK13" s="7" t="n">
        <f aca="false">IF(R13&lt;=5, -0.4658, IF(R13&lt;=20,-1.3198, IF(R13&lt;=50,-1.5122, IF(R13&gt;50,-0.8914))))</f>
        <v>-0.4658</v>
      </c>
      <c r="AL13" s="7" t="n">
        <f aca="false">IF(R13&lt;=5, 1.4965, IF(R13&lt;=20,2.9551, IF(R13&lt;=50,3.0777, IF(R13&gt;50,2.8846))))</f>
        <v>1.4965</v>
      </c>
      <c r="AM13" s="7" t="n">
        <f aca="false">IF(R13&lt;=5, 0.5303, IF(R13&lt;=20,0.1052, IF(R13&lt;=50,0.1847, IF(R13&gt;50,0.2625))))</f>
        <v>0.5303</v>
      </c>
      <c r="AN13" s="34" t="n">
        <f aca="false">($AK13*AG13^2)+($AL13*AG13)+$AM13</f>
        <v>0.600946294102412</v>
      </c>
      <c r="AO13" s="34" t="n">
        <f aca="false">($AK13*AH13^2)+($AL13*AH13)+$AM13</f>
        <v>0.748837165511129</v>
      </c>
      <c r="AP13" s="34" t="n">
        <f aca="false">($AK13*AI13^2)+($AL13*AI13)+$AM13</f>
        <v>1.02460203906929</v>
      </c>
      <c r="AQ13" s="34" t="n">
        <f aca="false">($AK13*AJ13^2)+($AL13*AJ13)+$AM13</f>
        <v>1.40390290052763</v>
      </c>
      <c r="AR13" s="93" t="n">
        <f aca="false">(R13/(X13/100))-R13</f>
        <v>0.428571428571428</v>
      </c>
      <c r="AS13" s="7" t="n">
        <f aca="false">AN13*$AR13</f>
        <v>0.257548411758176</v>
      </c>
      <c r="AT13" s="7" t="n">
        <f aca="false">AO13*$AR13</f>
        <v>0.320930213790484</v>
      </c>
      <c r="AU13" s="7" t="n">
        <f aca="false">AP13*$AR13</f>
        <v>0.439115159601123</v>
      </c>
      <c r="AV13" s="7" t="n">
        <f aca="false">AQ13*$AR13</f>
        <v>0.601672671654696</v>
      </c>
      <c r="AW13" s="7" t="n">
        <f aca="false">AD13+AS13</f>
        <v>0.401315939236373</v>
      </c>
      <c r="AX13" s="7" t="n">
        <f aca="false">AE13+AT13</f>
        <v>0.780986301720714</v>
      </c>
      <c r="AY13" s="7" t="n">
        <f aca="false">AF13+AU13</f>
        <v>1.56050187393106</v>
      </c>
      <c r="AZ13" s="7" t="n">
        <f aca="false">AC13+AV13</f>
        <v>2.90195311130585</v>
      </c>
      <c r="BA13" s="35" t="n">
        <f aca="false">(0.25*AW13)+(0.25*AX13)+(0.25*AY13)+(0.25*AZ13)</f>
        <v>1.4111893065485</v>
      </c>
      <c r="BB13" s="36" t="n">
        <f aca="false">BA13/M13</f>
        <v>0.49343507850413</v>
      </c>
      <c r="BC13" s="37" t="n">
        <f aca="false">IF((V13=$V$19),(N13-BB13)*100,V25)</f>
        <v>60.7468314249464</v>
      </c>
      <c r="BD13" s="94" t="n">
        <f aca="false">L13-BB13</f>
        <v>0.43656492149587</v>
      </c>
    </row>
    <row r="14" customFormat="false" ht="15" hidden="false" customHeight="false" outlineLevel="0" collapsed="false">
      <c r="A14" s="28" t="str">
        <f aca="false">'III Database Fields'!J38</f>
        <v>85WXD4</v>
      </c>
      <c r="B14" s="29" t="str">
        <f aca="false">'III Database Fields'!J2</f>
        <v>xxx</v>
      </c>
      <c r="C14" s="29" t="n">
        <f aca="false">'III Database Fields'!J1</f>
        <v>9</v>
      </c>
      <c r="D14" s="29" t="s">
        <v>112</v>
      </c>
      <c r="E14" s="29" t="s">
        <v>112</v>
      </c>
      <c r="F14" s="29" t="n">
        <f aca="false">'III Database Fields'!J95</f>
        <v>1</v>
      </c>
      <c r="G14" s="29" t="s">
        <v>113</v>
      </c>
      <c r="H14" s="29" t="n">
        <v>87.5</v>
      </c>
      <c r="I14" s="29" t="s">
        <v>112</v>
      </c>
      <c r="J14" s="117" t="s">
        <v>112</v>
      </c>
      <c r="K14" s="30" t="str">
        <f aca="false">'III Database Fields'!J5</f>
        <v>ESCC</v>
      </c>
      <c r="L14" s="30" t="n">
        <f aca="false">'III Database Fields'!J32</f>
        <v>0.96</v>
      </c>
      <c r="M14" s="30" t="n">
        <f aca="false">'III Database Fields'!J70</f>
        <v>1.350559375</v>
      </c>
      <c r="N14" s="30" t="n">
        <f aca="false">'III Database Fields'!J33</f>
        <v>1.10562982560113</v>
      </c>
      <c r="O14" s="30" t="n">
        <f aca="false">'III Database Fields'!J92</f>
        <v>1800</v>
      </c>
      <c r="P14" s="30" t="n">
        <f aca="false">'III Database Fields'!J6</f>
        <v>1.33</v>
      </c>
      <c r="Q14" s="30" t="n">
        <f aca="false">'III Database Fields'!J11</f>
        <v>72.5</v>
      </c>
      <c r="R14" s="30" t="n">
        <f aca="false">'III Database Fields'!J29</f>
        <v>1.5</v>
      </c>
      <c r="S14" s="31" t="n">
        <f aca="false">'III Database Fields'!J56</f>
        <v>86.5</v>
      </c>
      <c r="T14" s="7" t="str">
        <f aca="false">G14&amp;K14&amp;-F14&amp;-O14</f>
        <v>openESCC-1-1800</v>
      </c>
      <c r="U14" s="20" t="n">
        <f aca="false">VLOOKUP(T14,'Minimum Motor'!$O$8:$P$327,2,0)</f>
        <v>85.5</v>
      </c>
      <c r="V14" s="20" t="str">
        <f aca="false">IF(K14=$X$20,V17,IF(U14&gt;H14,$V$18,$V$19))</f>
        <v>Proceed</v>
      </c>
      <c r="W14" s="20" t="n">
        <f aca="false">(INDEX('Minimum Motor'!$T$9:$T$47,(MATCH($H14,'Minimum Motor'!$S$9:$S$47,1)),1))-(INDEX('Minimum Motor'!$X$9:$X$47,MATCH($U14,'Minimum Motor'!$W$9:$W$47,-1),1))</f>
        <v>2</v>
      </c>
      <c r="X14" s="20" t="n">
        <f aca="false">IF(K14=$X$20,S14,INDEX('Minimum Motor'!$S$9:$T$47,(((MATCH($S14,'Minimum Motor'!$S$9:$S$47,1)))+W14),1))</f>
        <v>88.5</v>
      </c>
      <c r="Y14" s="7" t="n">
        <f aca="false">(R14/(S14/100))-R14</f>
        <v>0.234104046242775</v>
      </c>
      <c r="Z14" s="20" t="n">
        <f aca="false">IF(P14/(R14+Y14)&gt;=1, 1, P14/(R14+Y14))</f>
        <v>0.766966666666667</v>
      </c>
      <c r="AA14" s="7" t="n">
        <f aca="false">(-0.4508*(Z14)^3)+(1.2399*(Z14)^2)-(0.4301*Z14)+0.641</f>
        <v>0.837101365359525</v>
      </c>
      <c r="AB14" s="34" t="n">
        <f aca="false">AA14*Y14</f>
        <v>0.195968816746016</v>
      </c>
      <c r="AC14" s="34" t="n">
        <f aca="false">P14-AB14</f>
        <v>1.13403118325398</v>
      </c>
      <c r="AD14" s="34" t="n">
        <f aca="false">((0.8*(0.25*$Q14)^3/($Q14)^3)+(0.2*0.25*$Q14/$Q14))*$AC14</f>
        <v>0.070876948953374</v>
      </c>
      <c r="AE14" s="34" t="n">
        <f aca="false">((0.8*(0.5*$Q14)^3/($Q14)^3)+(0.2*0.5*$Q14/$Q14))*$AC14</f>
        <v>0.226806236650797</v>
      </c>
      <c r="AF14" s="34" t="n">
        <f aca="false">((0.8*(0.75*$Q14)^3/($Q14)^3)+(0.2*0.75*$Q14/$Q14))*$AC14</f>
        <v>0.552840201836317</v>
      </c>
      <c r="AG14" s="34" t="n">
        <f aca="false">IF(AD14/$R14&gt;=1,1,AD14/$R14)</f>
        <v>0.0472512993022493</v>
      </c>
      <c r="AH14" s="34" t="n">
        <f aca="false">IF(AE14/$R14&gt;=1,1,AE14/$R14)</f>
        <v>0.151204157767198</v>
      </c>
      <c r="AI14" s="34" t="n">
        <f aca="false">IF(AF14/$R14&gt;=1,1,AF14/$R14)</f>
        <v>0.368560134557545</v>
      </c>
      <c r="AJ14" s="34" t="n">
        <f aca="false">IF(AC14/R14&gt;=1,1,AC14/R14)</f>
        <v>0.756020788835989</v>
      </c>
      <c r="AK14" s="7" t="n">
        <f aca="false">IF(R14&lt;=5, -0.4658, IF(R14&lt;=20,-1.3198, IF(R14&lt;=50,-1.5122, IF(R14&gt;50,-0.8914))))</f>
        <v>-0.4658</v>
      </c>
      <c r="AL14" s="7" t="n">
        <f aca="false">IF(R14&lt;=5, 1.4965, IF(R14&lt;=20,2.9551, IF(R14&lt;=50,3.0777, IF(R14&gt;50,2.8846))))</f>
        <v>1.4965</v>
      </c>
      <c r="AM14" s="7" t="n">
        <f aca="false">IF(R14&lt;=5, 0.5303, IF(R14&lt;=20,0.1052, IF(R14&lt;=50,0.1847, IF(R14&gt;50,0.2625))))</f>
        <v>0.5303</v>
      </c>
      <c r="AN14" s="34" t="n">
        <f aca="false">($AK14*AG14^2)+($AL14*AG14)+$AM14</f>
        <v>0.599971584599713</v>
      </c>
      <c r="AO14" s="34" t="n">
        <f aca="false">($AK14*AH14^2)+($AL14*AH14)+$AM14</f>
        <v>0.74592757768412</v>
      </c>
      <c r="AP14" s="34" t="n">
        <f aca="false">($AK14*AI14^2)+($AL14*AI14)+$AM14</f>
        <v>1.01857756576208</v>
      </c>
      <c r="AQ14" s="34" t="n">
        <f aca="false">($AK14*AJ14^2)+($AL14*AJ14)+$AM14</f>
        <v>1.39544900013077</v>
      </c>
      <c r="AR14" s="93" t="n">
        <f aca="false">(R14/(X14/100))-R14</f>
        <v>0.194915254237288</v>
      </c>
      <c r="AS14" s="7" t="n">
        <f aca="false">AN14*$AR14</f>
        <v>0.116943613947402</v>
      </c>
      <c r="AT14" s="7" t="n">
        <f aca="false">AO14*$AR14</f>
        <v>0.145392663446905</v>
      </c>
      <c r="AU14" s="7" t="n">
        <f aca="false">AP14*$AR14</f>
        <v>0.198536305190913</v>
      </c>
      <c r="AV14" s="7" t="n">
        <f aca="false">AQ14*$AR14</f>
        <v>0.271994296635658</v>
      </c>
      <c r="AW14" s="7" t="n">
        <f aca="false">AD14+AS14</f>
        <v>0.187820562900776</v>
      </c>
      <c r="AX14" s="7" t="n">
        <f aca="false">AE14+AT14</f>
        <v>0.372198900097702</v>
      </c>
      <c r="AY14" s="7" t="n">
        <f aca="false">AF14+AU14</f>
        <v>0.751376507027231</v>
      </c>
      <c r="AZ14" s="7" t="n">
        <f aca="false">AC14+AV14</f>
        <v>1.40602547988964</v>
      </c>
      <c r="BA14" s="35" t="n">
        <f aca="false">(0.25*AW14)+(0.25*AX14)+(0.25*AY14)+(0.25*AZ14)</f>
        <v>0.679355362478838</v>
      </c>
      <c r="BB14" s="36" t="n">
        <f aca="false">BA14/M14</f>
        <v>0.503017768085048</v>
      </c>
      <c r="BC14" s="37" t="n">
        <f aca="false">IF((V14=$V$19),(N14-BB14)*100,V26)</f>
        <v>60.2612057516086</v>
      </c>
      <c r="BD14" s="94" t="n">
        <f aca="false">L14-BB14</f>
        <v>0.456982231914952</v>
      </c>
    </row>
    <row r="15" s="116" customFormat="true" ht="15" hidden="false" customHeight="false" outlineLevel="0" collapsed="false">
      <c r="A15" s="118" t="str">
        <f aca="false">'III Database Fields'!K38</f>
        <v>Y5PG85</v>
      </c>
      <c r="B15" s="107" t="str">
        <f aca="false">'III Database Fields'!K2</f>
        <v>xxx</v>
      </c>
      <c r="C15" s="119" t="n">
        <f aca="false">'III Database Fields'!K1</f>
        <v>10</v>
      </c>
      <c r="D15" s="107" t="s">
        <v>112</v>
      </c>
      <c r="E15" s="107" t="s">
        <v>112</v>
      </c>
      <c r="F15" s="119" t="n">
        <f aca="false">'III Database Fields'!K95</f>
        <v>50</v>
      </c>
      <c r="G15" s="107" t="s">
        <v>114</v>
      </c>
      <c r="H15" s="107" t="n">
        <v>95</v>
      </c>
      <c r="I15" s="107" t="s">
        <v>112</v>
      </c>
      <c r="J15" s="107" t="s">
        <v>112</v>
      </c>
      <c r="K15" s="119" t="str">
        <f aca="false">'III Database Fields'!K5</f>
        <v>IL</v>
      </c>
      <c r="L15" s="120" t="n">
        <f aca="false">'III Database Fields'!K32</f>
        <v>0.900333918371054</v>
      </c>
      <c r="M15" s="121" t="n">
        <f aca="false">'III Database Fields'!K70</f>
        <v>54.289837875203</v>
      </c>
      <c r="N15" s="107" t="n">
        <f aca="false">'III Database Fields'!K33</f>
        <v>1.12467134911685</v>
      </c>
      <c r="O15" s="119" t="n">
        <f aca="false">'III Database Fields'!K92</f>
        <v>3600</v>
      </c>
      <c r="P15" s="119" t="n">
        <f aca="false">'III Database Fields'!K7</f>
        <v>57.1430796382283</v>
      </c>
      <c r="Q15" s="119" t="n">
        <f aca="false">'III Database Fields'!K12</f>
        <v>396.588087887324</v>
      </c>
      <c r="R15" s="119" t="n">
        <f aca="false">'III Database Fields'!K29</f>
        <v>75</v>
      </c>
      <c r="S15" s="119" t="n">
        <f aca="false">'III Database Fields'!K56</f>
        <v>93.6</v>
      </c>
      <c r="T15" s="110" t="str">
        <f aca="false">G15&amp;K15&amp;-F15&amp;-O15</f>
        <v>enclosedIL-50-3600</v>
      </c>
      <c r="U15" s="109" t="n">
        <f aca="false">VLOOKUP(T15,'Minimum Motor'!$O$8:$P$327,2,0)</f>
        <v>93</v>
      </c>
      <c r="V15" s="109" t="str">
        <f aca="false">IF(K15=$X$20,V18,IF(U15&gt;H15,$V$18,$V$19))</f>
        <v>Proceed</v>
      </c>
      <c r="W15" s="109" t="n">
        <f aca="false">(INDEX('Minimum Motor'!$T$9:$T$47,(MATCH($H15,'Minimum Motor'!$S$9:$S$47,1)),1))-(INDEX('Minimum Motor'!$X$9:$X$47,MATCH($U15,'Minimum Motor'!$W$9:$W$47,-1),1))</f>
        <v>4</v>
      </c>
      <c r="X15" s="109" t="n">
        <f aca="false">IF(K15=$X$20,S15,INDEX('Minimum Motor'!$S$9:$T$47,(((MATCH($S15,'Minimum Motor'!$S$9:$S$47,1)))+W15),1))</f>
        <v>95.4</v>
      </c>
      <c r="Y15" s="110" t="n">
        <f aca="false">(R15/(S15/100))-R15</f>
        <v>5.12820512820514</v>
      </c>
      <c r="Z15" s="109" t="n">
        <f aca="false">IF(P15/(R15+Y15)&gt;=1, 1, P15/(R15+Y15))</f>
        <v>0.713145633885089</v>
      </c>
      <c r="AA15" s="110" t="n">
        <f aca="false">(-0.4508*(Z15)^3)+(1.2399*(Z15)^2)-(0.4301*Z15)+0.641</f>
        <v>0.801359993424975</v>
      </c>
      <c r="AB15" s="111" t="n">
        <f aca="false">AA15*Y15</f>
        <v>4.10953842782039</v>
      </c>
      <c r="AC15" s="111" t="n">
        <f aca="false">P15-AB15</f>
        <v>53.0335412104079</v>
      </c>
      <c r="AD15" s="111" t="n">
        <f aca="false">((0.8*(0.25*$Q15)^3/($Q15)^3)+(0.2*0.25*$Q15/$Q15))*$AC15</f>
        <v>3.31459632565049</v>
      </c>
      <c r="AE15" s="111" t="n">
        <f aca="false">((0.8*(0.5*$Q15)^3/($Q15)^3)+(0.2*0.5*$Q15/$Q15))*$AC15</f>
        <v>10.6067082420816</v>
      </c>
      <c r="AF15" s="111" t="n">
        <f aca="false">((0.8*(0.75*$Q15)^3/($Q15)^3)+(0.2*0.75*$Q15/$Q15))*$AC15</f>
        <v>25.8538513400738</v>
      </c>
      <c r="AG15" s="111" t="n">
        <f aca="false">IF(AD15/$R15&gt;=1,1,AD15/$R15)</f>
        <v>0.0441946176753399</v>
      </c>
      <c r="AH15" s="111" t="n">
        <f aca="false">IF(AE15/$R15&gt;=1,1,AE15/$R15)</f>
        <v>0.141422776561088</v>
      </c>
      <c r="AI15" s="111" t="n">
        <f aca="false">IF(AF15/$R15&gt;=1,1,AF15/$R15)</f>
        <v>0.344718017867651</v>
      </c>
      <c r="AJ15" s="111" t="n">
        <f aca="false">IF(AC15/R15&gt;=1,1,AC15/R15)</f>
        <v>0.707113882805438</v>
      </c>
      <c r="AK15" s="110" t="n">
        <f aca="false">IF(R15&lt;=5, -0.4658, IF(R15&lt;=20,-1.3198, IF(R15&lt;=50,-1.5122, IF(R15&gt;50,-0.8914))))</f>
        <v>-0.8914</v>
      </c>
      <c r="AL15" s="110" t="n">
        <f aca="false">IF(R15&lt;=5, 1.4965, IF(R15&lt;=20,2.9551, IF(R15&lt;=50,3.0777, IF(R15&gt;50,2.8846))))</f>
        <v>2.8846</v>
      </c>
      <c r="AM15" s="110" t="n">
        <f aca="false">IF(R15&lt;=5, 0.5303, IF(R15&lt;=20,0.1052, IF(R15&lt;=50,0.1847, IF(R15&gt;50,0.2625))))</f>
        <v>0.2625</v>
      </c>
      <c r="AN15" s="111" t="n">
        <f aca="false">($AK15*AG15^2)+($AL15*AG15)+$AM15</f>
        <v>0.388242743550354</v>
      </c>
      <c r="AO15" s="111" t="n">
        <f aca="false">($AK15*AH15^2)+($AL15*AH15)+$AM15</f>
        <v>0.652619783165771</v>
      </c>
      <c r="AP15" s="111" t="n">
        <f aca="false">($AK15*AI15^2)+($AL15*AI15)+$AM15</f>
        <v>1.15094807608453</v>
      </c>
      <c r="AQ15" s="111" t="n">
        <f aca="false">($AK15*AJ15^2)+($AL15*AJ15)+$AM15</f>
        <v>1.85653175378201</v>
      </c>
      <c r="AR15" s="93" t="n">
        <f aca="false">(R15/(X15/100))-R15</f>
        <v>3.61635220125785</v>
      </c>
      <c r="AS15" s="110" t="n">
        <f aca="false">AN15*$AR15</f>
        <v>1.40402250026071</v>
      </c>
      <c r="AT15" s="110" t="n">
        <f aca="false">AO15*$AR15</f>
        <v>2.36010298943596</v>
      </c>
      <c r="AU15" s="110" t="n">
        <f aca="false">AP15*$AR15</f>
        <v>4.16223360848179</v>
      </c>
      <c r="AV15" s="110" t="n">
        <f aca="false">AQ15*$AR15</f>
        <v>6.71387269449466</v>
      </c>
      <c r="AW15" s="110" t="n">
        <f aca="false">AD15+AS15</f>
        <v>4.7186188259112</v>
      </c>
      <c r="AX15" s="110" t="n">
        <f aca="false">AE15+AT15</f>
        <v>12.9668112315175</v>
      </c>
      <c r="AY15" s="110" t="n">
        <f aca="false">AF15+AU15</f>
        <v>30.0160849485556</v>
      </c>
      <c r="AZ15" s="110" t="n">
        <f aca="false">AC15+AV15</f>
        <v>59.7474139049025</v>
      </c>
      <c r="BA15" s="112" t="n">
        <f aca="false">(0.25*AW15)+(0.25*AX15)+(0.25*AY15)+(0.25*AZ15)</f>
        <v>26.8622322277217</v>
      </c>
      <c r="BB15" s="113" t="n">
        <f aca="false">BA15/M15</f>
        <v>0.494793008766584</v>
      </c>
      <c r="BC15" s="114" t="n">
        <f aca="false">IF((V15=$V$19),(N15-BB15)*100,V27)</f>
        <v>62.9878340350269</v>
      </c>
      <c r="BD15" s="115" t="n">
        <f aca="false">L15-BB15</f>
        <v>0.40554090960447</v>
      </c>
    </row>
    <row r="16" s="133" customFormat="true" ht="15" hidden="false" customHeight="false" outlineLevel="0" collapsed="false">
      <c r="A16" s="122" t="str">
        <f aca="false">'III Database Fields'!L38</f>
        <v>B4XZL5</v>
      </c>
      <c r="B16" s="123" t="str">
        <f aca="false">'III Database Fields'!L2</f>
        <v>xxx</v>
      </c>
      <c r="C16" s="123" t="n">
        <f aca="false">'III Database Fields'!L1</f>
        <v>11</v>
      </c>
      <c r="D16" s="124" t="s">
        <v>112</v>
      </c>
      <c r="E16" s="124" t="s">
        <v>112</v>
      </c>
      <c r="F16" s="125" t="s">
        <v>194</v>
      </c>
      <c r="G16" s="124" t="s">
        <v>113</v>
      </c>
      <c r="H16" s="125" t="s">
        <v>194</v>
      </c>
      <c r="I16" s="124" t="s">
        <v>112</v>
      </c>
      <c r="J16" s="124" t="s">
        <v>112</v>
      </c>
      <c r="K16" s="123" t="s">
        <v>195</v>
      </c>
      <c r="L16" s="123" t="n">
        <f aca="false">'III Database Fields'!L32</f>
        <v>0.92</v>
      </c>
      <c r="M16" s="126" t="n">
        <f aca="false">'III Database Fields'!L70</f>
        <v>41.100599673913</v>
      </c>
      <c r="N16" s="124" t="n">
        <f aca="false">'III Database Fields'!L33</f>
        <v>1.14896043469693</v>
      </c>
      <c r="O16" s="123" t="n">
        <f aca="false">'III Database Fields'!L92</f>
        <v>3600</v>
      </c>
      <c r="P16" s="123" t="n">
        <f aca="false">'III Database Fields'!L7</f>
        <v>44.2452</v>
      </c>
      <c r="Q16" s="123" t="n">
        <f aca="false">'III Database Fields'!L12</f>
        <v>249.49</v>
      </c>
      <c r="R16" s="123" t="n">
        <f aca="false">'III Database Fields'!L29</f>
        <v>50</v>
      </c>
      <c r="S16" s="127" t="n">
        <v>80</v>
      </c>
      <c r="T16" s="127" t="s">
        <v>194</v>
      </c>
      <c r="U16" s="127" t="s">
        <v>194</v>
      </c>
      <c r="V16" s="125" t="str">
        <f aca="false">IF(K16=$X$20,V19,IF(U16&gt;H16,$V$18,$V$19))</f>
        <v>Proceed</v>
      </c>
      <c r="W16" s="127" t="s">
        <v>194</v>
      </c>
      <c r="X16" s="127" t="n">
        <f aca="false">IF(K16=$X$20,S16,INDEX(#REF!,(((MATCH($S16,#REF!,1)))+W16),1))</f>
        <v>80</v>
      </c>
      <c r="Y16" s="128" t="n">
        <f aca="false">(R16/(S16/100))-R16</f>
        <v>12.5</v>
      </c>
      <c r="Z16" s="125" t="n">
        <f aca="false">IF(P16/(R16+Y16)&gt;=1, 1, P16/(R16+Y16))</f>
        <v>0.7079232</v>
      </c>
      <c r="AA16" s="128" t="n">
        <f aca="false">(-0.4508*(Z16)^3)+(1.2399*(Z16)^2)-(0.4301*Z16)+0.641</f>
        <v>0.797970066423652</v>
      </c>
      <c r="AB16" s="129" t="n">
        <f aca="false">AA16*Y16</f>
        <v>9.97462583029566</v>
      </c>
      <c r="AC16" s="129" t="n">
        <f aca="false">P16-AB16</f>
        <v>34.2705741697043</v>
      </c>
      <c r="AD16" s="129" t="n">
        <f aca="false">((0.8*(0.25*$Q16)^3/($Q16)^3)+(0.2*0.25*$Q16/$Q16))*$AC16</f>
        <v>2.14191088560652</v>
      </c>
      <c r="AE16" s="129" t="n">
        <f aca="false">((0.8*(0.5*$Q16)^3/($Q16)^3)+(0.2*0.5*$Q16/$Q16))*$AC16</f>
        <v>6.85411483394087</v>
      </c>
      <c r="AF16" s="129" t="n">
        <f aca="false">((0.8*(0.75*$Q16)^3/($Q16)^3)+(0.2*0.75*$Q16/$Q16))*$AC16</f>
        <v>16.7069049077309</v>
      </c>
      <c r="AG16" s="129" t="n">
        <f aca="false">IF(AD16/$R16&gt;=1,1,AD16/$R16)</f>
        <v>0.0428382177121304</v>
      </c>
      <c r="AH16" s="129" t="n">
        <f aca="false">IF(AE16/$R16&gt;=1,1,AE16/$R16)</f>
        <v>0.137082296678817</v>
      </c>
      <c r="AI16" s="129" t="n">
        <f aca="false">IF(AF16/$R16&gt;=1,1,AF16/$R16)</f>
        <v>0.334138098154617</v>
      </c>
      <c r="AJ16" s="129" t="n">
        <f aca="false">IF(AC16/R16&gt;=1,1,AC16/R16)</f>
        <v>0.685411483394087</v>
      </c>
      <c r="AK16" s="128" t="n">
        <f aca="false">IF(R16&lt;=5, -0.4658, IF(R16&lt;=20,-1.3198, IF(R16&lt;=50,-1.5122, IF(R16&gt;50,-0.8914))))</f>
        <v>-1.5122</v>
      </c>
      <c r="AL16" s="128" t="n">
        <f aca="false">IF(R16&lt;=5, 1.4965, IF(R16&lt;=20,2.9551, IF(R16&lt;=50,3.0777, IF(R16&gt;50,2.8846))))</f>
        <v>3.0777</v>
      </c>
      <c r="AM16" s="128" t="n">
        <f aca="false">IF(R16&lt;=5, 0.5303, IF(R16&lt;=20,0.1052, IF(R16&lt;=50,0.1847, IF(R16&gt;50,0.2625))))</f>
        <v>0.1847</v>
      </c>
      <c r="AN16" s="129" t="n">
        <f aca="false">($AK16*AG16^2)+($AL16*AG16)+$AM16</f>
        <v>0.313768124930156</v>
      </c>
      <c r="AO16" s="129" t="n">
        <f aca="false">($AK16*AH16^2)+($AL16*AH16)+$AM16</f>
        <v>0.578181593410322</v>
      </c>
      <c r="AP16" s="129" t="n">
        <f aca="false">($AK16*AI16^2)+($AL16*AI16)+$AM16</f>
        <v>1.0442423128555</v>
      </c>
      <c r="AQ16" s="129" t="n">
        <f aca="false">($AK16*AJ16^2)+($AL16*AJ16)+$AM16</f>
        <v>1.58377614549012</v>
      </c>
      <c r="AR16" s="93" t="n">
        <f aca="false">(R16/(X16/100))-R16</f>
        <v>12.5</v>
      </c>
      <c r="AS16" s="128" t="n">
        <f aca="false">AN16*$AR16</f>
        <v>3.92210156162694</v>
      </c>
      <c r="AT16" s="128" t="n">
        <f aca="false">AO16*$AR16</f>
        <v>7.22726991762902</v>
      </c>
      <c r="AU16" s="128" t="n">
        <f aca="false">AP16*$AR16</f>
        <v>13.0530289106938</v>
      </c>
      <c r="AV16" s="128" t="n">
        <f aca="false">AQ16*$AR16</f>
        <v>19.7972018186265</v>
      </c>
      <c r="AW16" s="128" t="n">
        <f aca="false">AD16+AS16</f>
        <v>6.06401244723347</v>
      </c>
      <c r="AX16" s="128" t="n">
        <f aca="false">AE16+AT16</f>
        <v>14.0813847515699</v>
      </c>
      <c r="AY16" s="128" t="n">
        <f aca="false">AF16+AU16</f>
        <v>29.7599338184246</v>
      </c>
      <c r="AZ16" s="128" t="n">
        <f aca="false">AC16+AV16</f>
        <v>54.0677759883309</v>
      </c>
      <c r="BA16" s="130" t="n">
        <f aca="false">(0.25*AW16)+(0.25*AX16)+(0.25*AY16)+(0.25*AZ16)</f>
        <v>25.9932767513897</v>
      </c>
      <c r="BB16" s="128" t="n">
        <f aca="false">BA16/M16</f>
        <v>0.632430596089037</v>
      </c>
      <c r="BC16" s="131" t="n">
        <f aca="false">IF((V16=$V$19),(N16-BB16)*100,V28)</f>
        <v>51.6529838607892</v>
      </c>
      <c r="BD16" s="132" t="n">
        <f aca="false">L16-BB16</f>
        <v>0.287569403910963</v>
      </c>
    </row>
    <row r="17" customFormat="false" ht="69" hidden="false" customHeight="false" outlineLevel="0" collapsed="false">
      <c r="F17" s="134" t="s">
        <v>196</v>
      </c>
      <c r="H17" s="134" t="s">
        <v>196</v>
      </c>
      <c r="K17" s="134" t="s">
        <v>197</v>
      </c>
      <c r="S17" s="134" t="s">
        <v>197</v>
      </c>
      <c r="T17" s="134" t="s">
        <v>197</v>
      </c>
      <c r="U17" s="134" t="s">
        <v>197</v>
      </c>
      <c r="V17" s="134" t="s">
        <v>197</v>
      </c>
      <c r="W17" s="134" t="s">
        <v>197</v>
      </c>
      <c r="X17" s="134" t="s">
        <v>198</v>
      </c>
      <c r="Y17" s="135" t="n">
        <f aca="false">(50/(80/100))-50</f>
        <v>12.5</v>
      </c>
      <c r="AD17" s="39"/>
    </row>
    <row r="18" customFormat="false" ht="75" hidden="false" customHeight="false" outlineLevel="0" collapsed="false">
      <c r="A18" s="65"/>
      <c r="B18" s="65" t="s">
        <v>199</v>
      </c>
      <c r="C18" s="65"/>
      <c r="D18" s="65"/>
      <c r="E18" s="65"/>
      <c r="G18" s="21"/>
      <c r="V18" s="0" t="s">
        <v>118</v>
      </c>
      <c r="W18" s="66" t="s">
        <v>119</v>
      </c>
      <c r="X18" s="66" t="s">
        <v>120</v>
      </c>
      <c r="AD18" s="39"/>
    </row>
    <row r="19" customFormat="false" ht="15" hidden="false" customHeight="false" outlineLevel="0" collapsed="false">
      <c r="G19" s="70"/>
      <c r="V19" s="0" t="s">
        <v>121</v>
      </c>
      <c r="X19" s="20"/>
      <c r="AD19" s="39"/>
    </row>
    <row r="20" customFormat="false" ht="15" hidden="false" customHeight="false" outlineLevel="0" collapsed="false">
      <c r="A20" s="71" t="s">
        <v>122</v>
      </c>
      <c r="B20" s="71"/>
      <c r="G20" s="70"/>
      <c r="X20" s="0" t="s">
        <v>195</v>
      </c>
    </row>
    <row r="21" customFormat="false" ht="15" hidden="false" customHeight="false" outlineLevel="0" collapsed="false">
      <c r="G21" s="70"/>
      <c r="V21" s="0" t="n">
        <v>-2</v>
      </c>
      <c r="W21" s="0" t="n">
        <v>-2</v>
      </c>
    </row>
    <row r="22" customFormat="false" ht="15" hidden="false" customHeight="false" outlineLevel="0" collapsed="false">
      <c r="G22" s="70"/>
      <c r="V22" s="0" t="n">
        <v>6</v>
      </c>
      <c r="W22" s="0" t="n">
        <v>6</v>
      </c>
    </row>
    <row r="23" customFormat="false" ht="15" hidden="false" customHeight="false" outlineLevel="0" collapsed="false">
      <c r="G23" s="70"/>
      <c r="V23" s="0" t="n">
        <v>1</v>
      </c>
      <c r="W23" s="0" t="n">
        <v>1</v>
      </c>
    </row>
    <row r="24" customFormat="false" ht="15" hidden="false" customHeight="false" outlineLevel="0" collapsed="false">
      <c r="G24" s="70"/>
      <c r="V24" s="0" t="n">
        <v>2</v>
      </c>
      <c r="W24" s="0" t="n">
        <v>4</v>
      </c>
    </row>
    <row r="25" customFormat="false" ht="15" hidden="false" customHeight="false" outlineLevel="0" collapsed="false">
      <c r="G25" s="70"/>
      <c r="V25" s="0" t="n">
        <v>3</v>
      </c>
      <c r="W25" s="0" t="n">
        <v>3</v>
      </c>
    </row>
    <row r="26" customFormat="false" ht="15" hidden="false" customHeight="false" outlineLevel="0" collapsed="false">
      <c r="G26" s="70"/>
      <c r="V26" s="0" t="n">
        <v>4</v>
      </c>
      <c r="W26" s="0" t="n">
        <v>4</v>
      </c>
    </row>
    <row r="27" customFormat="false" ht="15" hidden="false" customHeight="false" outlineLevel="0" collapsed="false">
      <c r="G27" s="70"/>
      <c r="V27" s="0" t="n">
        <v>2</v>
      </c>
      <c r="W27" s="0" t="n">
        <v>2</v>
      </c>
    </row>
    <row r="28" customFormat="false" ht="15" hidden="false" customHeight="false" outlineLevel="0" collapsed="false">
      <c r="G28" s="70"/>
      <c r="V28" s="0" t="n">
        <v>2</v>
      </c>
      <c r="W28" s="0" t="n">
        <v>2</v>
      </c>
    </row>
    <row r="29" customFormat="false" ht="15" hidden="false" customHeight="false" outlineLevel="0" collapsed="false">
      <c r="G29" s="70"/>
      <c r="V29" s="0" t="n">
        <v>2</v>
      </c>
      <c r="W29" s="0" t="n">
        <v>2</v>
      </c>
    </row>
    <row r="30" customFormat="false" ht="15" hidden="false" customHeight="false" outlineLevel="0" collapsed="false">
      <c r="G30" s="70"/>
      <c r="V30" s="0" t="n">
        <v>4</v>
      </c>
      <c r="W30" s="0" t="n">
        <v>4</v>
      </c>
    </row>
  </sheetData>
  <mergeCells count="3">
    <mergeCell ref="B2:J2"/>
    <mergeCell ref="K2:S2"/>
    <mergeCell ref="Y2:B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pane xSplit="1" ySplit="0" topLeftCell="H4" activePane="topRight" state="frozen"/>
      <selection pane="topLeft" activeCell="A4" activeCellId="0" sqref="A4"/>
      <selection pane="topRight" activeCell="K7" activeCellId="0" sqref="K7"/>
    </sheetView>
  </sheetViews>
  <sheetFormatPr defaultRowHeight="15" zeroHeight="false" outlineLevelRow="0" outlineLevelCol="0"/>
  <cols>
    <col collapsed="false" customWidth="true" hidden="false" outlineLevel="0" max="1" min="1" style="74" width="50.14"/>
    <col collapsed="false" customWidth="true" hidden="false" outlineLevel="0" max="2" min="2" style="73" width="28.57"/>
    <col collapsed="false" customWidth="true" hidden="false" outlineLevel="0" max="3" min="3" style="136" width="28.57"/>
    <col collapsed="false" customWidth="true" hidden="false" outlineLevel="0" max="12" min="4" style="74" width="28.57"/>
    <col collapsed="false" customWidth="true" hidden="false" outlineLevel="0" max="14" min="13" style="76" width="9.14"/>
    <col collapsed="false" customWidth="true" hidden="false" outlineLevel="0" max="15" min="15" style="76" width="35"/>
    <col collapsed="false" customWidth="true" hidden="false" outlineLevel="0" max="16" min="16" style="76" width="19.14"/>
    <col collapsed="false" customWidth="true" hidden="false" outlineLevel="0" max="1025" min="17" style="76" width="9.14"/>
  </cols>
  <sheetData>
    <row r="1" customFormat="false" ht="15.75" hidden="false" customHeight="false" outlineLevel="0" collapsed="false">
      <c r="A1" s="137" t="s">
        <v>200</v>
      </c>
      <c r="B1" s="138" t="n">
        <v>1</v>
      </c>
      <c r="C1" s="139" t="n">
        <v>2</v>
      </c>
      <c r="D1" s="137" t="n">
        <v>3</v>
      </c>
      <c r="E1" s="137" t="n">
        <v>4</v>
      </c>
      <c r="F1" s="137" t="n">
        <v>5</v>
      </c>
      <c r="G1" s="137" t="n">
        <v>6</v>
      </c>
      <c r="H1" s="137" t="n">
        <v>7</v>
      </c>
      <c r="I1" s="137" t="n">
        <v>8</v>
      </c>
      <c r="J1" s="137" t="n">
        <v>9</v>
      </c>
      <c r="K1" s="137" t="n">
        <v>10</v>
      </c>
      <c r="L1" s="137" t="n">
        <v>11</v>
      </c>
      <c r="O1" s="66"/>
      <c r="P1" s="66"/>
    </row>
    <row r="2" customFormat="false" ht="15.75" hidden="false" customHeight="false" outlineLevel="0" collapsed="false">
      <c r="A2" s="137" t="s">
        <v>201</v>
      </c>
      <c r="B2" s="138" t="s">
        <v>202</v>
      </c>
      <c r="C2" s="139" t="s">
        <v>202</v>
      </c>
      <c r="D2" s="137" t="s">
        <v>202</v>
      </c>
      <c r="E2" s="137" t="s">
        <v>202</v>
      </c>
      <c r="F2" s="137" t="s">
        <v>202</v>
      </c>
      <c r="G2" s="137" t="s">
        <v>202</v>
      </c>
      <c r="H2" s="137" t="s">
        <v>202</v>
      </c>
      <c r="I2" s="137" t="s">
        <v>202</v>
      </c>
      <c r="J2" s="137" t="s">
        <v>202</v>
      </c>
      <c r="K2" s="137" t="s">
        <v>202</v>
      </c>
      <c r="L2" s="137" t="s">
        <v>202</v>
      </c>
      <c r="O2" s="66"/>
      <c r="P2" s="66"/>
    </row>
    <row r="3" customFormat="false" ht="15.75" hidden="false" customHeight="false" outlineLevel="0" collapsed="false">
      <c r="A3" s="74" t="s">
        <v>203</v>
      </c>
      <c r="B3" s="140" t="s">
        <v>204</v>
      </c>
      <c r="C3" s="141" t="s">
        <v>204</v>
      </c>
      <c r="D3" s="74" t="s">
        <v>204</v>
      </c>
      <c r="E3" s="74" t="s">
        <v>204</v>
      </c>
      <c r="F3" s="74" t="s">
        <v>204</v>
      </c>
      <c r="G3" s="74" t="s">
        <v>204</v>
      </c>
      <c r="H3" s="74" t="s">
        <v>204</v>
      </c>
      <c r="I3" s="74" t="s">
        <v>204</v>
      </c>
      <c r="J3" s="74" t="s">
        <v>204</v>
      </c>
      <c r="K3" s="74" t="s">
        <v>204</v>
      </c>
      <c r="L3" s="74" t="s">
        <v>204</v>
      </c>
    </row>
    <row r="4" customFormat="false" ht="15.75" hidden="false" customHeight="false" outlineLevel="0" collapsed="false">
      <c r="A4" s="74" t="s">
        <v>205</v>
      </c>
      <c r="B4" s="140" t="n">
        <v>15.5</v>
      </c>
      <c r="C4" s="141" t="n">
        <v>13</v>
      </c>
      <c r="D4" s="74" t="n">
        <v>4.25</v>
      </c>
      <c r="E4" s="74" t="n">
        <v>7</v>
      </c>
      <c r="F4" s="74" t="n">
        <v>7</v>
      </c>
      <c r="G4" s="74" t="n">
        <v>9.5</v>
      </c>
      <c r="H4" s="74" t="n">
        <v>7</v>
      </c>
      <c r="I4" s="74" t="n">
        <v>4.97</v>
      </c>
      <c r="J4" s="74" t="n">
        <v>6.125</v>
      </c>
      <c r="K4" s="74" t="n">
        <v>9.5</v>
      </c>
      <c r="L4" s="74" t="n">
        <v>9.5</v>
      </c>
    </row>
    <row r="5" customFormat="false" ht="15.75" hidden="false" customHeight="false" outlineLevel="0" collapsed="false">
      <c r="A5" s="137" t="s">
        <v>206</v>
      </c>
      <c r="B5" s="138" t="s">
        <v>207</v>
      </c>
      <c r="C5" s="139" t="s">
        <v>207</v>
      </c>
      <c r="D5" s="137" t="s">
        <v>208</v>
      </c>
      <c r="E5" s="137" t="s">
        <v>207</v>
      </c>
      <c r="F5" s="137" t="s">
        <v>207</v>
      </c>
      <c r="G5" s="137" t="s">
        <v>207</v>
      </c>
      <c r="H5" s="137" t="s">
        <v>207</v>
      </c>
      <c r="I5" s="137" t="s">
        <v>208</v>
      </c>
      <c r="J5" s="137" t="s">
        <v>208</v>
      </c>
      <c r="K5" s="137" t="s">
        <v>209</v>
      </c>
      <c r="L5" s="137" t="s">
        <v>209</v>
      </c>
    </row>
    <row r="6" customFormat="false" ht="15.75" hidden="false" customHeight="false" outlineLevel="0" collapsed="false">
      <c r="A6" s="137" t="s">
        <v>210</v>
      </c>
      <c r="B6" s="138" t="n">
        <v>197</v>
      </c>
      <c r="C6" s="139" t="n">
        <v>102</v>
      </c>
      <c r="D6" s="137" t="n">
        <v>1.43</v>
      </c>
      <c r="E6" s="137" t="n">
        <v>7.42</v>
      </c>
      <c r="F6" s="137" t="n">
        <v>25.8</v>
      </c>
      <c r="G6" s="137" t="n">
        <v>69.6</v>
      </c>
      <c r="H6" s="137" t="n">
        <v>1.12</v>
      </c>
      <c r="I6" s="137" t="n">
        <v>2.73</v>
      </c>
      <c r="J6" s="137" t="n">
        <v>1.33</v>
      </c>
      <c r="K6" s="142" t="n">
        <v>51.6156895012263</v>
      </c>
      <c r="L6" s="142" t="n">
        <v>39.9458</v>
      </c>
      <c r="N6" s="143"/>
      <c r="O6" s="66" t="s">
        <v>211</v>
      </c>
    </row>
    <row r="7" customFormat="false" ht="15.75" hidden="false" customHeight="false" outlineLevel="0" collapsed="false">
      <c r="A7" s="137" t="s">
        <v>212</v>
      </c>
      <c r="B7" s="138" t="n">
        <v>208</v>
      </c>
      <c r="C7" s="139" t="n">
        <v>108</v>
      </c>
      <c r="D7" s="137" t="n">
        <v>1.51</v>
      </c>
      <c r="E7" s="137" t="n">
        <v>7.76</v>
      </c>
      <c r="F7" s="137" t="n">
        <v>27.1</v>
      </c>
      <c r="G7" s="137" t="n">
        <v>73.8</v>
      </c>
      <c r="H7" s="137" t="n">
        <v>1.17</v>
      </c>
      <c r="I7" s="137" t="n">
        <v>2.88</v>
      </c>
      <c r="J7" s="137" t="n">
        <v>1.39</v>
      </c>
      <c r="K7" s="142" t="n">
        <v>57.1430796382283</v>
      </c>
      <c r="L7" s="142" t="n">
        <v>44.2452</v>
      </c>
    </row>
    <row r="8" customFormat="false" ht="15.75" hidden="false" customHeight="false" outlineLevel="0" collapsed="false">
      <c r="A8" s="137" t="s">
        <v>213</v>
      </c>
      <c r="B8" s="138" t="n">
        <v>170</v>
      </c>
      <c r="C8" s="139" t="n">
        <v>86.9</v>
      </c>
      <c r="D8" s="137" t="n">
        <v>1.25</v>
      </c>
      <c r="E8" s="137" t="n">
        <v>6.57</v>
      </c>
      <c r="F8" s="137" t="n">
        <v>22.5</v>
      </c>
      <c r="G8" s="137" t="n">
        <v>59.3</v>
      </c>
      <c r="H8" s="137" t="n">
        <v>1</v>
      </c>
      <c r="I8" s="137" t="n">
        <v>2.37</v>
      </c>
      <c r="J8" s="137" t="n">
        <v>1.17</v>
      </c>
      <c r="K8" s="142" t="n">
        <v>37.8928434075323</v>
      </c>
      <c r="L8" s="142" t="n">
        <v>29.258</v>
      </c>
    </row>
    <row r="9" customFormat="false" ht="15.75" hidden="false" customHeight="false" outlineLevel="0" collapsed="false">
      <c r="A9" s="144" t="s">
        <v>214</v>
      </c>
      <c r="B9" s="145" t="n">
        <v>13</v>
      </c>
      <c r="C9" s="146" t="n">
        <v>13</v>
      </c>
      <c r="D9" s="144" t="n">
        <v>21</v>
      </c>
      <c r="E9" s="144" t="n">
        <v>30</v>
      </c>
      <c r="F9" s="144" t="n">
        <v>14</v>
      </c>
      <c r="G9" s="144" t="n">
        <v>18</v>
      </c>
      <c r="H9" s="144" t="n">
        <v>28</v>
      </c>
      <c r="I9" s="144" t="n">
        <v>17</v>
      </c>
      <c r="J9" s="144" t="n">
        <v>15</v>
      </c>
      <c r="K9" s="74" t="n">
        <v>22</v>
      </c>
      <c r="L9" s="74" t="n">
        <v>23</v>
      </c>
    </row>
    <row r="10" customFormat="false" ht="15.75" hidden="false" customHeight="false" outlineLevel="0" collapsed="false">
      <c r="A10" s="74" t="s">
        <v>215</v>
      </c>
      <c r="B10" s="140" t="n">
        <v>33</v>
      </c>
      <c r="C10" s="141" t="n">
        <v>16</v>
      </c>
      <c r="D10" s="74" t="n">
        <v>0</v>
      </c>
      <c r="E10" s="74" t="n">
        <v>2</v>
      </c>
      <c r="F10" s="74" t="n">
        <v>4</v>
      </c>
      <c r="G10" s="74" t="n">
        <v>14</v>
      </c>
      <c r="H10" s="74" t="n">
        <v>0</v>
      </c>
      <c r="I10" s="74" t="n">
        <v>1</v>
      </c>
      <c r="J10" s="74" t="n">
        <v>0</v>
      </c>
      <c r="K10" s="74" t="n">
        <v>17</v>
      </c>
      <c r="L10" s="74" t="n">
        <v>12</v>
      </c>
    </row>
    <row r="11" s="71" customFormat="true" ht="15.75" hidden="false" customHeight="false" outlineLevel="0" collapsed="false">
      <c r="A11" s="137" t="s">
        <v>193</v>
      </c>
      <c r="B11" s="138" t="n">
        <v>2902</v>
      </c>
      <c r="C11" s="139" t="n">
        <v>1986</v>
      </c>
      <c r="D11" s="137" t="n">
        <v>42.7</v>
      </c>
      <c r="E11" s="137" t="n">
        <v>63.6</v>
      </c>
      <c r="F11" s="137" t="n">
        <v>395.9</v>
      </c>
      <c r="G11" s="137" t="n">
        <v>469.7</v>
      </c>
      <c r="H11" s="137" t="n">
        <v>35.2</v>
      </c>
      <c r="I11" s="137" t="n">
        <v>65.7</v>
      </c>
      <c r="J11" s="137" t="n">
        <v>72.5</v>
      </c>
      <c r="K11" s="74" t="n">
        <v>356.929279098591</v>
      </c>
      <c r="L11" s="74" t="n">
        <v>224.541</v>
      </c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</row>
    <row r="12" customFormat="false" ht="15.75" hidden="false" customHeight="false" outlineLevel="0" collapsed="false">
      <c r="A12" s="74" t="s">
        <v>216</v>
      </c>
      <c r="B12" s="140" t="n">
        <v>3192.2</v>
      </c>
      <c r="C12" s="141" t="n">
        <v>2184.6</v>
      </c>
      <c r="D12" s="74" t="n">
        <v>46.97</v>
      </c>
      <c r="E12" s="74" t="n">
        <v>69.96</v>
      </c>
      <c r="F12" s="74" t="n">
        <v>435.49</v>
      </c>
      <c r="G12" s="74" t="n">
        <v>516.67</v>
      </c>
      <c r="H12" s="74" t="n">
        <v>38.72</v>
      </c>
      <c r="I12" s="74" t="n">
        <v>72.27</v>
      </c>
      <c r="J12" s="74" t="n">
        <v>79.75</v>
      </c>
      <c r="K12" s="142" t="n">
        <v>396.588087887324</v>
      </c>
      <c r="L12" s="142" t="n">
        <v>249.49</v>
      </c>
    </row>
    <row r="13" customFormat="false" ht="15.75" hidden="false" customHeight="false" outlineLevel="0" collapsed="false">
      <c r="A13" s="74" t="s">
        <v>217</v>
      </c>
      <c r="B13" s="140" t="n">
        <v>2176.5</v>
      </c>
      <c r="C13" s="141" t="n">
        <v>1489.5</v>
      </c>
      <c r="D13" s="74" t="n">
        <v>32.025</v>
      </c>
      <c r="E13" s="74" t="n">
        <v>47.7</v>
      </c>
      <c r="F13" s="74" t="n">
        <v>296.925</v>
      </c>
      <c r="G13" s="74" t="n">
        <v>352.275</v>
      </c>
      <c r="H13" s="74" t="n">
        <v>26.4</v>
      </c>
      <c r="I13" s="74" t="n">
        <v>49.275</v>
      </c>
      <c r="J13" s="74" t="n">
        <v>54.375</v>
      </c>
      <c r="K13" s="74" t="n">
        <v>257.78225712676</v>
      </c>
      <c r="L13" s="74" t="n">
        <v>162.1685</v>
      </c>
    </row>
    <row r="14" customFormat="false" ht="15.75" hidden="false" customHeight="false" outlineLevel="0" collapsed="false">
      <c r="A14" s="74" t="s">
        <v>218</v>
      </c>
      <c r="B14" s="140" t="n">
        <v>220</v>
      </c>
      <c r="C14" s="141" t="n">
        <v>171</v>
      </c>
      <c r="D14" s="74" t="n">
        <v>66.2</v>
      </c>
      <c r="E14" s="74" t="n">
        <v>192.6</v>
      </c>
      <c r="F14" s="74" t="n">
        <v>185.8</v>
      </c>
      <c r="G14" s="74" t="n">
        <v>394.6</v>
      </c>
      <c r="H14" s="74" t="n">
        <v>47.9</v>
      </c>
      <c r="I14" s="74" t="n">
        <v>86.8</v>
      </c>
      <c r="J14" s="74" t="n">
        <v>38.6</v>
      </c>
      <c r="K14" s="74" t="n">
        <v>362.673617484511</v>
      </c>
      <c r="L14" s="74" t="n">
        <v>374.62</v>
      </c>
    </row>
    <row r="15" customFormat="false" ht="15.75" hidden="false" customHeight="false" outlineLevel="0" collapsed="false">
      <c r="A15" s="74" t="s">
        <v>219</v>
      </c>
      <c r="B15" s="140" t="n">
        <v>210</v>
      </c>
      <c r="C15" s="141" t="n">
        <v>161</v>
      </c>
      <c r="D15" s="74" t="n">
        <v>62.1</v>
      </c>
      <c r="E15" s="74" t="n">
        <v>180.7</v>
      </c>
      <c r="F15" s="74" t="n">
        <v>174.6</v>
      </c>
      <c r="G15" s="74" t="n">
        <v>379.7</v>
      </c>
      <c r="H15" s="74" t="n">
        <v>45.9</v>
      </c>
      <c r="I15" s="74" t="n">
        <v>81.9</v>
      </c>
      <c r="J15" s="74" t="n">
        <v>36.3</v>
      </c>
      <c r="K15" s="74" t="n">
        <v>347.14229873852</v>
      </c>
      <c r="L15" s="74" t="n">
        <v>359.62</v>
      </c>
    </row>
    <row r="16" customFormat="false" ht="15.75" hidden="false" customHeight="false" outlineLevel="0" collapsed="false">
      <c r="A16" s="74" t="s">
        <v>220</v>
      </c>
      <c r="B16" s="140" t="n">
        <v>247</v>
      </c>
      <c r="C16" s="141" t="n">
        <v>184</v>
      </c>
      <c r="D16" s="74" t="n">
        <v>73.5</v>
      </c>
      <c r="E16" s="74" t="n">
        <v>210.4</v>
      </c>
      <c r="F16" s="74" t="n">
        <v>204.8</v>
      </c>
      <c r="G16" s="74" t="n">
        <v>417.5</v>
      </c>
      <c r="H16" s="74" t="n">
        <v>52.9</v>
      </c>
      <c r="I16" s="74" t="n">
        <v>96</v>
      </c>
      <c r="J16" s="74" t="n">
        <v>42.1</v>
      </c>
      <c r="K16" s="74" t="n">
        <v>389.04289462043</v>
      </c>
      <c r="L16" s="74" t="n">
        <v>399.25</v>
      </c>
    </row>
    <row r="17" customFormat="false" ht="15.75" hidden="false" customHeight="false" outlineLevel="0" collapsed="false">
      <c r="A17" s="74" t="s">
        <v>221</v>
      </c>
      <c r="B17" s="140" t="s">
        <v>222</v>
      </c>
      <c r="C17" s="141" t="s">
        <v>223</v>
      </c>
      <c r="D17" s="74" t="s">
        <v>224</v>
      </c>
      <c r="E17" s="74" t="s">
        <v>225</v>
      </c>
      <c r="F17" s="74" t="s">
        <v>226</v>
      </c>
      <c r="G17" s="74" t="s">
        <v>227</v>
      </c>
      <c r="H17" s="74" t="s">
        <v>225</v>
      </c>
      <c r="I17" s="74" t="s">
        <v>228</v>
      </c>
      <c r="J17" s="74" t="s">
        <v>229</v>
      </c>
      <c r="K17" s="74" t="s">
        <v>230</v>
      </c>
      <c r="L17" s="74" t="s">
        <v>231</v>
      </c>
    </row>
    <row r="18" customFormat="false" ht="15.75" hidden="false" customHeight="false" outlineLevel="0" collapsed="false">
      <c r="A18" s="74" t="s">
        <v>232</v>
      </c>
      <c r="B18" s="140" t="s">
        <v>233</v>
      </c>
      <c r="C18" s="141" t="s">
        <v>233</v>
      </c>
      <c r="D18" s="74" t="s">
        <v>233</v>
      </c>
      <c r="E18" s="74" t="s">
        <v>233</v>
      </c>
      <c r="F18" s="74" t="s">
        <v>233</v>
      </c>
      <c r="G18" s="74" t="s">
        <v>233</v>
      </c>
      <c r="H18" s="74" t="s">
        <v>233</v>
      </c>
      <c r="I18" s="74" t="s">
        <v>233</v>
      </c>
      <c r="J18" s="74" t="s">
        <v>233</v>
      </c>
      <c r="K18" s="74" t="s">
        <v>234</v>
      </c>
      <c r="L18" s="74" t="s">
        <v>234</v>
      </c>
    </row>
    <row r="19" customFormat="false" ht="15.75" hidden="false" customHeight="false" outlineLevel="0" collapsed="false">
      <c r="A19" s="74" t="s">
        <v>235</v>
      </c>
      <c r="B19" s="140" t="s">
        <v>236</v>
      </c>
      <c r="C19" s="141" t="s">
        <v>236</v>
      </c>
      <c r="D19" s="74" t="s">
        <v>236</v>
      </c>
      <c r="E19" s="74" t="s">
        <v>236</v>
      </c>
      <c r="F19" s="74" t="s">
        <v>236</v>
      </c>
      <c r="G19" s="74" t="s">
        <v>236</v>
      </c>
      <c r="H19" s="74" t="s">
        <v>236</v>
      </c>
      <c r="I19" s="74" t="s">
        <v>236</v>
      </c>
      <c r="J19" s="74" t="s">
        <v>236</v>
      </c>
      <c r="K19" s="74" t="s">
        <v>237</v>
      </c>
      <c r="L19" s="74" t="s">
        <v>237</v>
      </c>
    </row>
    <row r="20" customFormat="false" ht="15.75" hidden="false" customHeight="false" outlineLevel="0" collapsed="false">
      <c r="A20" s="74" t="s">
        <v>238</v>
      </c>
      <c r="B20" s="140" t="s">
        <v>239</v>
      </c>
      <c r="C20" s="141" t="s">
        <v>239</v>
      </c>
      <c r="D20" s="74" t="s">
        <v>239</v>
      </c>
      <c r="E20" s="74" t="s">
        <v>239</v>
      </c>
      <c r="F20" s="74" t="s">
        <v>239</v>
      </c>
      <c r="G20" s="74" t="s">
        <v>239</v>
      </c>
      <c r="H20" s="74" t="s">
        <v>239</v>
      </c>
      <c r="I20" s="74" t="s">
        <v>239</v>
      </c>
      <c r="J20" s="74" t="s">
        <v>239</v>
      </c>
      <c r="K20" s="74" t="s">
        <v>239</v>
      </c>
      <c r="L20" s="74" t="s">
        <v>239</v>
      </c>
    </row>
    <row r="21" customFormat="false" ht="15.75" hidden="false" customHeight="false" outlineLevel="0" collapsed="false">
      <c r="A21" s="74" t="s">
        <v>240</v>
      </c>
      <c r="B21" s="140" t="s">
        <v>241</v>
      </c>
      <c r="C21" s="141" t="s">
        <v>241</v>
      </c>
      <c r="D21" s="74" t="s">
        <v>241</v>
      </c>
      <c r="E21" s="74" t="s">
        <v>241</v>
      </c>
      <c r="F21" s="74" t="s">
        <v>241</v>
      </c>
      <c r="G21" s="74" t="s">
        <v>241</v>
      </c>
      <c r="H21" s="74" t="s">
        <v>241</v>
      </c>
      <c r="I21" s="74" t="s">
        <v>241</v>
      </c>
      <c r="J21" s="74" t="s">
        <v>241</v>
      </c>
      <c r="K21" s="74" t="s">
        <v>242</v>
      </c>
      <c r="L21" s="74" t="s">
        <v>242</v>
      </c>
    </row>
    <row r="22" customFormat="false" ht="15.75" hidden="false" customHeight="false" outlineLevel="0" collapsed="false">
      <c r="A22" s="74" t="s">
        <v>243</v>
      </c>
      <c r="B22" s="140" t="s">
        <v>244</v>
      </c>
      <c r="C22" s="141" t="s">
        <v>244</v>
      </c>
      <c r="D22" s="74" t="s">
        <v>244</v>
      </c>
      <c r="E22" s="74" t="s">
        <v>244</v>
      </c>
      <c r="F22" s="74" t="s">
        <v>244</v>
      </c>
      <c r="G22" s="74" t="s">
        <v>244</v>
      </c>
      <c r="H22" s="74" t="s">
        <v>244</v>
      </c>
      <c r="I22" s="74" t="s">
        <v>244</v>
      </c>
      <c r="J22" s="74" t="s">
        <v>244</v>
      </c>
      <c r="K22" s="74" t="s">
        <v>245</v>
      </c>
      <c r="L22" s="74" t="s">
        <v>245</v>
      </c>
    </row>
    <row r="23" customFormat="false" ht="15.75" hidden="false" customHeight="false" outlineLevel="0" collapsed="false">
      <c r="A23" s="74" t="s">
        <v>246</v>
      </c>
      <c r="B23" s="140" t="s">
        <v>247</v>
      </c>
      <c r="C23" s="141" t="s">
        <v>247</v>
      </c>
      <c r="D23" s="74" t="s">
        <v>247</v>
      </c>
      <c r="E23" s="74" t="s">
        <v>247</v>
      </c>
      <c r="F23" s="74" t="s">
        <v>247</v>
      </c>
      <c r="G23" s="74" t="s">
        <v>247</v>
      </c>
      <c r="H23" s="74" t="s">
        <v>247</v>
      </c>
      <c r="I23" s="74" t="s">
        <v>247</v>
      </c>
      <c r="J23" s="74" t="s">
        <v>247</v>
      </c>
      <c r="K23" s="74" t="s">
        <v>248</v>
      </c>
      <c r="L23" s="74" t="s">
        <v>248</v>
      </c>
    </row>
    <row r="24" customFormat="false" ht="15.75" hidden="false" customHeight="false" outlineLevel="0" collapsed="false">
      <c r="A24" s="74" t="s">
        <v>249</v>
      </c>
      <c r="B24" s="140" t="s">
        <v>250</v>
      </c>
      <c r="C24" s="141" t="s">
        <v>250</v>
      </c>
      <c r="D24" s="74" t="s">
        <v>250</v>
      </c>
      <c r="E24" s="74" t="s">
        <v>250</v>
      </c>
      <c r="F24" s="74" t="s">
        <v>250</v>
      </c>
      <c r="G24" s="74" t="s">
        <v>250</v>
      </c>
      <c r="H24" s="74" t="s">
        <v>250</v>
      </c>
      <c r="I24" s="74" t="s">
        <v>250</v>
      </c>
      <c r="J24" s="74" t="s">
        <v>250</v>
      </c>
      <c r="K24" s="74" t="s">
        <v>251</v>
      </c>
      <c r="L24" s="74" t="s">
        <v>251</v>
      </c>
    </row>
    <row r="25" customFormat="false" ht="15.75" hidden="false" customHeight="false" outlineLevel="0" collapsed="false">
      <c r="A25" s="74" t="s">
        <v>252</v>
      </c>
      <c r="B25" s="140" t="n">
        <f aca="false">FALSE()</f>
        <v>0</v>
      </c>
      <c r="C25" s="141" t="n">
        <f aca="false">FALSE()</f>
        <v>0</v>
      </c>
      <c r="D25" s="74" t="n">
        <f aca="false">FALSE()</f>
        <v>0</v>
      </c>
      <c r="E25" s="74" t="n">
        <f aca="false">FALSE()</f>
        <v>0</v>
      </c>
      <c r="F25" s="74" t="n">
        <f aca="false">FALSE()</f>
        <v>0</v>
      </c>
      <c r="G25" s="74" t="n">
        <f aca="false">FALSE()</f>
        <v>0</v>
      </c>
      <c r="H25" s="74" t="n">
        <f aca="false">FALSE()</f>
        <v>0</v>
      </c>
      <c r="I25" s="74" t="n">
        <f aca="false">FALSE()</f>
        <v>0</v>
      </c>
      <c r="J25" s="74" t="n">
        <f aca="false">FALSE()</f>
        <v>0</v>
      </c>
      <c r="K25" s="74" t="n">
        <f aca="false">FALSE()</f>
        <v>0</v>
      </c>
      <c r="L25" s="74" t="n">
        <f aca="false">FALSE()</f>
        <v>0</v>
      </c>
    </row>
    <row r="26" customFormat="false" ht="15.75" hidden="false" customHeight="false" outlineLevel="0" collapsed="false">
      <c r="A26" s="74" t="s">
        <v>253</v>
      </c>
      <c r="B26" s="140" t="n">
        <f aca="false">TRUE()</f>
        <v>1</v>
      </c>
      <c r="C26" s="141" t="n">
        <f aca="false">TRUE()</f>
        <v>1</v>
      </c>
      <c r="D26" s="74" t="n">
        <f aca="false">TRUE()</f>
        <v>1</v>
      </c>
      <c r="E26" s="74" t="n">
        <f aca="false">TRUE()</f>
        <v>1</v>
      </c>
      <c r="F26" s="74" t="n">
        <f aca="false">TRUE()</f>
        <v>1</v>
      </c>
      <c r="G26" s="74" t="n">
        <f aca="false">TRUE()</f>
        <v>1</v>
      </c>
      <c r="H26" s="74" t="n">
        <f aca="false">TRUE()</f>
        <v>1</v>
      </c>
      <c r="I26" s="74" t="n">
        <f aca="false">TRUE()</f>
        <v>1</v>
      </c>
      <c r="J26" s="74" t="n">
        <f aca="false">TRUE()</f>
        <v>1</v>
      </c>
      <c r="K26" s="74" t="n">
        <f aca="false">FALSE()</f>
        <v>0</v>
      </c>
      <c r="L26" s="74" t="n">
        <f aca="false">FALSE()</f>
        <v>0</v>
      </c>
    </row>
    <row r="27" customFormat="false" ht="15.75" hidden="false" customHeight="false" outlineLevel="0" collapsed="false">
      <c r="A27" s="74" t="s">
        <v>254</v>
      </c>
      <c r="B27" s="140"/>
      <c r="C27" s="141" t="n">
        <v>1986</v>
      </c>
    </row>
    <row r="28" customFormat="false" ht="15.75" hidden="false" customHeight="false" outlineLevel="0" collapsed="false">
      <c r="A28" s="74" t="s">
        <v>255</v>
      </c>
      <c r="B28" s="140"/>
      <c r="C28" s="141" t="n">
        <v>171</v>
      </c>
    </row>
    <row r="29" customFormat="false" ht="15.75" hidden="false" customHeight="false" outlineLevel="0" collapsed="false">
      <c r="A29" s="137" t="s">
        <v>256</v>
      </c>
      <c r="B29" s="138" t="n">
        <v>250</v>
      </c>
      <c r="C29" s="139" t="n">
        <v>125</v>
      </c>
      <c r="D29" s="137" t="n">
        <v>1.5</v>
      </c>
      <c r="E29" s="137" t="n">
        <v>7.5</v>
      </c>
      <c r="F29" s="137" t="n">
        <v>30</v>
      </c>
      <c r="G29" s="137" t="n">
        <v>75</v>
      </c>
      <c r="H29" s="137" t="n">
        <v>1.5</v>
      </c>
      <c r="I29" s="137" t="n">
        <v>3</v>
      </c>
      <c r="J29" s="137" t="n">
        <v>1.5</v>
      </c>
      <c r="K29" s="137" t="n">
        <v>75</v>
      </c>
      <c r="L29" s="137" t="n">
        <v>50</v>
      </c>
    </row>
    <row r="30" customFormat="false" ht="15.75" hidden="false" customHeight="false" outlineLevel="0" collapsed="false">
      <c r="A30" s="74" t="s">
        <v>257</v>
      </c>
      <c r="B30" s="140" t="n">
        <f aca="false">FALSE()</f>
        <v>0</v>
      </c>
      <c r="C30" s="141" t="n">
        <f aca="false">TRUE()</f>
        <v>1</v>
      </c>
      <c r="D30" s="74" t="n">
        <f aca="false">FALSE()</f>
        <v>0</v>
      </c>
      <c r="E30" s="74" t="n">
        <f aca="false">FALSE()</f>
        <v>0</v>
      </c>
      <c r="F30" s="74" t="n">
        <f aca="false">FALSE()</f>
        <v>0</v>
      </c>
      <c r="G30" s="74" t="n">
        <f aca="false">FALSE()</f>
        <v>0</v>
      </c>
      <c r="H30" s="74" t="n">
        <f aca="false">FALSE()</f>
        <v>0</v>
      </c>
      <c r="I30" s="74" t="n">
        <f aca="false">FALSE()</f>
        <v>0</v>
      </c>
      <c r="J30" s="74" t="n">
        <f aca="false">FALSE()</f>
        <v>0</v>
      </c>
      <c r="K30" s="74" t="n">
        <f aca="false">FALSE()</f>
        <v>0</v>
      </c>
      <c r="L30" s="74" t="n">
        <f aca="false">FALSE()</f>
        <v>0</v>
      </c>
    </row>
    <row r="31" customFormat="false" ht="15.75" hidden="false" customHeight="false" outlineLevel="0" collapsed="false">
      <c r="A31" s="74" t="s">
        <v>258</v>
      </c>
      <c r="B31" s="140" t="s">
        <v>250</v>
      </c>
      <c r="C31" s="141" t="s">
        <v>250</v>
      </c>
      <c r="D31" s="74" t="s">
        <v>250</v>
      </c>
      <c r="E31" s="74" t="s">
        <v>250</v>
      </c>
      <c r="F31" s="74" t="s">
        <v>250</v>
      </c>
      <c r="G31" s="74" t="s">
        <v>250</v>
      </c>
      <c r="H31" s="74" t="s">
        <v>250</v>
      </c>
      <c r="I31" s="74" t="s">
        <v>250</v>
      </c>
      <c r="J31" s="74" t="s">
        <v>250</v>
      </c>
      <c r="K31" s="74" t="s">
        <v>259</v>
      </c>
      <c r="L31" s="74" t="s">
        <v>259</v>
      </c>
    </row>
    <row r="32" customFormat="false" ht="15.75" hidden="false" customHeight="false" outlineLevel="0" collapsed="false">
      <c r="A32" s="137" t="s">
        <v>260</v>
      </c>
      <c r="B32" s="138" t="n">
        <v>0.95</v>
      </c>
      <c r="C32" s="139" t="n">
        <v>0.95</v>
      </c>
      <c r="D32" s="137" t="n">
        <v>0.9</v>
      </c>
      <c r="E32" s="137" t="n">
        <v>0.85</v>
      </c>
      <c r="F32" s="137" t="n">
        <v>0.94</v>
      </c>
      <c r="G32" s="137" t="n">
        <v>0.91</v>
      </c>
      <c r="H32" s="137" t="n">
        <v>0.89</v>
      </c>
      <c r="I32" s="137" t="n">
        <v>0.93</v>
      </c>
      <c r="J32" s="137" t="n">
        <v>0.96</v>
      </c>
      <c r="K32" s="137" t="n">
        <v>0.900333918371054</v>
      </c>
      <c r="L32" s="137" t="n">
        <v>0.92</v>
      </c>
    </row>
    <row r="33" customFormat="false" ht="15.75" hidden="false" customHeight="false" outlineLevel="0" collapsed="false">
      <c r="A33" s="137" t="s">
        <v>261</v>
      </c>
      <c r="B33" s="138" t="n">
        <v>1.07838270469279</v>
      </c>
      <c r="C33" s="139" t="n">
        <v>1.07904337594123</v>
      </c>
      <c r="D33" s="137" t="n">
        <v>1.10710788757884</v>
      </c>
      <c r="E33" s="137" t="n">
        <v>1.14560446974294</v>
      </c>
      <c r="F33" s="137" t="n">
        <v>1.08028292335208</v>
      </c>
      <c r="G33" s="137" t="n">
        <v>1.08840036392656</v>
      </c>
      <c r="H33" s="137" t="n">
        <v>1.17473318792345</v>
      </c>
      <c r="I33" s="137" t="n">
        <v>1.10090339275359</v>
      </c>
      <c r="J33" s="137" t="n">
        <v>1.10562982560113</v>
      </c>
      <c r="K33" s="137" t="n">
        <v>1.12467134911685</v>
      </c>
      <c r="L33" s="137" t="n">
        <v>1.14896043469693</v>
      </c>
    </row>
    <row r="34" customFormat="false" ht="15.75" hidden="false" customHeight="false" outlineLevel="0" collapsed="false">
      <c r="A34" s="74" t="s">
        <v>262</v>
      </c>
      <c r="B34" s="140"/>
      <c r="C34" s="141" t="n">
        <v>51.4</v>
      </c>
    </row>
    <row r="35" customFormat="false" ht="15.75" hidden="false" customHeight="false" outlineLevel="0" collapsed="false">
      <c r="A35" s="74" t="s">
        <v>263</v>
      </c>
      <c r="B35" s="140"/>
      <c r="C35" s="141" t="n">
        <v>51.8</v>
      </c>
    </row>
    <row r="36" customFormat="false" ht="15.75" hidden="false" customHeight="false" outlineLevel="0" collapsed="false">
      <c r="A36" s="74" t="s">
        <v>264</v>
      </c>
      <c r="B36" s="140"/>
      <c r="C36" s="141" t="n">
        <v>53</v>
      </c>
    </row>
    <row r="37" customFormat="false" ht="15.75" hidden="false" customHeight="false" outlineLevel="0" collapsed="false">
      <c r="A37" s="74" t="s">
        <v>265</v>
      </c>
      <c r="B37" s="140"/>
      <c r="C37" s="141" t="n">
        <v>49.2</v>
      </c>
    </row>
    <row r="38" customFormat="false" ht="15.75" hidden="false" customHeight="false" outlineLevel="0" collapsed="false">
      <c r="A38" s="137" t="s">
        <v>97</v>
      </c>
      <c r="B38" s="138" t="s">
        <v>266</v>
      </c>
      <c r="C38" s="139" t="s">
        <v>267</v>
      </c>
      <c r="D38" s="137" t="s">
        <v>268</v>
      </c>
      <c r="E38" s="137" t="s">
        <v>269</v>
      </c>
      <c r="F38" s="137" t="s">
        <v>270</v>
      </c>
      <c r="G38" s="137" t="s">
        <v>271</v>
      </c>
      <c r="H38" s="137" t="s">
        <v>272</v>
      </c>
      <c r="I38" s="137" t="s">
        <v>273</v>
      </c>
      <c r="J38" s="137" t="s">
        <v>274</v>
      </c>
      <c r="K38" s="137" t="s">
        <v>275</v>
      </c>
      <c r="L38" s="137" t="s">
        <v>276</v>
      </c>
    </row>
    <row r="39" customFormat="false" ht="15.75" hidden="false" customHeight="false" outlineLevel="0" collapsed="false">
      <c r="A39" s="74" t="s">
        <v>277</v>
      </c>
      <c r="B39" s="140" t="n">
        <v>134.99</v>
      </c>
      <c r="C39" s="141" t="n">
        <v>134.99</v>
      </c>
      <c r="D39" s="74" t="n">
        <v>135.94</v>
      </c>
      <c r="E39" s="74" t="n">
        <v>136.59</v>
      </c>
      <c r="F39" s="74" t="n">
        <v>136.59</v>
      </c>
      <c r="G39" s="74" t="n">
        <v>136.59</v>
      </c>
      <c r="H39" s="74" t="n">
        <v>134.99</v>
      </c>
      <c r="I39" s="74" t="n">
        <v>135.94</v>
      </c>
      <c r="J39" s="74" t="n">
        <v>134.43</v>
      </c>
      <c r="K39" s="74" t="n">
        <v>141.01</v>
      </c>
      <c r="L39" s="74" t="n">
        <v>141.01</v>
      </c>
    </row>
    <row r="40" customFormat="false" ht="15.75" hidden="false" customHeight="false" outlineLevel="0" collapsed="false">
      <c r="A40" s="74" t="s">
        <v>278</v>
      </c>
      <c r="B40" s="140" t="n">
        <v>219.335597828737</v>
      </c>
      <c r="C40" s="141" t="n">
        <v>118.077210003311</v>
      </c>
      <c r="D40" s="74" t="n">
        <v>1.77502661068476</v>
      </c>
      <c r="E40" s="74" t="n">
        <v>9.85241665548109</v>
      </c>
      <c r="F40" s="74" t="n">
        <v>30.0458467516541</v>
      </c>
      <c r="G40" s="74" t="n">
        <v>82.3745403476188</v>
      </c>
      <c r="H40" s="74" t="n">
        <v>1.50112952250024</v>
      </c>
      <c r="I40" s="74" t="n">
        <v>3.26571129070876</v>
      </c>
      <c r="J40" s="74" t="n">
        <v>1.53970146178876</v>
      </c>
      <c r="K40" s="74" t="n">
        <v>63.1511005511472</v>
      </c>
      <c r="L40" s="74" t="n">
        <v>49.007409878623</v>
      </c>
    </row>
    <row r="41" customFormat="false" ht="15.75" hidden="false" customHeight="false" outlineLevel="0" collapsed="false">
      <c r="A41" s="74" t="s">
        <v>279</v>
      </c>
      <c r="B41" s="140" t="n">
        <v>233.594696165433</v>
      </c>
      <c r="C41" s="141" t="n">
        <v>124.060476627365</v>
      </c>
      <c r="D41" s="74" t="n">
        <v>1.84721225957747</v>
      </c>
      <c r="E41" s="74" t="n">
        <v>10.2763475611288</v>
      </c>
      <c r="F41" s="74" t="n">
        <v>31.491601907751</v>
      </c>
      <c r="G41" s="74" t="n">
        <v>88.1358047564156</v>
      </c>
      <c r="H41" s="74" t="n">
        <v>1.60155254969563</v>
      </c>
      <c r="I41" s="74" t="n">
        <v>3.43303531988783</v>
      </c>
      <c r="J41" s="74" t="n">
        <v>1.61355311738627</v>
      </c>
      <c r="K41" s="74" t="n">
        <v>68.0606886845299</v>
      </c>
      <c r="L41" s="74" t="n">
        <v>52.9762861921543</v>
      </c>
    </row>
    <row r="42" customFormat="false" ht="15.75" hidden="false" customHeight="false" outlineLevel="0" collapsed="false">
      <c r="A42" s="74" t="s">
        <v>280</v>
      </c>
      <c r="B42" s="140" t="n">
        <v>195.406321288251</v>
      </c>
      <c r="C42" s="141" t="n">
        <v>100.894161355721</v>
      </c>
      <c r="D42" s="74" t="n">
        <v>1.57097989932392</v>
      </c>
      <c r="E42" s="74" t="n">
        <v>8.655404796977</v>
      </c>
      <c r="F42" s="74" t="n">
        <v>26.3321275443535</v>
      </c>
      <c r="G42" s="74" t="n">
        <v>69.3610019838934</v>
      </c>
      <c r="H42" s="74" t="n">
        <v>1.32202386273356</v>
      </c>
      <c r="I42" s="74" t="n">
        <v>2.87928655360834</v>
      </c>
      <c r="J42" s="74" t="n">
        <v>1.33971590653474</v>
      </c>
      <c r="K42" s="74" t="n">
        <v>51.9812056831336</v>
      </c>
      <c r="L42" s="74" t="n">
        <v>40.0487549629977</v>
      </c>
    </row>
    <row r="43" customFormat="false" ht="15.75" hidden="false" customHeight="false" outlineLevel="0" collapsed="false">
      <c r="A43" s="74" t="s">
        <v>281</v>
      </c>
      <c r="B43" s="140" t="n">
        <v>0.838484080035802</v>
      </c>
      <c r="C43" s="141" t="n">
        <v>0.899801173498446</v>
      </c>
      <c r="D43" s="74" t="n">
        <v>0.993711007482524</v>
      </c>
      <c r="E43" s="74" t="n">
        <v>1</v>
      </c>
      <c r="F43" s="74" t="n">
        <v>0.916343018126308</v>
      </c>
      <c r="G43" s="74" t="n">
        <v>1</v>
      </c>
      <c r="H43" s="74" t="n">
        <v>0.860063563215506</v>
      </c>
      <c r="I43" s="74" t="n">
        <v>0.927611147238355</v>
      </c>
      <c r="J43" s="74" t="n">
        <v>0.883233072092617</v>
      </c>
      <c r="K43" s="74" t="n">
        <v>0.783986097421961</v>
      </c>
      <c r="L43" s="74" t="n">
        <v>0.909664710566072</v>
      </c>
    </row>
    <row r="44" customFormat="false" ht="15.75" hidden="false" customHeight="false" outlineLevel="0" collapsed="false">
      <c r="A44" s="74" t="s">
        <v>282</v>
      </c>
      <c r="B44" s="140" t="n">
        <v>0.893815516789434</v>
      </c>
      <c r="C44" s="141" t="n">
        <v>0.946090704583815</v>
      </c>
      <c r="D44" s="74" t="n">
        <v>1</v>
      </c>
      <c r="E44" s="74" t="n">
        <v>1</v>
      </c>
      <c r="F44" s="74" t="n">
        <v>0.961641195222955</v>
      </c>
      <c r="G44" s="74" t="n">
        <v>1</v>
      </c>
      <c r="H44" s="74" t="n">
        <v>0.920373648712968</v>
      </c>
      <c r="I44" s="74" t="n">
        <v>0.977432083261637</v>
      </c>
      <c r="J44" s="74" t="n">
        <v>0.927579405293342</v>
      </c>
      <c r="K44" s="74" t="n">
        <v>0.846488753045179</v>
      </c>
      <c r="L44" s="74" t="n">
        <v>0.985043669485875</v>
      </c>
    </row>
    <row r="45" customFormat="false" ht="15.75" hidden="false" customHeight="false" outlineLevel="0" collapsed="false">
      <c r="A45" s="74" t="s">
        <v>283</v>
      </c>
      <c r="B45" s="140" t="n">
        <v>0.745556186169878</v>
      </c>
      <c r="C45" s="141" t="n">
        <v>0.766795494190862</v>
      </c>
      <c r="D45" s="74" t="n">
        <v>0.873777253139571</v>
      </c>
      <c r="E45" s="74" t="n">
        <v>1</v>
      </c>
      <c r="F45" s="74" t="n">
        <v>0.799932979587689</v>
      </c>
      <c r="G45" s="74" t="n">
        <v>0.863032805442245</v>
      </c>
      <c r="H45" s="74" t="n">
        <v>0.752249646076616</v>
      </c>
      <c r="I45" s="74" t="n">
        <v>0.812510068189646</v>
      </c>
      <c r="J45" s="74" t="n">
        <v>0.762924212575419</v>
      </c>
      <c r="K45" s="74" t="n">
        <v>0.641373117872803</v>
      </c>
      <c r="L45" s="74" t="n">
        <v>0.739360390497524</v>
      </c>
    </row>
    <row r="46" customFormat="false" ht="15.75" hidden="false" customHeight="false" outlineLevel="0" collapsed="false">
      <c r="A46" s="74" t="s">
        <v>284</v>
      </c>
      <c r="B46" s="140" t="n">
        <v>9.71457781978648</v>
      </c>
      <c r="C46" s="141" t="n">
        <v>5.60206331600487</v>
      </c>
      <c r="D46" s="74" t="n">
        <v>0.284460099460975</v>
      </c>
      <c r="E46" s="74" t="n">
        <v>0.974576271186442</v>
      </c>
      <c r="F46" s="74" t="n">
        <v>2.55555620786487</v>
      </c>
      <c r="G46" s="74" t="n">
        <v>5.12820512820514</v>
      </c>
      <c r="H46" s="74" t="n">
        <v>0.211034177676983</v>
      </c>
      <c r="I46" s="74" t="n">
        <v>0.482877848993694</v>
      </c>
      <c r="J46" s="74" t="n">
        <v>0.214851853649834</v>
      </c>
      <c r="K46" s="74" t="n">
        <v>4.35214324450007</v>
      </c>
      <c r="L46" s="74" t="n">
        <v>3.52417435031936</v>
      </c>
    </row>
    <row r="47" customFormat="false" ht="15.75" hidden="false" customHeight="false" outlineLevel="0" collapsed="false">
      <c r="A47" s="74" t="s">
        <v>285</v>
      </c>
      <c r="B47" s="140" t="n">
        <v>10.1408169680749</v>
      </c>
      <c r="C47" s="141" t="n">
        <v>5.79913855438815</v>
      </c>
      <c r="D47" s="74" t="n">
        <v>0.285714285714286</v>
      </c>
      <c r="E47" s="74" t="n">
        <v>0.974576271186442</v>
      </c>
      <c r="F47" s="74" t="n">
        <v>2.64236605106234</v>
      </c>
      <c r="G47" s="74" t="n">
        <v>5.12820512820514</v>
      </c>
      <c r="H47" s="74" t="n">
        <v>0.220992076626181</v>
      </c>
      <c r="I47" s="74" t="n">
        <v>0.500739070102924</v>
      </c>
      <c r="J47" s="74" t="n">
        <v>0.222184009446255</v>
      </c>
      <c r="K47" s="74" t="n">
        <v>4.57403220614153</v>
      </c>
      <c r="L47" s="74" t="n">
        <v>3.72410271786051</v>
      </c>
    </row>
    <row r="48" customFormat="false" ht="15.75" hidden="false" customHeight="false" outlineLevel="0" collapsed="false">
      <c r="A48" s="74" t="s">
        <v>286</v>
      </c>
      <c r="B48" s="140" t="n">
        <v>9.01727474578124</v>
      </c>
      <c r="C48" s="141" t="n">
        <v>5.04472458186351</v>
      </c>
      <c r="D48" s="74" t="n">
        <v>0.26031401961456</v>
      </c>
      <c r="E48" s="74" t="n">
        <v>0.974576271186442</v>
      </c>
      <c r="F48" s="74" t="n">
        <v>2.33413815672282</v>
      </c>
      <c r="G48" s="74" t="n">
        <v>4.63354157572506</v>
      </c>
      <c r="H48" s="74" t="n">
        <v>0.193649393618635</v>
      </c>
      <c r="I48" s="74" t="n">
        <v>0.441756349039401</v>
      </c>
      <c r="J48" s="74" t="n">
        <v>0.195329587671607</v>
      </c>
      <c r="K48" s="74" t="n">
        <v>3.87822184267338</v>
      </c>
      <c r="L48" s="74" t="n">
        <v>3.08073543812146</v>
      </c>
    </row>
    <row r="49" customFormat="false" ht="15.75" hidden="false" customHeight="false" outlineLevel="0" collapsed="false">
      <c r="A49" s="74" t="s">
        <v>287</v>
      </c>
      <c r="B49" s="140" t="n">
        <v>0.886339576319565</v>
      </c>
      <c r="C49" s="141" t="n">
        <v>0.929455374516289</v>
      </c>
      <c r="D49" s="74" t="n">
        <v>0.995610348113413</v>
      </c>
      <c r="E49" s="74" t="n">
        <v>1</v>
      </c>
      <c r="F49" s="74" t="n">
        <v>0.941142587394413</v>
      </c>
      <c r="G49" s="74" t="n">
        <v>1</v>
      </c>
      <c r="H49" s="74" t="n">
        <v>0.901454635509088</v>
      </c>
      <c r="I49" s="74" t="n">
        <v>0.949104737677259</v>
      </c>
      <c r="J49" s="74" t="n">
        <v>0.917762239047439</v>
      </c>
      <c r="K49" s="74" t="n">
        <v>0.848667932677511</v>
      </c>
      <c r="L49" s="74" t="n">
        <v>0.936423470227718</v>
      </c>
    </row>
    <row r="50" customFormat="false" ht="15.75" hidden="false" customHeight="false" outlineLevel="0" collapsed="false">
      <c r="A50" s="74" t="s">
        <v>288</v>
      </c>
      <c r="B50" s="140" t="n">
        <v>0.925228824325307</v>
      </c>
      <c r="C50" s="141" t="n">
        <v>0.962152727110664</v>
      </c>
      <c r="D50" s="74" t="n">
        <v>1</v>
      </c>
      <c r="E50" s="74" t="n">
        <v>1</v>
      </c>
      <c r="F50" s="74" t="n">
        <v>0.973112316796853</v>
      </c>
      <c r="G50" s="74" t="n">
        <v>1</v>
      </c>
      <c r="H50" s="74" t="n">
        <v>0.943990845835291</v>
      </c>
      <c r="I50" s="74" t="n">
        <v>0.98421127571954</v>
      </c>
      <c r="J50" s="74" t="n">
        <v>0.949082311955607</v>
      </c>
      <c r="K50" s="74" t="n">
        <v>0.891936280197597</v>
      </c>
      <c r="L50" s="74" t="n">
        <v>0.989547293602936</v>
      </c>
    </row>
    <row r="51" customFormat="false" ht="15.75" hidden="false" customHeight="false" outlineLevel="0" collapsed="false">
      <c r="A51" s="74" t="s">
        <v>289</v>
      </c>
      <c r="B51" s="140" t="n">
        <v>0.822718972043659</v>
      </c>
      <c r="C51" s="141" t="n">
        <v>0.836985608886574</v>
      </c>
      <c r="D51" s="74" t="n">
        <v>0.911099068650958</v>
      </c>
      <c r="E51" s="74" t="n">
        <v>1</v>
      </c>
      <c r="F51" s="74" t="n">
        <v>0.859600276993906</v>
      </c>
      <c r="G51" s="74" t="n">
        <v>0.903540607266386</v>
      </c>
      <c r="H51" s="74" t="n">
        <v>0.827193706074662</v>
      </c>
      <c r="I51" s="74" t="n">
        <v>0.868279720525718</v>
      </c>
      <c r="J51" s="74" t="n">
        <v>0.834370831288593</v>
      </c>
      <c r="K51" s="74" t="n">
        <v>0.756253259321308</v>
      </c>
      <c r="L51" s="74" t="n">
        <v>0.818595416415132</v>
      </c>
    </row>
    <row r="52" customFormat="false" ht="15.75" hidden="false" customHeight="false" outlineLevel="0" collapsed="false">
      <c r="A52" s="74" t="s">
        <v>290</v>
      </c>
      <c r="B52" s="140" t="n">
        <v>76.9890527232719</v>
      </c>
      <c r="C52" s="141" t="n">
        <v>76.3242426177281</v>
      </c>
      <c r="D52" s="74" t="n">
        <v>47.9378135469938</v>
      </c>
      <c r="E52" s="74" t="n">
        <v>34.8778562174493</v>
      </c>
      <c r="F52" s="74" t="n">
        <v>67.6387539821388</v>
      </c>
      <c r="G52" s="74" t="n">
        <v>60.6517692075174</v>
      </c>
      <c r="H52" s="74" t="n">
        <v>33.0369606334503</v>
      </c>
      <c r="I52" s="74" t="n">
        <v>51.8014120277587</v>
      </c>
      <c r="J52" s="74" t="n">
        <v>53.395228170595</v>
      </c>
      <c r="K52" s="74" t="n">
        <v>55.6509050138985</v>
      </c>
      <c r="L52" s="74" t="n">
        <v>46.7497160793968</v>
      </c>
    </row>
    <row r="53" customFormat="false" ht="15.75" hidden="false" customHeight="false" outlineLevel="0" collapsed="false">
      <c r="A53" s="74" t="s">
        <v>291</v>
      </c>
      <c r="B53" s="140" t="n">
        <v>209.62102000895</v>
      </c>
      <c r="C53" s="141" t="n">
        <v>112.475146687306</v>
      </c>
      <c r="D53" s="74" t="n">
        <v>1.49056651122379</v>
      </c>
      <c r="E53" s="74" t="n">
        <v>8.87784038429465</v>
      </c>
      <c r="F53" s="74" t="n">
        <v>27.4902905437892</v>
      </c>
      <c r="G53" s="74" t="n">
        <v>77.2463352194136</v>
      </c>
      <c r="H53" s="74" t="n">
        <v>1.29009534482326</v>
      </c>
      <c r="I53" s="74" t="n">
        <v>2.78283344171507</v>
      </c>
      <c r="J53" s="74" t="n">
        <v>1.32484960813893</v>
      </c>
      <c r="K53" s="74" t="n">
        <v>58.7989573066471</v>
      </c>
      <c r="L53" s="74" t="n">
        <v>45.4832355283036</v>
      </c>
    </row>
    <row r="54" customFormat="false" ht="15.75" hidden="false" customHeight="false" outlineLevel="0" collapsed="false">
      <c r="A54" s="74" t="s">
        <v>292</v>
      </c>
      <c r="B54" s="140" t="n">
        <v>223.453879197358</v>
      </c>
      <c r="C54" s="141" t="n">
        <v>118.261338072977</v>
      </c>
      <c r="D54" s="74" t="n">
        <v>1.56149797386319</v>
      </c>
      <c r="E54" s="74" t="n">
        <v>9.30177128994232</v>
      </c>
      <c r="F54" s="74" t="n">
        <v>28.8492358566887</v>
      </c>
      <c r="G54" s="74" t="n">
        <v>83.0075996282105</v>
      </c>
      <c r="H54" s="74" t="n">
        <v>1.38056047306945</v>
      </c>
      <c r="I54" s="74" t="n">
        <v>2.93229624978491</v>
      </c>
      <c r="J54" s="74" t="n">
        <v>1.39136910794001</v>
      </c>
      <c r="K54" s="74" t="n">
        <v>63.4866564783884</v>
      </c>
      <c r="L54" s="74" t="n">
        <v>49.2521834742938</v>
      </c>
    </row>
    <row r="55" customFormat="false" ht="15.75" hidden="false" customHeight="false" outlineLevel="0" collapsed="false">
      <c r="A55" s="74" t="s">
        <v>293</v>
      </c>
      <c r="B55" s="140" t="n">
        <v>186.389046542469</v>
      </c>
      <c r="C55" s="141" t="n">
        <v>95.8494367738578</v>
      </c>
      <c r="D55" s="74" t="n">
        <v>1.31066587970936</v>
      </c>
      <c r="E55" s="74" t="n">
        <v>7.68082852579055</v>
      </c>
      <c r="F55" s="74" t="n">
        <v>23.9979893876307</v>
      </c>
      <c r="G55" s="74" t="n">
        <v>64.7274604081684</v>
      </c>
      <c r="H55" s="74" t="n">
        <v>1.12837446911492</v>
      </c>
      <c r="I55" s="74" t="n">
        <v>2.43753020456894</v>
      </c>
      <c r="J55" s="74" t="n">
        <v>1.14438631886313</v>
      </c>
      <c r="K55" s="74" t="n">
        <v>48.1029838404603</v>
      </c>
      <c r="L55" s="74" t="n">
        <v>36.9680195248762</v>
      </c>
    </row>
    <row r="56" customFormat="false" ht="15.75" hidden="false" customHeight="false" outlineLevel="0" collapsed="false">
      <c r="A56" s="137" t="s">
        <v>109</v>
      </c>
      <c r="B56" s="138" t="n">
        <v>95.8</v>
      </c>
      <c r="C56" s="139" t="n">
        <v>95.4</v>
      </c>
      <c r="D56" s="137" t="n">
        <v>84</v>
      </c>
      <c r="E56" s="137" t="n">
        <v>88.5</v>
      </c>
      <c r="F56" s="137" t="n">
        <v>91.7</v>
      </c>
      <c r="G56" s="137" t="n">
        <v>93.6</v>
      </c>
      <c r="H56" s="137" t="n">
        <v>86.5</v>
      </c>
      <c r="I56" s="137" t="n">
        <v>85.5</v>
      </c>
      <c r="J56" s="137" t="n">
        <v>86.5</v>
      </c>
      <c r="K56" s="137" t="n">
        <v>93.6</v>
      </c>
      <c r="L56" s="137" t="n">
        <v>93</v>
      </c>
    </row>
    <row r="57" customFormat="false" ht="15.75" hidden="false" customHeight="false" outlineLevel="0" collapsed="false">
      <c r="A57" s="74" t="s">
        <v>294</v>
      </c>
      <c r="B57" s="140" t="n">
        <v>13</v>
      </c>
      <c r="C57" s="141" t="n">
        <v>13</v>
      </c>
      <c r="D57" s="74" t="n">
        <v>21</v>
      </c>
      <c r="E57" s="74" t="n">
        <v>30</v>
      </c>
      <c r="F57" s="74" t="n">
        <v>14</v>
      </c>
      <c r="G57" s="74" t="n">
        <v>18</v>
      </c>
      <c r="H57" s="74" t="n">
        <v>28</v>
      </c>
      <c r="I57" s="74" t="n">
        <v>17</v>
      </c>
      <c r="J57" s="74" t="n">
        <v>15</v>
      </c>
      <c r="K57" s="74" t="n">
        <v>22</v>
      </c>
      <c r="L57" s="74" t="n">
        <v>23</v>
      </c>
    </row>
    <row r="58" customFormat="false" ht="15.75" hidden="false" customHeight="false" outlineLevel="0" collapsed="false">
      <c r="A58" s="74" t="s">
        <v>295</v>
      </c>
      <c r="B58" s="140" t="s">
        <v>296</v>
      </c>
      <c r="C58" s="141" t="s">
        <v>297</v>
      </c>
      <c r="D58" s="74" t="s">
        <v>298</v>
      </c>
      <c r="E58" s="74" t="s">
        <v>299</v>
      </c>
      <c r="F58" s="74" t="s">
        <v>300</v>
      </c>
      <c r="G58" s="74" t="s">
        <v>301</v>
      </c>
      <c r="H58" s="74" t="s">
        <v>298</v>
      </c>
      <c r="I58" s="74" t="s">
        <v>302</v>
      </c>
      <c r="J58" s="74" t="s">
        <v>298</v>
      </c>
      <c r="K58" s="74" t="s">
        <v>303</v>
      </c>
      <c r="L58" s="74" t="s">
        <v>304</v>
      </c>
    </row>
    <row r="59" customFormat="false" ht="15.75" hidden="false" customHeight="false" outlineLevel="0" collapsed="false">
      <c r="A59" s="74" t="s">
        <v>305</v>
      </c>
      <c r="B59" s="73" t="n">
        <v>10.9603340292276</v>
      </c>
      <c r="C59" s="136" t="n">
        <v>6.02725366876308</v>
      </c>
      <c r="D59" s="74" t="n">
        <v>0.285714285714286</v>
      </c>
      <c r="E59" s="74" t="n">
        <v>0.974576271186442</v>
      </c>
      <c r="F59" s="74" t="n">
        <v>2.71537622682661</v>
      </c>
      <c r="G59" s="74" t="n">
        <v>5.12820512820514</v>
      </c>
      <c r="H59" s="74" t="n">
        <v>0.234104046242775</v>
      </c>
      <c r="I59" s="74" t="n">
        <v>0.508771929824562</v>
      </c>
      <c r="J59" s="74" t="n">
        <v>0.234104046242775</v>
      </c>
      <c r="K59" s="74" t="n">
        <v>5.12820512820514</v>
      </c>
      <c r="L59" s="74" t="n">
        <v>3.76344086021505</v>
      </c>
    </row>
    <row r="60" customFormat="false" ht="15.75" hidden="false" customHeight="false" outlineLevel="0" collapsed="false">
      <c r="A60" s="74" t="s">
        <v>306</v>
      </c>
      <c r="B60" s="73" t="n">
        <v>161.385237613751</v>
      </c>
      <c r="C60" s="136" t="n">
        <v>85.8458038422649</v>
      </c>
      <c r="D60" s="74" t="n">
        <v>0.714544994944388</v>
      </c>
      <c r="E60" s="74" t="n">
        <v>3.09640040444894</v>
      </c>
      <c r="F60" s="74" t="n">
        <v>18.5940899898888</v>
      </c>
      <c r="G60" s="74" t="n">
        <v>46.851268958544</v>
      </c>
      <c r="H60" s="74" t="n">
        <v>0.426208291203236</v>
      </c>
      <c r="I60" s="74" t="n">
        <v>1.44154701718908</v>
      </c>
      <c r="J60" s="74" t="n">
        <v>0.707406471183013</v>
      </c>
      <c r="K60" s="74" t="n">
        <v>32.7221518798849</v>
      </c>
      <c r="L60" s="74" t="n">
        <v>21.2632834732053</v>
      </c>
    </row>
    <row r="61" customFormat="false" ht="15.75" hidden="false" customHeight="false" outlineLevel="0" collapsed="false">
      <c r="A61" s="74" t="s">
        <v>307</v>
      </c>
      <c r="B61" s="73" t="n">
        <v>169.454499494439</v>
      </c>
      <c r="C61" s="136" t="n">
        <v>88.9081395348837</v>
      </c>
      <c r="D61" s="74" t="n">
        <v>0.737319767441861</v>
      </c>
      <c r="E61" s="74" t="n">
        <v>3.19559453993933</v>
      </c>
      <c r="F61" s="74" t="n">
        <v>19.2205647118301</v>
      </c>
      <c r="G61" s="74" t="n">
        <v>49.5903940849343</v>
      </c>
      <c r="H61" s="74" t="n">
        <v>0.449253791708797</v>
      </c>
      <c r="I61" s="74" t="n">
        <v>1.49618629929221</v>
      </c>
      <c r="J61" s="74" t="n">
        <v>0.731780839231547</v>
      </c>
      <c r="K61" s="74" t="n">
        <v>34.8009354098887</v>
      </c>
      <c r="L61" s="74" t="n">
        <v>22.6798770980789</v>
      </c>
    </row>
    <row r="62" customFormat="false" ht="15.75" hidden="false" customHeight="false" outlineLevel="0" collapsed="false">
      <c r="A62" s="74" t="s">
        <v>308</v>
      </c>
      <c r="B62" s="73" t="n">
        <v>135.893705763397</v>
      </c>
      <c r="C62" s="136" t="n">
        <v>69.2790697674419</v>
      </c>
      <c r="D62" s="74" t="n">
        <v>0.595004423660263</v>
      </c>
      <c r="E62" s="74" t="n">
        <v>2.53692618806876</v>
      </c>
      <c r="F62" s="74" t="n">
        <v>15.3716481294237</v>
      </c>
      <c r="G62" s="74" t="n">
        <v>37.1776573559151</v>
      </c>
      <c r="H62" s="74" t="n">
        <v>0.353023255813954</v>
      </c>
      <c r="I62" s="74" t="n">
        <v>1.19575328614762</v>
      </c>
      <c r="J62" s="74" t="n">
        <v>0.578662158746208</v>
      </c>
      <c r="K62" s="74" t="n">
        <v>25.3509493160725</v>
      </c>
      <c r="L62" s="74" t="n">
        <v>16.3664746271486</v>
      </c>
    </row>
    <row r="63" customFormat="false" ht="15.75" hidden="false" customHeight="false" outlineLevel="0" collapsed="false">
      <c r="A63" s="74" t="s">
        <v>309</v>
      </c>
      <c r="B63" s="73" t="n">
        <v>1697.47817268245</v>
      </c>
      <c r="C63" s="136" t="n">
        <v>1696.34836442147</v>
      </c>
      <c r="D63" s="74" t="n">
        <v>1013.61480712902</v>
      </c>
      <c r="E63" s="74" t="n">
        <v>555.31428630172</v>
      </c>
      <c r="F63" s="74" t="n">
        <v>1423.34758689369</v>
      </c>
      <c r="G63" s="74" t="n">
        <v>881.241559113153</v>
      </c>
      <c r="H63" s="74" t="n">
        <v>586.532662378984</v>
      </c>
      <c r="I63" s="74" t="n">
        <v>1026.11347695936</v>
      </c>
      <c r="J63" s="74" t="n">
        <v>989.694210825012</v>
      </c>
      <c r="K63" s="74" t="n">
        <v>891.439106511266</v>
      </c>
      <c r="L63" s="74" t="n">
        <v>688.566983696257</v>
      </c>
    </row>
    <row r="64" customFormat="false" ht="15.75" hidden="false" customHeight="false" outlineLevel="0" collapsed="false">
      <c r="A64" s="74" t="s">
        <v>310</v>
      </c>
      <c r="B64" s="73" t="n">
        <v>0.95</v>
      </c>
      <c r="C64" s="136" t="n">
        <v>0.95</v>
      </c>
      <c r="D64" s="74" t="n">
        <v>0.9</v>
      </c>
      <c r="E64" s="74" t="n">
        <v>0.85</v>
      </c>
      <c r="F64" s="74" t="n">
        <v>0.94</v>
      </c>
      <c r="G64" s="74" t="n">
        <v>0.91</v>
      </c>
      <c r="H64" s="74" t="n">
        <v>0.89</v>
      </c>
      <c r="I64" s="74" t="n">
        <v>0.93</v>
      </c>
      <c r="J64" s="74" t="n">
        <v>0.96</v>
      </c>
      <c r="K64" s="74" t="n">
        <v>0.900333918371054</v>
      </c>
      <c r="L64" s="74" t="n">
        <v>0.92</v>
      </c>
    </row>
    <row r="65" customFormat="false" ht="15.75" hidden="false" customHeight="false" outlineLevel="0" collapsed="false">
      <c r="A65" s="74" t="s">
        <v>311</v>
      </c>
      <c r="B65" s="73" t="n">
        <v>1.07838270469279</v>
      </c>
      <c r="C65" s="136" t="n">
        <v>1.07904337594123</v>
      </c>
      <c r="D65" s="74" t="n">
        <v>1.10710788757884</v>
      </c>
      <c r="E65" s="74" t="n">
        <v>1.14560446974294</v>
      </c>
      <c r="F65" s="74" t="n">
        <v>1.08028292335208</v>
      </c>
      <c r="G65" s="74" t="n">
        <v>1.08840036392656</v>
      </c>
      <c r="H65" s="74" t="n">
        <v>1.17473318792345</v>
      </c>
      <c r="I65" s="74" t="n">
        <v>1.10090339275359</v>
      </c>
      <c r="J65" s="74" t="n">
        <v>1.10562982560113</v>
      </c>
      <c r="K65" s="74" t="n">
        <v>1.12467134911685</v>
      </c>
      <c r="L65" s="74" t="n">
        <v>1.14896043469693</v>
      </c>
    </row>
    <row r="66" customFormat="false" ht="15.75" hidden="false" customHeight="false" outlineLevel="0" collapsed="false">
      <c r="A66" s="74" t="s">
        <v>312</v>
      </c>
      <c r="B66" s="73" t="n">
        <v>0.956401413374205</v>
      </c>
      <c r="C66" s="136" t="n">
        <v>0.933930712840564</v>
      </c>
      <c r="D66" s="74" t="n">
        <v>0.893238327667254</v>
      </c>
      <c r="E66" s="74" t="n">
        <v>0.865645876563175</v>
      </c>
      <c r="F66" s="74" t="n">
        <v>0.926979916596694</v>
      </c>
      <c r="G66" s="74" t="n">
        <v>0.919737836328751</v>
      </c>
      <c r="H66" s="74" t="n">
        <v>0.873475490824858</v>
      </c>
      <c r="I66" s="74" t="n">
        <v>0.917224749962842</v>
      </c>
      <c r="J66" s="74" t="n">
        <v>0.957250895653056</v>
      </c>
      <c r="K66" s="74" t="n">
        <v>0.900333918371056</v>
      </c>
      <c r="L66" s="74" t="n">
        <v>0.917736836949575</v>
      </c>
    </row>
    <row r="67" customFormat="false" ht="15.75" hidden="false" customHeight="false" outlineLevel="0" collapsed="false">
      <c r="A67" s="74" t="s">
        <v>313</v>
      </c>
      <c r="B67" s="140" t="n">
        <v>1.00673832986758</v>
      </c>
      <c r="C67" s="141" t="n">
        <v>0.983084960884804</v>
      </c>
      <c r="D67" s="74" t="n">
        <v>0.992487030741393</v>
      </c>
      <c r="E67" s="74" t="n">
        <v>1.01840691360374</v>
      </c>
      <c r="F67" s="74" t="n">
        <v>0.986148847443291</v>
      </c>
      <c r="G67" s="74" t="n">
        <v>1.01070091904258</v>
      </c>
      <c r="H67" s="74" t="n">
        <v>0.981433135758267</v>
      </c>
      <c r="I67" s="74" t="n">
        <v>0.986263172003056</v>
      </c>
      <c r="J67" s="74" t="n">
        <v>0.9971363496386</v>
      </c>
      <c r="K67" s="74" t="n">
        <v>1</v>
      </c>
      <c r="L67" s="74" t="n">
        <v>0.997540040162581</v>
      </c>
    </row>
    <row r="68" customFormat="false" ht="15.75" hidden="false" customHeight="false" outlineLevel="0" collapsed="false">
      <c r="A68" s="74" t="s">
        <v>314</v>
      </c>
      <c r="B68" s="140" t="n">
        <v>216.090593873631</v>
      </c>
      <c r="C68" s="141" t="n">
        <v>114.332514933866</v>
      </c>
      <c r="D68" s="74" t="n">
        <v>1.73089981590306</v>
      </c>
      <c r="E68" s="74" t="n">
        <v>9.59376353222849</v>
      </c>
      <c r="F68" s="74" t="n">
        <v>29.2869297487127</v>
      </c>
      <c r="G68" s="74" t="n">
        <v>79.9491199844063</v>
      </c>
      <c r="H68" s="74" t="n">
        <v>1.47475448811198</v>
      </c>
      <c r="I68" s="74" t="n">
        <v>3.1923584536295</v>
      </c>
      <c r="J68" s="74" t="n">
        <v>1.49750706288706</v>
      </c>
      <c r="K68" s="74" t="n">
        <v>61.0582252064396</v>
      </c>
      <c r="L68" s="74" t="n">
        <v>47.3394159295572</v>
      </c>
    </row>
    <row r="69" customFormat="false" ht="15.75" hidden="false" customHeight="false" outlineLevel="0" collapsed="false">
      <c r="A69" s="137" t="s">
        <v>315</v>
      </c>
      <c r="B69" s="138" t="n">
        <v>191.6475</v>
      </c>
      <c r="C69" s="139" t="n">
        <v>98.95677</v>
      </c>
      <c r="D69" s="137" t="n">
        <v>1.396527</v>
      </c>
      <c r="E69" s="137" t="n">
        <v>7.249275</v>
      </c>
      <c r="F69" s="137" t="n">
        <v>25.13082</v>
      </c>
      <c r="G69" s="137" t="n">
        <v>67.55991</v>
      </c>
      <c r="H69" s="137" t="n">
        <v>1.096557</v>
      </c>
      <c r="I69" s="137" t="n">
        <v>2.659734</v>
      </c>
      <c r="J69" s="137" t="n">
        <v>1.296537</v>
      </c>
      <c r="K69" s="137" t="n">
        <v>48.8789824619107</v>
      </c>
      <c r="L69" s="137" t="n">
        <v>37.8125517</v>
      </c>
    </row>
    <row r="70" customFormat="false" ht="15.75" hidden="false" customHeight="false" outlineLevel="0" collapsed="false">
      <c r="A70" s="137" t="s">
        <v>316</v>
      </c>
      <c r="B70" s="138" t="n">
        <v>201.734210526316</v>
      </c>
      <c r="C70" s="139" t="n">
        <v>104.165021052632</v>
      </c>
      <c r="D70" s="137" t="n">
        <v>1.55169666666667</v>
      </c>
      <c r="E70" s="137" t="n">
        <v>8.52855882352941</v>
      </c>
      <c r="F70" s="137" t="n">
        <v>26.734914893617</v>
      </c>
      <c r="G70" s="137" t="n">
        <v>74.2416593406593</v>
      </c>
      <c r="H70" s="137" t="n">
        <v>1.23208651685393</v>
      </c>
      <c r="I70" s="137" t="n">
        <v>2.85992903225806</v>
      </c>
      <c r="J70" s="137" t="n">
        <v>1.350559375</v>
      </c>
      <c r="K70" s="137" t="n">
        <v>54.289837875203</v>
      </c>
      <c r="L70" s="137" t="n">
        <v>41.100599673913</v>
      </c>
    </row>
    <row r="71" customFormat="false" ht="15.75" hidden="false" customHeight="false" outlineLevel="0" collapsed="false">
      <c r="A71" s="74" t="s">
        <v>317</v>
      </c>
      <c r="B71" s="73" t="n">
        <v>200.38395732171</v>
      </c>
      <c r="C71" s="136" t="n">
        <v>105.957292804968</v>
      </c>
      <c r="D71" s="74" t="n">
        <v>1.56344276409087</v>
      </c>
      <c r="E71" s="74" t="n">
        <v>8.37441174996569</v>
      </c>
      <c r="F71" s="74" t="n">
        <v>27.1104255335596</v>
      </c>
      <c r="G71" s="74" t="n">
        <v>73.4556167327788</v>
      </c>
      <c r="H71" s="74" t="n">
        <v>1.25539527040934</v>
      </c>
      <c r="I71" s="74" t="n">
        <v>2.89976257194079</v>
      </c>
      <c r="J71" s="74" t="n">
        <v>1.35443801190228</v>
      </c>
      <c r="K71" s="74" t="n">
        <v>54.2898378752028</v>
      </c>
      <c r="L71" s="74" t="n">
        <v>41.2019548280131</v>
      </c>
    </row>
    <row r="72" customFormat="false" ht="15.75" hidden="false" customHeight="false" outlineLevel="0" collapsed="false">
      <c r="A72" s="74" t="s">
        <v>318</v>
      </c>
      <c r="B72" s="73" t="n">
        <v>3</v>
      </c>
      <c r="C72" s="136" t="s">
        <v>319</v>
      </c>
      <c r="D72" s="74" t="n">
        <v>3</v>
      </c>
      <c r="E72" s="74" t="n">
        <v>3</v>
      </c>
      <c r="F72" s="74" t="n">
        <v>3</v>
      </c>
      <c r="G72" s="74" t="n">
        <v>3</v>
      </c>
      <c r="H72" s="74" t="n">
        <v>3</v>
      </c>
      <c r="I72" s="74" t="n">
        <v>3</v>
      </c>
      <c r="J72" s="74" t="n">
        <v>3</v>
      </c>
      <c r="K72" s="74" t="n">
        <v>3</v>
      </c>
      <c r="L72" s="74" t="n">
        <v>3</v>
      </c>
    </row>
    <row r="73" customFormat="false" ht="15.75" hidden="false" customHeight="false" outlineLevel="0" collapsed="false">
      <c r="A73" s="74" t="s">
        <v>320</v>
      </c>
      <c r="B73" s="73" t="n">
        <v>128.85</v>
      </c>
      <c r="C73" s="136" t="n">
        <v>128.85</v>
      </c>
      <c r="D73" s="74" t="n">
        <v>130.42</v>
      </c>
      <c r="E73" s="74" t="n">
        <v>130.99</v>
      </c>
      <c r="F73" s="74" t="n">
        <v>130.99</v>
      </c>
      <c r="G73" s="74" t="n">
        <v>130.99</v>
      </c>
      <c r="H73" s="74" t="n">
        <v>128.85</v>
      </c>
      <c r="I73" s="74" t="n">
        <v>130.42</v>
      </c>
      <c r="J73" s="74" t="n">
        <v>128.47</v>
      </c>
      <c r="K73" s="74" t="n">
        <v>133.84</v>
      </c>
      <c r="L73" s="74" t="n">
        <v>133.84</v>
      </c>
    </row>
    <row r="74" customFormat="false" ht="15.75" hidden="false" customHeight="false" outlineLevel="0" collapsed="false">
      <c r="A74" s="74" t="s">
        <v>321</v>
      </c>
      <c r="B74" s="73" t="n">
        <v>203.384355187359</v>
      </c>
      <c r="C74" s="136" t="n">
        <v>109.41895007844</v>
      </c>
      <c r="D74" s="74" t="n">
        <v>1.60045584480419</v>
      </c>
      <c r="E74" s="74" t="n">
        <v>8.62419187289938</v>
      </c>
      <c r="F74" s="74" t="n">
        <v>27.8098618517022</v>
      </c>
      <c r="G74" s="74" t="n">
        <v>75.6395550667533</v>
      </c>
      <c r="H74" s="74" t="n">
        <v>1.2773629315206</v>
      </c>
      <c r="I74" s="74" t="n">
        <v>2.96572237103277</v>
      </c>
      <c r="J74" s="74" t="n">
        <v>1.39218734127576</v>
      </c>
      <c r="K74" s="74" t="n">
        <v>56.1358588937978</v>
      </c>
      <c r="L74" s="74" t="n">
        <v>42.6411242923355</v>
      </c>
    </row>
    <row r="75" customFormat="false" ht="15.75" hidden="false" customHeight="false" outlineLevel="0" collapsed="false">
      <c r="A75" s="74" t="s">
        <v>322</v>
      </c>
      <c r="B75" s="73" t="n">
        <v>216.582256119092</v>
      </c>
      <c r="C75" s="136" t="n">
        <v>114.955377599994</v>
      </c>
      <c r="D75" s="74" t="n">
        <v>1.6726218312474</v>
      </c>
      <c r="E75" s="74" t="n">
        <v>8.98947310454076</v>
      </c>
      <c r="F75" s="74" t="n">
        <v>29.1447724857789</v>
      </c>
      <c r="G75" s="74" t="n">
        <v>81.1195006866786</v>
      </c>
      <c r="H75" s="74" t="n">
        <v>1.36161566624179</v>
      </c>
      <c r="I75" s="74" t="n">
        <v>3.11687670179651</v>
      </c>
      <c r="J75" s="74" t="n">
        <v>1.45849317677362</v>
      </c>
      <c r="K75" s="74" t="n">
        <v>60.4745397730207</v>
      </c>
      <c r="L75" s="74" t="n">
        <v>46.0795570989169</v>
      </c>
    </row>
    <row r="76" customFormat="false" ht="15.75" hidden="false" customHeight="false" outlineLevel="0" collapsed="false">
      <c r="A76" s="74" t="s">
        <v>323</v>
      </c>
      <c r="B76" s="73" t="n">
        <v>181.245381857996</v>
      </c>
      <c r="C76" s="136" t="n">
        <v>93.5293411033477</v>
      </c>
      <c r="D76" s="74" t="n">
        <v>1.41771969595823</v>
      </c>
      <c r="E76" s="74" t="n">
        <v>7.51208284723938</v>
      </c>
      <c r="F76" s="74" t="n">
        <v>24.3847762042521</v>
      </c>
      <c r="G76" s="74" t="n">
        <v>63.6298333338132</v>
      </c>
      <c r="H76" s="74" t="n">
        <v>1.12758386971237</v>
      </c>
      <c r="I76" s="74" t="n">
        <v>2.61755865876625</v>
      </c>
      <c r="J76" s="74" t="n">
        <v>1.21303988969823</v>
      </c>
      <c r="K76" s="74" t="n">
        <v>46.2754035390106</v>
      </c>
      <c r="L76" s="74" t="n">
        <v>34.8975449154176</v>
      </c>
    </row>
    <row r="77" customFormat="false" ht="15.75" hidden="false" customHeight="false" outlineLevel="0" collapsed="false">
      <c r="A77" s="74" t="s">
        <v>324</v>
      </c>
      <c r="B77" s="73" t="n">
        <v>0.776552756596355</v>
      </c>
      <c r="C77" s="136" t="n">
        <v>0.832805115208175</v>
      </c>
      <c r="D77" s="74" t="n">
        <v>0.891101409421026</v>
      </c>
      <c r="E77" s="74" t="n">
        <v>1</v>
      </c>
      <c r="F77" s="74" t="n">
        <v>0.846277368145987</v>
      </c>
      <c r="G77" s="74" t="n">
        <v>0.942893440561944</v>
      </c>
      <c r="H77" s="74" t="n">
        <v>0.725270302259108</v>
      </c>
      <c r="I77" s="74" t="n">
        <v>0.838283034904415</v>
      </c>
      <c r="J77" s="74" t="n">
        <v>0.794545533152622</v>
      </c>
      <c r="K77" s="74" t="n">
        <v>0.694506642815699</v>
      </c>
      <c r="L77" s="74" t="n">
        <v>0.78870161118412</v>
      </c>
    </row>
    <row r="78" customFormat="false" ht="15.75" hidden="false" customHeight="false" outlineLevel="0" collapsed="false">
      <c r="A78" s="74" t="s">
        <v>325</v>
      </c>
      <c r="B78" s="73" t="n">
        <v>0.827797354747383</v>
      </c>
      <c r="C78" s="136" t="n">
        <v>0.87564808919386</v>
      </c>
      <c r="D78" s="74" t="n">
        <v>0.933506176906625</v>
      </c>
      <c r="E78" s="74" t="n">
        <v>1</v>
      </c>
      <c r="F78" s="74" t="n">
        <v>0.888111944649387</v>
      </c>
      <c r="G78" s="74" t="n">
        <v>1</v>
      </c>
      <c r="H78" s="74" t="n">
        <v>0.776128303700865</v>
      </c>
      <c r="I78" s="74" t="n">
        <v>0.883306259965599</v>
      </c>
      <c r="J78" s="74" t="n">
        <v>0.834438945287714</v>
      </c>
      <c r="K78" s="74" t="n">
        <v>0.749875621508931</v>
      </c>
      <c r="L78" s="74" t="n">
        <v>0.854057017037376</v>
      </c>
    </row>
    <row r="79" customFormat="false" ht="15.75" hidden="false" customHeight="false" outlineLevel="0" collapsed="false">
      <c r="A79" s="74" t="s">
        <v>326</v>
      </c>
      <c r="B79" s="73" t="n">
        <v>0.690488615529782</v>
      </c>
      <c r="C79" s="136" t="n">
        <v>0.709702575067638</v>
      </c>
      <c r="D79" s="74" t="n">
        <v>0.783551893789803</v>
      </c>
      <c r="E79" s="74" t="n">
        <v>0.882427605237726</v>
      </c>
      <c r="F79" s="74" t="n">
        <v>0.738768303209067</v>
      </c>
      <c r="G79" s="74" t="n">
        <v>0.790084056023366</v>
      </c>
      <c r="H79" s="74" t="n">
        <v>0.634353496088739</v>
      </c>
      <c r="I79" s="74" t="n">
        <v>0.73426608539601</v>
      </c>
      <c r="J79" s="74" t="n">
        <v>0.686317173109903</v>
      </c>
      <c r="K79" s="74" t="n">
        <v>0.568170650411843</v>
      </c>
      <c r="L79" s="74" t="n">
        <v>0.64104358942125</v>
      </c>
    </row>
    <row r="80" customFormat="false" ht="15.75" hidden="false" customHeight="false" outlineLevel="0" collapsed="false">
      <c r="A80" s="74" t="s">
        <v>327</v>
      </c>
      <c r="B80" s="73" t="n">
        <v>9.24616603827021</v>
      </c>
      <c r="C80" s="136" t="n">
        <v>5.31831067741829</v>
      </c>
      <c r="D80" s="74" t="n">
        <v>0.263803730672646</v>
      </c>
      <c r="E80" s="74" t="n">
        <v>0.974576271186442</v>
      </c>
      <c r="F80" s="74" t="n">
        <v>2.42154080732254</v>
      </c>
      <c r="G80" s="74" t="n">
        <v>4.92254702460754</v>
      </c>
      <c r="H80" s="74" t="n">
        <v>0.189457478131941</v>
      </c>
      <c r="I80" s="74" t="n">
        <v>0.450873266319521</v>
      </c>
      <c r="J80" s="74" t="n">
        <v>0.200369041546824</v>
      </c>
      <c r="K80" s="74" t="n">
        <v>4.04786068262041</v>
      </c>
      <c r="L80" s="74" t="n">
        <v>3.20604373312944</v>
      </c>
    </row>
    <row r="81" customFormat="false" ht="15.75" hidden="false" customHeight="false" outlineLevel="0" collapsed="false">
      <c r="A81" s="74" t="s">
        <v>328</v>
      </c>
      <c r="B81" s="73" t="n">
        <v>9.63291743224596</v>
      </c>
      <c r="C81" s="136" t="n">
        <v>5.49936645076143</v>
      </c>
      <c r="D81" s="74" t="n">
        <v>0.272362565887463</v>
      </c>
      <c r="E81" s="74" t="n">
        <v>0.974576271186442</v>
      </c>
      <c r="F81" s="74" t="n">
        <v>2.50141414629729</v>
      </c>
      <c r="G81" s="74" t="n">
        <v>5.12820512820514</v>
      </c>
      <c r="H81" s="74" t="n">
        <v>0.19742321069049</v>
      </c>
      <c r="I81" s="74" t="n">
        <v>0.466957921899713</v>
      </c>
      <c r="J81" s="74" t="n">
        <v>0.206834758842047</v>
      </c>
      <c r="K81" s="74" t="n">
        <v>4.23386815985085</v>
      </c>
      <c r="L81" s="74" t="n">
        <v>3.37670624704808</v>
      </c>
    </row>
    <row r="82" customFormat="false" ht="15.75" hidden="false" customHeight="false" outlineLevel="0" collapsed="false">
      <c r="A82" s="74" t="s">
        <v>329</v>
      </c>
      <c r="B82" s="73" t="n">
        <v>8.62322797555098</v>
      </c>
      <c r="C82" s="136" t="n">
        <v>4.81651921989297</v>
      </c>
      <c r="D82" s="74" t="n">
        <v>0.242391855273526</v>
      </c>
      <c r="E82" s="74" t="n">
        <v>0.893875807956438</v>
      </c>
      <c r="F82" s="74" t="n">
        <v>2.22172710798006</v>
      </c>
      <c r="G82" s="74" t="n">
        <v>4.37352913206071</v>
      </c>
      <c r="H82" s="74" t="n">
        <v>0.176053625579258</v>
      </c>
      <c r="I82" s="74" t="n">
        <v>0.414760402578223</v>
      </c>
      <c r="J82" s="74" t="n">
        <v>0.183564130033379</v>
      </c>
      <c r="K82" s="74" t="n">
        <v>3.66260475812232</v>
      </c>
      <c r="L82" s="74" t="n">
        <v>2.84536544435512</v>
      </c>
    </row>
    <row r="83" customFormat="false" ht="15.75" hidden="false" customHeight="false" outlineLevel="0" collapsed="false">
      <c r="A83" s="74" t="s">
        <v>330</v>
      </c>
      <c r="B83" s="73" t="n">
        <v>0.843602577586939</v>
      </c>
      <c r="C83" s="136" t="n">
        <v>0.882377110653402</v>
      </c>
      <c r="D83" s="74" t="n">
        <v>0.923313057354263</v>
      </c>
      <c r="E83" s="74" t="n">
        <v>1</v>
      </c>
      <c r="F83" s="74" t="n">
        <v>0.891788321411553</v>
      </c>
      <c r="G83" s="74" t="n">
        <v>0.959896669798469</v>
      </c>
      <c r="H83" s="74" t="n">
        <v>0.809287499180883</v>
      </c>
      <c r="I83" s="74" t="n">
        <v>0.886199178628024</v>
      </c>
      <c r="J83" s="74" t="n">
        <v>0.855897387348163</v>
      </c>
      <c r="K83" s="74" t="n">
        <v>0.789332833110979</v>
      </c>
      <c r="L83" s="74" t="n">
        <v>0.851891620517253</v>
      </c>
    </row>
    <row r="84" customFormat="false" ht="15.75" hidden="false" customHeight="false" outlineLevel="0" collapsed="false">
      <c r="A84" s="74" t="s">
        <v>331</v>
      </c>
      <c r="B84" s="73" t="n">
        <v>0.878889038103964</v>
      </c>
      <c r="C84" s="136" t="n">
        <v>0.912416625048074</v>
      </c>
      <c r="D84" s="74" t="n">
        <v>0.953268980606122</v>
      </c>
      <c r="E84" s="74" t="n">
        <v>1</v>
      </c>
      <c r="F84" s="74" t="n">
        <v>0.92120352295366</v>
      </c>
      <c r="G84" s="74" t="n">
        <v>1</v>
      </c>
      <c r="H84" s="74" t="n">
        <v>0.843313961714931</v>
      </c>
      <c r="I84" s="74" t="n">
        <v>0.917813846492539</v>
      </c>
      <c r="J84" s="74" t="n">
        <v>0.883516377275904</v>
      </c>
      <c r="K84" s="74" t="n">
        <v>0.825604291170914</v>
      </c>
      <c r="L84" s="74" t="n">
        <v>0.897239088501348</v>
      </c>
    </row>
    <row r="85" customFormat="false" ht="15.75" hidden="false" customHeight="false" outlineLevel="0" collapsed="false">
      <c r="A85" s="74" t="s">
        <v>332</v>
      </c>
      <c r="B85" s="73" t="n">
        <v>0.786766895293127</v>
      </c>
      <c r="C85" s="136" t="n">
        <v>0.799123362743985</v>
      </c>
      <c r="D85" s="74" t="n">
        <v>0.848371493457341</v>
      </c>
      <c r="E85" s="74" t="n">
        <v>0.917194307294431</v>
      </c>
      <c r="F85" s="74" t="n">
        <v>0.818202312456913</v>
      </c>
      <c r="G85" s="74" t="n">
        <v>0.852838180751836</v>
      </c>
      <c r="H85" s="74" t="n">
        <v>0.752031536424978</v>
      </c>
      <c r="I85" s="74" t="n">
        <v>0.815218722308921</v>
      </c>
      <c r="J85" s="74" t="n">
        <v>0.784113444340114</v>
      </c>
      <c r="K85" s="74" t="n">
        <v>0.714207927833851</v>
      </c>
      <c r="L85" s="74" t="n">
        <v>0.756054246642932</v>
      </c>
    </row>
    <row r="86" customFormat="false" ht="15.75" hidden="false" customHeight="false" outlineLevel="0" collapsed="false">
      <c r="A86" s="74" t="s">
        <v>333</v>
      </c>
      <c r="B86" s="73" t="n">
        <v>83.1290527232719</v>
      </c>
      <c r="C86" s="136" t="n">
        <v>82.4642426177281</v>
      </c>
      <c r="D86" s="74" t="n">
        <v>53.4578135469937</v>
      </c>
      <c r="E86" s="74" t="n">
        <v>40.4778562174494</v>
      </c>
      <c r="F86" s="74" t="n">
        <v>73.2387539821389</v>
      </c>
      <c r="G86" s="74" t="n">
        <v>66.2517692075174</v>
      </c>
      <c r="H86" s="74" t="n">
        <v>39.1769606334503</v>
      </c>
      <c r="I86" s="74" t="n">
        <v>57.3214120277587</v>
      </c>
      <c r="J86" s="74" t="n">
        <v>59.355228170595</v>
      </c>
      <c r="K86" s="74" t="n">
        <v>62.8209050138985</v>
      </c>
      <c r="L86" s="74" t="n">
        <v>53.9197160793967</v>
      </c>
    </row>
    <row r="87" customFormat="false" ht="15.75" hidden="false" customHeight="false" outlineLevel="0" collapsed="false">
      <c r="A87" s="74" t="s">
        <v>334</v>
      </c>
      <c r="B87" s="73" t="n">
        <v>194.138189149089</v>
      </c>
      <c r="C87" s="136" t="n">
        <v>104.100639401022</v>
      </c>
      <c r="D87" s="74" t="n">
        <v>1.33665211413154</v>
      </c>
      <c r="E87" s="74" t="n">
        <v>7.64961560171294</v>
      </c>
      <c r="F87" s="74" t="n">
        <v>25.3883210443796</v>
      </c>
      <c r="G87" s="74" t="n">
        <v>70.7170080421458</v>
      </c>
      <c r="H87" s="74" t="n">
        <v>1.08790545338866</v>
      </c>
      <c r="I87" s="74" t="n">
        <v>2.51484910471324</v>
      </c>
      <c r="J87" s="74" t="n">
        <v>1.19181829972893</v>
      </c>
      <c r="K87" s="74" t="n">
        <v>52.0879982111774</v>
      </c>
      <c r="L87" s="74" t="n">
        <v>39.435080559206</v>
      </c>
    </row>
    <row r="88" customFormat="false" ht="15.75" hidden="false" customHeight="false" outlineLevel="0" collapsed="false">
      <c r="A88" s="74" t="s">
        <v>335</v>
      </c>
      <c r="B88" s="73" t="n">
        <v>206.949338686846</v>
      </c>
      <c r="C88" s="136" t="n">
        <v>109.456011149232</v>
      </c>
      <c r="D88" s="74" t="n">
        <v>1.40025926535994</v>
      </c>
      <c r="E88" s="74" t="n">
        <v>8.01489683335432</v>
      </c>
      <c r="F88" s="74" t="n">
        <v>26.6433583394816</v>
      </c>
      <c r="G88" s="74" t="n">
        <v>75.9912955584735</v>
      </c>
      <c r="H88" s="74" t="n">
        <v>1.1641924555513</v>
      </c>
      <c r="I88" s="74" t="n">
        <v>2.6499187798968</v>
      </c>
      <c r="J88" s="74" t="n">
        <v>1.25165841793157</v>
      </c>
      <c r="K88" s="74" t="n">
        <v>56.2406716131698</v>
      </c>
      <c r="L88" s="74" t="n">
        <v>42.7028508518688</v>
      </c>
    </row>
    <row r="89" customFormat="false" ht="15.75" hidden="false" customHeight="false" outlineLevel="0" collapsed="false">
      <c r="A89" s="74" t="s">
        <v>336</v>
      </c>
      <c r="B89" s="73" t="n">
        <v>172.622153882445</v>
      </c>
      <c r="C89" s="136" t="n">
        <v>88.7128218834547</v>
      </c>
      <c r="D89" s="74" t="n">
        <v>1.17532784068471</v>
      </c>
      <c r="E89" s="74" t="n">
        <v>6.61820703928294</v>
      </c>
      <c r="F89" s="74" t="n">
        <v>22.163049096272</v>
      </c>
      <c r="G89" s="74" t="n">
        <v>59.2563042017525</v>
      </c>
      <c r="H89" s="74" t="n">
        <v>0.951530244133109</v>
      </c>
      <c r="I89" s="74" t="n">
        <v>2.20279825618803</v>
      </c>
      <c r="J89" s="74" t="n">
        <v>1.02947575966486</v>
      </c>
      <c r="K89" s="74" t="n">
        <v>42.6127987808882</v>
      </c>
      <c r="L89" s="74" t="n">
        <v>32.0521794710625</v>
      </c>
    </row>
    <row r="90" customFormat="false" ht="15.75" hidden="false" customHeight="false" outlineLevel="0" collapsed="false">
      <c r="A90" s="74" t="s">
        <v>337</v>
      </c>
      <c r="B90" s="140" t="n">
        <f aca="false">TRUE()</f>
        <v>1</v>
      </c>
      <c r="C90" s="141" t="n">
        <f aca="false">TRUE()</f>
        <v>1</v>
      </c>
      <c r="D90" s="74" t="n">
        <f aca="false">TRUE()</f>
        <v>1</v>
      </c>
      <c r="E90" s="74" t="n">
        <f aca="false">TRUE()</f>
        <v>1</v>
      </c>
      <c r="F90" s="74" t="n">
        <f aca="false">TRUE()</f>
        <v>1</v>
      </c>
      <c r="G90" s="74" t="n">
        <f aca="false">TRUE()</f>
        <v>1</v>
      </c>
      <c r="H90" s="74" t="n">
        <f aca="false">TRUE()</f>
        <v>1</v>
      </c>
      <c r="I90" s="74" t="n">
        <f aca="false">TRUE()</f>
        <v>1</v>
      </c>
      <c r="J90" s="74" t="n">
        <f aca="false">TRUE()</f>
        <v>1</v>
      </c>
      <c r="K90" s="74" t="n">
        <f aca="false">TRUE()</f>
        <v>1</v>
      </c>
      <c r="L90" s="74" t="n">
        <f aca="false">TRUE()</f>
        <v>1</v>
      </c>
    </row>
    <row r="91" customFormat="false" ht="15.75" hidden="false" customHeight="false" outlineLevel="0" collapsed="false">
      <c r="A91" s="74" t="s">
        <v>338</v>
      </c>
      <c r="B91" s="140" t="s">
        <v>319</v>
      </c>
      <c r="C91" s="141" t="s">
        <v>319</v>
      </c>
      <c r="D91" s="74" t="s">
        <v>319</v>
      </c>
      <c r="E91" s="74" t="s">
        <v>319</v>
      </c>
      <c r="F91" s="74" t="s">
        <v>319</v>
      </c>
      <c r="G91" s="74" t="s">
        <v>319</v>
      </c>
      <c r="H91" s="74" t="s">
        <v>319</v>
      </c>
      <c r="I91" s="74" t="s">
        <v>319</v>
      </c>
      <c r="J91" s="74" t="s">
        <v>319</v>
      </c>
      <c r="K91" s="74" t="s">
        <v>319</v>
      </c>
      <c r="L91" s="74" t="s">
        <v>319</v>
      </c>
    </row>
    <row r="92" customFormat="false" ht="15.75" hidden="false" customHeight="false" outlineLevel="0" collapsed="false">
      <c r="A92" s="137" t="s">
        <v>339</v>
      </c>
      <c r="B92" s="138" t="n">
        <v>1800</v>
      </c>
      <c r="C92" s="139" t="n">
        <v>1800</v>
      </c>
      <c r="D92" s="137" t="n">
        <v>3600</v>
      </c>
      <c r="E92" s="137" t="n">
        <v>3600</v>
      </c>
      <c r="F92" s="137" t="n">
        <v>3600</v>
      </c>
      <c r="G92" s="137" t="n">
        <v>3600</v>
      </c>
      <c r="H92" s="137" t="n">
        <v>1800</v>
      </c>
      <c r="I92" s="137" t="n">
        <v>3600</v>
      </c>
      <c r="J92" s="137" t="n">
        <v>1800</v>
      </c>
      <c r="K92" s="137" t="n">
        <v>3600</v>
      </c>
      <c r="L92" s="137" t="n">
        <v>3600</v>
      </c>
    </row>
    <row r="93" customFormat="false" ht="15.75" hidden="false" customHeight="false" outlineLevel="0" collapsed="false">
      <c r="A93" s="74" t="s">
        <v>340</v>
      </c>
      <c r="B93" s="140" t="n">
        <v>1</v>
      </c>
      <c r="C93" s="141" t="n">
        <v>1</v>
      </c>
      <c r="D93" s="74" t="n">
        <v>1</v>
      </c>
      <c r="E93" s="74" t="n">
        <v>1</v>
      </c>
      <c r="F93" s="74" t="n">
        <v>1</v>
      </c>
      <c r="G93" s="74" t="n">
        <v>1</v>
      </c>
      <c r="H93" s="74" t="n">
        <v>1</v>
      </c>
      <c r="I93" s="74" t="n">
        <v>1</v>
      </c>
      <c r="J93" s="74" t="n">
        <v>1</v>
      </c>
      <c r="K93" s="74" t="n">
        <v>1</v>
      </c>
      <c r="L93" s="74" t="n">
        <v>1</v>
      </c>
    </row>
    <row r="94" customFormat="false" ht="15.75" hidden="false" customHeight="false" outlineLevel="0" collapsed="false">
      <c r="A94" s="137" t="s">
        <v>341</v>
      </c>
      <c r="B94" s="138" t="n">
        <v>97</v>
      </c>
      <c r="C94" s="139" t="n">
        <v>97</v>
      </c>
      <c r="D94" s="147" t="n">
        <v>97</v>
      </c>
      <c r="E94" s="147" t="n">
        <v>97</v>
      </c>
      <c r="F94" s="147" t="n">
        <v>97</v>
      </c>
      <c r="G94" s="147" t="n">
        <v>97</v>
      </c>
      <c r="H94" s="147" t="n">
        <v>88.5</v>
      </c>
      <c r="I94" s="147" t="n">
        <v>97</v>
      </c>
      <c r="J94" s="147" t="n">
        <v>88.5</v>
      </c>
      <c r="K94" s="147" t="n">
        <v>97</v>
      </c>
      <c r="L94" s="147" t="n">
        <v>97</v>
      </c>
    </row>
    <row r="95" customFormat="false" ht="15.75" hidden="false" customHeight="false" outlineLevel="0" collapsed="false">
      <c r="A95" s="137" t="s">
        <v>342</v>
      </c>
      <c r="B95" s="138" t="n">
        <v>150</v>
      </c>
      <c r="C95" s="139" t="n">
        <v>100</v>
      </c>
      <c r="D95" s="137" t="n">
        <v>1</v>
      </c>
      <c r="E95" s="137" t="n">
        <v>5</v>
      </c>
      <c r="F95" s="137" t="n">
        <v>20</v>
      </c>
      <c r="G95" s="137" t="n">
        <v>50</v>
      </c>
      <c r="H95" s="137" t="n">
        <v>1</v>
      </c>
      <c r="I95" s="137" t="n">
        <v>2</v>
      </c>
      <c r="J95" s="137" t="n">
        <v>1</v>
      </c>
      <c r="K95" s="137" t="n">
        <v>50</v>
      </c>
      <c r="L95" s="137" t="n">
        <v>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4"/>
  <sheetViews>
    <sheetView showFormulas="false" showGridLines="true" showRowColHeaders="true" showZeros="true" rightToLeft="false" tabSelected="false" showOutlineSymbols="true" defaultGridColor="true" view="normal" topLeftCell="G1" colorId="64" zoomScale="100" zoomScaleNormal="100" zoomScalePageLayoutView="100" workbookViewId="0">
      <selection pane="topLeft" activeCell="Y6" activeCellId="0" sqref="Y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16" min="2" style="0" width="35.7"/>
    <col collapsed="false" customWidth="true" hidden="false" outlineLevel="0" max="17" min="17" style="0" width="45.71"/>
    <col collapsed="false" customWidth="true" hidden="false" outlineLevel="0" max="44" min="18" style="0" width="35.7"/>
    <col collapsed="false" customWidth="true" hidden="false" outlineLevel="0" max="45" min="45" style="38" width="35.7"/>
    <col collapsed="false" customWidth="true" hidden="false" outlineLevel="0" max="46" min="46" style="148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343</v>
      </c>
      <c r="B1" s="3"/>
    </row>
    <row r="2" customFormat="false" ht="24" hidden="false" customHeight="false" outlineLevel="0" collapsed="false">
      <c r="B2" s="149" t="s">
        <v>1</v>
      </c>
      <c r="C2" s="149"/>
      <c r="D2" s="149"/>
      <c r="E2" s="149"/>
      <c r="F2" s="149"/>
      <c r="G2" s="78" t="s">
        <v>2</v>
      </c>
      <c r="H2" s="78"/>
      <c r="I2" s="78"/>
      <c r="J2" s="78"/>
      <c r="K2" s="78"/>
      <c r="L2" s="78"/>
      <c r="M2" s="78"/>
      <c r="N2" s="78"/>
      <c r="O2" s="78"/>
      <c r="P2" s="78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 customFormat="false" ht="33" hidden="false" customHeight="false" outlineLevel="0" collapsed="false">
      <c r="B3" s="150"/>
      <c r="C3" s="11"/>
      <c r="D3" s="11"/>
      <c r="E3" s="11"/>
      <c r="F3" s="13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126</v>
      </c>
      <c r="M3" s="15" t="s">
        <v>127</v>
      </c>
      <c r="N3" s="15" t="s">
        <v>10</v>
      </c>
      <c r="O3" s="15" t="s">
        <v>257</v>
      </c>
      <c r="P3" s="15" t="s">
        <v>344</v>
      </c>
      <c r="Q3" s="15" t="s">
        <v>16</v>
      </c>
      <c r="R3" s="15" t="s">
        <v>132</v>
      </c>
      <c r="S3" s="11" t="s">
        <v>133</v>
      </c>
      <c r="T3" s="81" t="s">
        <v>345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346</v>
      </c>
      <c r="Z3" s="11" t="s">
        <v>347</v>
      </c>
      <c r="AA3" s="11" t="s">
        <v>348</v>
      </c>
      <c r="AB3" s="11" t="s">
        <v>349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51" t="s">
        <v>160</v>
      </c>
      <c r="AT3" s="152" t="s">
        <v>161</v>
      </c>
    </row>
    <row r="4" customFormat="false" ht="45" hidden="false" customHeight="false" outlineLevel="0" collapsed="false">
      <c r="A4" s="18" t="s">
        <v>46</v>
      </c>
      <c r="B4" s="153" t="s">
        <v>47</v>
      </c>
      <c r="C4" s="19" t="s">
        <v>48</v>
      </c>
      <c r="D4" s="19" t="s">
        <v>350</v>
      </c>
      <c r="E4" s="19" t="s">
        <v>351</v>
      </c>
      <c r="F4" s="19" t="s">
        <v>164</v>
      </c>
      <c r="G4" s="19" t="s">
        <v>352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353</v>
      </c>
      <c r="N4" s="19" t="s">
        <v>354</v>
      </c>
      <c r="O4" s="19"/>
      <c r="P4" s="19" t="s">
        <v>355</v>
      </c>
      <c r="Q4" s="19" t="s">
        <v>356</v>
      </c>
      <c r="R4" s="19" t="s">
        <v>71</v>
      </c>
      <c r="S4" s="19" t="s">
        <v>74</v>
      </c>
      <c r="T4" s="84" t="s">
        <v>90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357</v>
      </c>
      <c r="Z4" s="19" t="s">
        <v>358</v>
      </c>
      <c r="AA4" s="19" t="s">
        <v>359</v>
      </c>
      <c r="AB4" s="19" t="s">
        <v>360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54" t="s">
        <v>191</v>
      </c>
      <c r="AT4" s="155" t="s">
        <v>96</v>
      </c>
    </row>
    <row r="5" customFormat="false" ht="30" hidden="false" customHeight="false" outlineLevel="0" collapsed="false">
      <c r="A5" s="156"/>
      <c r="B5" s="157" t="s">
        <v>201</v>
      </c>
      <c r="C5" s="87" t="s">
        <v>200</v>
      </c>
      <c r="D5" s="87" t="s">
        <v>361</v>
      </c>
      <c r="E5" s="87"/>
      <c r="F5" s="87"/>
      <c r="G5" s="87" t="s">
        <v>206</v>
      </c>
      <c r="H5" s="87" t="s">
        <v>260</v>
      </c>
      <c r="I5" s="87" t="s">
        <v>316</v>
      </c>
      <c r="J5" s="87" t="s">
        <v>261</v>
      </c>
      <c r="K5" s="87" t="s">
        <v>339</v>
      </c>
      <c r="L5" s="87" t="s">
        <v>210</v>
      </c>
      <c r="M5" s="87" t="s">
        <v>193</v>
      </c>
      <c r="N5" s="87" t="s">
        <v>256</v>
      </c>
      <c r="O5" s="87" t="s">
        <v>257</v>
      </c>
      <c r="P5" s="158" t="s">
        <v>362</v>
      </c>
      <c r="Q5" s="4"/>
      <c r="AK5" s="91"/>
      <c r="AL5" s="91"/>
    </row>
    <row r="6" customFormat="false" ht="15" hidden="false" customHeight="false" outlineLevel="0" collapsed="false">
      <c r="A6" s="64" t="s">
        <v>363</v>
      </c>
      <c r="B6" s="117" t="n">
        <f aca="false">'IV_V Database Fields'!B3</f>
        <v>1</v>
      </c>
      <c r="C6" s="29" t="str">
        <f aca="false">'IV_V Database Fields'!B4</f>
        <v>B1</v>
      </c>
      <c r="D6" s="29" t="s">
        <v>112</v>
      </c>
      <c r="E6" s="29" t="s">
        <v>112</v>
      </c>
      <c r="F6" s="29" t="s">
        <v>112</v>
      </c>
      <c r="G6" s="30" t="str">
        <f aca="false">'IV_V Database Fields'!B5</f>
        <v>RSV</v>
      </c>
      <c r="H6" s="30" t="n">
        <f aca="false">'IV_V Database Fields'!B14</f>
        <v>0.92</v>
      </c>
      <c r="I6" s="30" t="n">
        <f aca="false">'IV_V Database Fields'!B60</f>
        <v>59.2694347826087</v>
      </c>
      <c r="J6" s="30" t="n">
        <f aca="false">'IV_V Database Fields'!B69</f>
        <v>1</v>
      </c>
      <c r="K6" s="30" t="n">
        <f aca="false">'IV_V Database Fields'!B10</f>
        <v>1800</v>
      </c>
      <c r="L6" s="30" t="n">
        <f aca="false">'IV_V Database Fields'!B89</f>
        <v>55.2</v>
      </c>
      <c r="M6" s="30" t="n">
        <f aca="false">'IV_V Database Fields'!B94</f>
        <v>349.830508474576</v>
      </c>
      <c r="N6" s="30" t="n">
        <f aca="false">'IV_V Database Fields'!B13</f>
        <v>75</v>
      </c>
      <c r="O6" s="30" t="n">
        <f aca="false">'IV_V Database Fields'!B11</f>
        <v>1</v>
      </c>
      <c r="P6" s="31" t="n">
        <f aca="false">IF((O6=1),'IV_V Database Fields'!B12,'IV_V Database Fields'!B63)</f>
        <v>95</v>
      </c>
      <c r="Q6" s="7" t="n">
        <f aca="false">(N6/(P6/100))-N6</f>
        <v>3.94736842105263</v>
      </c>
      <c r="R6" s="20" t="n">
        <f aca="false">IF(L6/(N6+Q6)&gt;=1,1,L6/(N6+Q6))</f>
        <v>0.6992</v>
      </c>
      <c r="S6" s="7" t="n">
        <f aca="false">(-0.4508*R6^3)+(1.2399*R6^2)-(0.4301*R6)+0.641</f>
        <v>0.79234232069161</v>
      </c>
      <c r="T6" s="34" t="n">
        <f aca="false">S6*Q6</f>
        <v>3.12766705536162</v>
      </c>
      <c r="U6" s="34" t="n">
        <f aca="false">L6-T6</f>
        <v>52.0723329446384</v>
      </c>
      <c r="V6" s="34" t="n">
        <f aca="false">((0.8*(0.25*$M6)^3/($M6)^3)+(0.2*0.25*$M6/$M6))*$U6</f>
        <v>3.2545208090399</v>
      </c>
      <c r="W6" s="34" t="n">
        <f aca="false">((0.8*(0.5*$M6)^3/($M6)^3)+(0.2*0.5*$M6/$M6))*$U6</f>
        <v>10.4144665889277</v>
      </c>
      <c r="X6" s="34" t="n">
        <f aca="false">((0.8*(0.75*$M6)^3/($M6)^3)+(0.2*0.75*$M6/$M6))*$U6</f>
        <v>25.3852623105112</v>
      </c>
      <c r="Y6" s="34" t="n">
        <f aca="false">IF(V6/$N6&gt;=1,1,V6/$N6)</f>
        <v>0.0433936107871987</v>
      </c>
      <c r="Z6" s="34" t="n">
        <f aca="false">IF(W6/$N6&gt;=1,1,W6/$N6)</f>
        <v>0.138859554519036</v>
      </c>
      <c r="AA6" s="34" t="n">
        <f aca="false">IF(X6/$N6&gt;=1,1,X6/$N6)</f>
        <v>0.33847016414015</v>
      </c>
      <c r="AB6" s="34" t="n">
        <f aca="false">IF(U6/$N6&gt;=1,1,U6/$N6)</f>
        <v>0.694297772595179</v>
      </c>
      <c r="AC6" s="7" t="n">
        <f aca="false">IF($N6&lt;=5, -0.4658, IF($N6&lt;=20,-1.3198, IF($N6&lt;=50,-1.5122, IF($N6&gt;50,-0.8914))))</f>
        <v>-0.8914</v>
      </c>
      <c r="AD6" s="7" t="n">
        <f aca="false">IF($N6&lt;=5, 1.4965, IF($N6&lt;=20,2.9551, IF($N6&lt;=50,3.0777, IF($N6&gt;50,2.8846))))</f>
        <v>2.8846</v>
      </c>
      <c r="AE6" s="7" t="n">
        <f aca="false">IF($N6&lt;=5, 0.5303, IF($N6&lt;=20,0.1052, IF($N6&lt;=50,0.1847, IF($N6&gt;50,0.2625))))</f>
        <v>0.2625</v>
      </c>
      <c r="AF6" s="34" t="n">
        <f aca="false">($AC6*Y6^2)+($AD6*Y6)+$AE6</f>
        <v>0.385994698612249</v>
      </c>
      <c r="AG6" s="34" t="n">
        <f aca="false">($AC6*Z6^2)+($AD6*Z6)+$AE6</f>
        <v>0.645866317665086</v>
      </c>
      <c r="AH6" s="34" t="n">
        <f aca="false">($AC6*AA6^2)+($AD6*AA6)+$AE6</f>
        <v>1.13673042231423</v>
      </c>
      <c r="AI6" s="34" t="n">
        <f aca="false">($AC6*AB6^2)+($AD6*AB6)+$AE6</f>
        <v>1.83557252231495</v>
      </c>
      <c r="AJ6" s="7" t="n">
        <f aca="false">AF6*$Q6</f>
        <v>1.52366328399572</v>
      </c>
      <c r="AK6" s="7" t="n">
        <f aca="false">AG6*$Q6</f>
        <v>2.54947230657271</v>
      </c>
      <c r="AL6" s="7" t="n">
        <f aca="false">AH6*$Q6</f>
        <v>4.48709377229303</v>
      </c>
      <c r="AM6" s="7" t="n">
        <f aca="false">AI6*$Q6</f>
        <v>7.24568100913796</v>
      </c>
      <c r="AN6" s="7" t="n">
        <f aca="false">V6+AJ6</f>
        <v>4.77818409303562</v>
      </c>
      <c r="AO6" s="7" t="n">
        <f aca="false">W6+AK6</f>
        <v>12.9639388955004</v>
      </c>
      <c r="AP6" s="7" t="n">
        <f aca="false">X6+AL6</f>
        <v>29.8723560828043</v>
      </c>
      <c r="AQ6" s="7" t="n">
        <f aca="false">U6+AM6</f>
        <v>59.3180139537764</v>
      </c>
      <c r="AR6" s="35" t="n">
        <f aca="false">(0.25*AN6)+(0.25*AO6)+(0.25*AP6)+(0.25*AQ6)</f>
        <v>26.7331232562791</v>
      </c>
      <c r="AS6" s="34" t="n">
        <f aca="false">AR6/I6</f>
        <v>0.451044005301083</v>
      </c>
      <c r="AT6" s="159" t="n">
        <f aca="false">(J6-AS6)*100</f>
        <v>54.8955994698917</v>
      </c>
    </row>
    <row r="7" s="168" customFormat="true" ht="15" hidden="false" customHeight="false" outlineLevel="0" collapsed="false">
      <c r="A7" s="160" t="s">
        <v>364</v>
      </c>
      <c r="B7" s="161" t="n">
        <f aca="false">'IV_V Database Fields'!C3</f>
        <v>2</v>
      </c>
      <c r="C7" s="162" t="str">
        <f aca="false">'IV_V Database Fields'!C4</f>
        <v>B2</v>
      </c>
      <c r="D7" s="162" t="s">
        <v>112</v>
      </c>
      <c r="E7" s="162" t="s">
        <v>112</v>
      </c>
      <c r="F7" s="162" t="s">
        <v>112</v>
      </c>
      <c r="G7" s="162" t="str">
        <f aca="false">'IV_V Database Fields'!C5</f>
        <v>ST</v>
      </c>
      <c r="H7" s="162" t="n">
        <f aca="false">'IV_V Database Fields'!C14</f>
        <v>0.81</v>
      </c>
      <c r="I7" s="162" t="n">
        <f aca="false">'IV_V Database Fields'!C60</f>
        <v>67.3183703703704</v>
      </c>
      <c r="J7" s="162" t="n">
        <f aca="false">'IV_V Database Fields'!C69</f>
        <v>1.0557627684026</v>
      </c>
      <c r="K7" s="162" t="n">
        <f aca="false">'IV_V Database Fields'!C10</f>
        <v>3600</v>
      </c>
      <c r="L7" s="162" t="n">
        <f aca="false">'IV_V Database Fields'!C89</f>
        <v>55.2</v>
      </c>
      <c r="M7" s="162" t="n">
        <f aca="false">'IV_V Database Fields'!C94</f>
        <v>349.830508474576</v>
      </c>
      <c r="N7" s="162" t="n">
        <f aca="false">'IV_V Database Fields'!C13</f>
        <v>75</v>
      </c>
      <c r="O7" s="162" t="n">
        <f aca="false">'IV_V Database Fields'!C11</f>
        <v>0</v>
      </c>
      <c r="P7" s="163" t="n">
        <f aca="false">IF((O7=1),'IV_V Database Fields'!C12,'IV_V Database Fields'!C63)</f>
        <v>81.5</v>
      </c>
      <c r="Q7" s="164" t="n">
        <f aca="false">(N7/(P7/100))-N7</f>
        <v>17.0245398773006</v>
      </c>
      <c r="R7" s="163" t="n">
        <f aca="false">IF(L7/(N7+Q7)&gt;=1,1,L7/(N7+Q7))</f>
        <v>0.59984</v>
      </c>
      <c r="S7" s="164" t="n">
        <f aca="false">(-0.4508*R7^3)+(1.2399*R7^2)-(0.4301*R7)+0.641</f>
        <v>0.731839864410422</v>
      </c>
      <c r="T7" s="165" t="n">
        <f aca="false">S7*Q7</f>
        <v>12.4592369554535</v>
      </c>
      <c r="U7" s="165" t="n">
        <f aca="false">L7-T7</f>
        <v>42.7407630445465</v>
      </c>
      <c r="V7" s="165" t="n">
        <f aca="false">((0.8*(0.25*$M7)^3/($M7)^3)+(0.2*0.25*$M7/$M7))*$U7</f>
        <v>2.67129769028416</v>
      </c>
      <c r="W7" s="165" t="n">
        <f aca="false">((0.8*(0.5*$M7)^3/($M7)^3)+(0.2*0.5*$M7/$M7))*$U7</f>
        <v>8.5481526089093</v>
      </c>
      <c r="X7" s="165" t="n">
        <f aca="false">((0.8*(0.75*$M7)^3/($M7)^3)+(0.2*0.75*$M7/$M7))*$U7</f>
        <v>20.8361219842164</v>
      </c>
      <c r="Y7" s="165" t="n">
        <f aca="false">IF(V7/$N7&gt;=1,1,V7/$N7)</f>
        <v>0.0356173025371221</v>
      </c>
      <c r="Z7" s="165" t="n">
        <f aca="false">IF(W7/$N7&gt;=1,1,W7/$N7)</f>
        <v>0.113975368118791</v>
      </c>
      <c r="AA7" s="165" t="n">
        <f aca="false">IF(X7/$N7&gt;=1,1,X7/$N7)</f>
        <v>0.277814959789552</v>
      </c>
      <c r="AB7" s="165" t="n">
        <f aca="false">IF(U7/$N7&gt;=1,1,U7/$N7)</f>
        <v>0.569876840593953</v>
      </c>
      <c r="AC7" s="164" t="n">
        <f aca="false">IF($N7&lt;=5, -0.4658, IF($N7&lt;=20,-1.3198, IF($N7&lt;=50,-1.5122, IF($N7&gt;50,-0.8914))))</f>
        <v>-0.8914</v>
      </c>
      <c r="AD7" s="164" t="n">
        <f aca="false">IF($N7&lt;=5, 1.4965, IF($N7&lt;=20,2.9551, IF($N7&lt;=50,3.0777, IF($N7&gt;50,2.8846))))</f>
        <v>2.8846</v>
      </c>
      <c r="AE7" s="164" t="n">
        <f aca="false">IF($N7&lt;=5, 0.5303, IF($N7&lt;=20,0.1052, IF($N7&lt;=50,0.1847, IF($N7&gt;50,0.2625))))</f>
        <v>0.2625</v>
      </c>
      <c r="AF7" s="165" t="n">
        <f aca="false">($AC7*Y7^2)+($AD7*Y7)+$AE7</f>
        <v>0.364110847775828</v>
      </c>
      <c r="AG7" s="165" t="n">
        <f aca="false">($AC7*Z7^2)+($AD7*Z7)+$AE7</f>
        <v>0.579693718098456</v>
      </c>
      <c r="AH7" s="165" t="n">
        <f aca="false">($AC7*AA7^2)+($AD7*AA7)+$AE7</f>
        <v>0.995085754220552</v>
      </c>
      <c r="AI7" s="165" t="n">
        <f aca="false">($AC7*AB7^2)+($AD7*AB7)+$AE7</f>
        <v>1.61687601495214</v>
      </c>
      <c r="AJ7" s="164" t="n">
        <f aca="false">AF7*$Q7</f>
        <v>6.19881964771732</v>
      </c>
      <c r="AK7" s="164" t="n">
        <f aca="false">AG7*$Q7</f>
        <v>9.86901882038783</v>
      </c>
      <c r="AL7" s="164" t="n">
        <f aca="false">AH7*$Q7</f>
        <v>16.9408771040616</v>
      </c>
      <c r="AM7" s="164" t="n">
        <f aca="false">AI7*$Q7</f>
        <v>27.5265701932036</v>
      </c>
      <c r="AN7" s="164" t="n">
        <f aca="false">V7+AJ7</f>
        <v>8.87011733800147</v>
      </c>
      <c r="AO7" s="164" t="n">
        <f aca="false">W7+AK7</f>
        <v>18.4171714292971</v>
      </c>
      <c r="AP7" s="164" t="n">
        <f aca="false">X7+AL7</f>
        <v>37.776999088278</v>
      </c>
      <c r="AQ7" s="164" t="n">
        <f aca="false">U7+AM7</f>
        <v>70.2673332377501</v>
      </c>
      <c r="AR7" s="166" t="n">
        <f aca="false">(0.25*AN7)+(0.25*AO7)+(0.25*AP7)+(0.25*AQ7)</f>
        <v>33.8329052733317</v>
      </c>
      <c r="AS7" s="165" t="n">
        <f aca="false">AR7/I7</f>
        <v>0.502580574770166</v>
      </c>
      <c r="AT7" s="167" t="n">
        <f aca="false">(J7-AS7)*100</f>
        <v>55.3182193632434</v>
      </c>
    </row>
    <row r="8" customFormat="false" ht="15" hidden="false" customHeight="false" outlineLevel="0" collapsed="false">
      <c r="A8" s="88" t="s">
        <v>365</v>
      </c>
      <c r="B8" s="117" t="n">
        <f aca="false">'IV_V Database Fields'!G3</f>
        <v>5</v>
      </c>
      <c r="C8" s="29" t="str">
        <f aca="false">'IV_V Database Fields'!G4</f>
        <v>B6</v>
      </c>
      <c r="D8" s="29" t="s">
        <v>112</v>
      </c>
      <c r="E8" s="29" t="s">
        <v>112</v>
      </c>
      <c r="F8" s="29" t="s">
        <v>112</v>
      </c>
      <c r="G8" s="30" t="str">
        <f aca="false">'IV_V Database Fields'!G5</f>
        <v>ESFM</v>
      </c>
      <c r="H8" s="30" t="n">
        <f aca="false">'IV_V Database Fields'!G14</f>
        <v>0.84</v>
      </c>
      <c r="I8" s="30" t="n">
        <f aca="false">'IV_V Database Fields'!G60</f>
        <v>64.9141428571429</v>
      </c>
      <c r="J8" s="30" t="n">
        <f aca="false">'IV_V Database Fields'!G69</f>
        <v>-2.0557627684026</v>
      </c>
      <c r="K8" s="30" t="n">
        <f aca="false">'IV_V Database Fields'!G10</f>
        <v>3600</v>
      </c>
      <c r="L8" s="30" t="n">
        <f aca="false">'IV_V Database Fields'!G89</f>
        <v>55.2</v>
      </c>
      <c r="M8" s="30" t="n">
        <f aca="false">'IV_V Database Fields'!G94</f>
        <v>349.830508474576</v>
      </c>
      <c r="N8" s="30" t="n">
        <f aca="false">'IV_V Database Fields'!G13</f>
        <v>60</v>
      </c>
      <c r="O8" s="30" t="n">
        <f aca="false">'IV_V Database Fields'!G11</f>
        <v>1</v>
      </c>
      <c r="P8" s="31" t="n">
        <f aca="false">IF((O8=1),'IV_V Database Fields'!G12,'IV_V Database Fields'!G63)</f>
        <v>95</v>
      </c>
      <c r="Q8" s="7" t="n">
        <f aca="false">(N8/(P8/100))-N8</f>
        <v>3.15789473684211</v>
      </c>
      <c r="R8" s="169" t="n">
        <f aca="false">IF(L8/(N8+Q8)&gt;=1,1,L8/(N8+Q8))</f>
        <v>0.874</v>
      </c>
      <c r="S8" s="7" t="n">
        <f aca="false">(-0.4508*R8^3)+(1.2399*R8^2)-(0.4301*R8)+0.641</f>
        <v>0.9112559195008</v>
      </c>
      <c r="T8" s="34" t="n">
        <f aca="false">S8*Q8</f>
        <v>2.87765027210779</v>
      </c>
      <c r="U8" s="34" t="n">
        <f aca="false">L8-T8</f>
        <v>52.3223497278922</v>
      </c>
      <c r="V8" s="34" t="n">
        <f aca="false">((0.8*(0.25*$M8)^3/($M8)^3)+(0.2*0.25*$M8/$M8))*$U8</f>
        <v>3.27014685799326</v>
      </c>
      <c r="W8" s="34" t="n">
        <f aca="false">((0.8*(0.5*$M8)^3/($M8)^3)+(0.2*0.5*$M8/$M8))*$U8</f>
        <v>10.4644699455784</v>
      </c>
      <c r="X8" s="34" t="n">
        <f aca="false">((0.8*(0.75*$M8)^3/($M8)^3)+(0.2*0.75*$M8/$M8))*$U8</f>
        <v>25.5071454923475</v>
      </c>
      <c r="Y8" s="34" t="n">
        <f aca="false">IF(V8/$N8&gt;=1,1,V8/$N8)</f>
        <v>0.0545024476332211</v>
      </c>
      <c r="Z8" s="34" t="n">
        <f aca="false">IF(W8/$N8&gt;=1,1,W8/$N8)</f>
        <v>0.174407832426307</v>
      </c>
      <c r="AA8" s="34" t="n">
        <f aca="false">IF(X8/$N8&gt;=1,1,X8/$N8)</f>
        <v>0.425119091539124</v>
      </c>
      <c r="AB8" s="34" t="n">
        <f aca="false">IF(U8/$N8&gt;=1,1,U8/$N8)</f>
        <v>0.872039162131537</v>
      </c>
      <c r="AC8" s="7" t="n">
        <f aca="false">IF($N8&lt;=5, -0.4658, IF($N8&lt;=20,-1.3198, IF($N8&lt;=50,-1.5122, IF($N8&gt;50,-0.8914))))</f>
        <v>-0.8914</v>
      </c>
      <c r="AD8" s="7" t="n">
        <f aca="false">IF($N8&lt;=5, 1.4965, IF($N8&lt;=20,2.9551, IF($N8&lt;=50,3.0777, IF($N8&gt;50,2.8846))))</f>
        <v>2.8846</v>
      </c>
      <c r="AE8" s="7" t="n">
        <f aca="false">IF($N8&lt;=5, 0.5303, IF($N8&lt;=20,0.1052, IF($N8&lt;=50,0.1847, IF($N8&gt;50,0.2625))))</f>
        <v>0.2625</v>
      </c>
      <c r="AF8" s="34" t="n">
        <f aca="false">($AC8*Y8^2)+($AD8*Y8)+$AE8</f>
        <v>0.417069841769042</v>
      </c>
      <c r="AG8" s="34" t="n">
        <f aca="false">($AC8*Z8^2)+($AD8*Z8)+$AE8</f>
        <v>0.738482146197748</v>
      </c>
      <c r="AH8" s="34" t="n">
        <f aca="false">($AC8*AA8^2)+($AD8*AA8)+$AE8</f>
        <v>1.32769915934294</v>
      </c>
      <c r="AI8" s="34" t="n">
        <f aca="false">($AC8*AB8^2)+($AD8*AB8)+$AE8</f>
        <v>2.10011698660517</v>
      </c>
      <c r="AJ8" s="7" t="n">
        <f aca="false">AF8*$Q8</f>
        <v>1.31706265821803</v>
      </c>
      <c r="AK8" s="7" t="n">
        <f aca="false">AG8*$Q8</f>
        <v>2.33204888272973</v>
      </c>
      <c r="AL8" s="7" t="n">
        <f aca="false">AH8*$Q8</f>
        <v>4.19273418739875</v>
      </c>
      <c r="AM8" s="7" t="n">
        <f aca="false">AI8*$Q8</f>
        <v>6.63194837875318</v>
      </c>
      <c r="AN8" s="7" t="n">
        <f aca="false">V8+AJ8</f>
        <v>4.58720951621129</v>
      </c>
      <c r="AO8" s="7" t="n">
        <f aca="false">W8+AK8</f>
        <v>12.7965188283082</v>
      </c>
      <c r="AP8" s="7" t="n">
        <f aca="false">X8+AL8</f>
        <v>29.6998796797462</v>
      </c>
      <c r="AQ8" s="7" t="n">
        <f aca="false">U8+AM8</f>
        <v>58.9542981066454</v>
      </c>
      <c r="AR8" s="35" t="n">
        <f aca="false">(0.25*AN8)+(0.25*AO8)+(0.25*AP8)+(0.25*AQ8)</f>
        <v>26.5094765327278</v>
      </c>
      <c r="AS8" s="34" t="n">
        <f aca="false">AR8/I8</f>
        <v>0.408377517840256</v>
      </c>
      <c r="AT8" s="159" t="n">
        <f aca="false">(J8-AS8)*100</f>
        <v>-246.414028624286</v>
      </c>
    </row>
    <row r="9" customFormat="false" ht="36" hidden="false" customHeight="true" outlineLevel="0" collapsed="false">
      <c r="A9" s="65" t="str">
        <f aca="false">'IV_V Database Fields'!J1</f>
        <v>NQ693Q</v>
      </c>
      <c r="B9" s="29" t="n">
        <f aca="false">'IV_V Database Fields'!J3</f>
        <v>8</v>
      </c>
      <c r="C9" s="29" t="str">
        <f aca="false">'IV_V Database Fields'!J4</f>
        <v>102</v>
      </c>
      <c r="D9" s="29" t="s">
        <v>112</v>
      </c>
      <c r="E9" s="29" t="s">
        <v>112</v>
      </c>
      <c r="F9" s="29" t="s">
        <v>112</v>
      </c>
      <c r="G9" s="42" t="str">
        <f aca="false">'IV_V Database Fields'!J5</f>
        <v>IL</v>
      </c>
      <c r="H9" s="42" t="n">
        <f aca="false">'IV_V Database Fields'!J14</f>
        <v>0.92</v>
      </c>
      <c r="I9" s="42" t="n">
        <f aca="false">'IV_V Database Fields'!J60</f>
        <v>41.100599673913</v>
      </c>
      <c r="J9" s="42" t="n">
        <f aca="false">'IV_V Database Fields'!J69</f>
        <v>1.14896043469693</v>
      </c>
      <c r="K9" s="42" t="n">
        <f aca="false">'IV_V Database Fields'!J10</f>
        <v>3600</v>
      </c>
      <c r="L9" s="43" t="n">
        <f aca="false">'IV_V Database Fields'!J90</f>
        <v>44.2452</v>
      </c>
      <c r="M9" s="170" t="n">
        <f aca="false">'IV_V Database Fields'!J96</f>
        <v>249.49</v>
      </c>
      <c r="N9" s="42" t="n">
        <f aca="false">'IV_V Database Fields'!J13</f>
        <v>50</v>
      </c>
      <c r="O9" s="30" t="n">
        <f aca="false">'IV_V Database Fields'!J11</f>
        <v>0</v>
      </c>
      <c r="P9" s="31" t="n">
        <f aca="false">IF((O9=1),'IV_V Database Fields'!J12,'IV_V Database Fields'!J63)</f>
        <v>93</v>
      </c>
      <c r="Q9" s="7" t="n">
        <f aca="false">(N9/(P9/100))-N9</f>
        <v>3.76344086021505</v>
      </c>
      <c r="R9" s="171" t="n">
        <f aca="false">IF(L9/(N9+Q9)&gt;=1,1,L9/(N9+Q9))</f>
        <v>0.82296072</v>
      </c>
      <c r="S9" s="7" t="n">
        <f aca="false">(-0.4508*R9^3)+(1.2399*R9^2)-(0.4301*R9)+0.641</f>
        <v>0.875525888729844</v>
      </c>
      <c r="T9" s="34" t="n">
        <f aca="false">S9*Q9</f>
        <v>3.29498990382199</v>
      </c>
      <c r="U9" s="34" t="n">
        <f aca="false">L9-T9</f>
        <v>40.950210096178</v>
      </c>
      <c r="V9" s="34" t="n">
        <f aca="false">((0.8*(0.25*$M9)^3/($M9)^3)+(0.2*0.25*$M9/$M9))*$U9</f>
        <v>2.55938813101113</v>
      </c>
      <c r="W9" s="34" t="n">
        <f aca="false">((0.8*(0.5*$M9)^3/($M9)^3)+(0.2*0.5*$M9/$M9))*$U9</f>
        <v>8.1900420192356</v>
      </c>
      <c r="X9" s="34" t="n">
        <f aca="false">((0.8*(0.75*$M9)^3/($M9)^3)+(0.2*0.75*$M9/$M9))*$U9</f>
        <v>19.9632274218868</v>
      </c>
      <c r="Y9" s="34" t="n">
        <f aca="false">IF(V9/$N9&gt;=1,1,V9/$N9)</f>
        <v>0.0511877626202225</v>
      </c>
      <c r="Z9" s="34" t="n">
        <f aca="false">IF(W9/$N9&gt;=1,1,W9/$N9)</f>
        <v>0.163800840384712</v>
      </c>
      <c r="AA9" s="34" t="n">
        <f aca="false">IF(X9/$N9&gt;=1,1,X9/$N9)</f>
        <v>0.399264548437736</v>
      </c>
      <c r="AB9" s="34" t="n">
        <f aca="false">IF(U9/$N9&gt;=1,1,U9/$N9)</f>
        <v>0.81900420192356</v>
      </c>
      <c r="AC9" s="7" t="n">
        <f aca="false">IF($N9&lt;=5, -0.4658, IF($N9&lt;=20,-1.3198, IF($N9&lt;=50,-1.5122, IF($N9&gt;50,-0.8914))))</f>
        <v>-1.5122</v>
      </c>
      <c r="AD9" s="7" t="n">
        <f aca="false">IF($N9&lt;=5, 1.4965, IF($N9&lt;=20,2.9551, IF($N9&lt;=50,3.0777, IF($N9&gt;50,2.8846))))</f>
        <v>3.0777</v>
      </c>
      <c r="AE9" s="7" t="n">
        <f aca="false">IF($N9&lt;=5, 0.5303, IF($N9&lt;=20,0.1052, IF($N9&lt;=50,0.1847, IF($N9&gt;50,0.2625))))</f>
        <v>0.1847</v>
      </c>
      <c r="AF9" s="34" t="n">
        <f aca="false">($AC9*Y9^2)+($AD9*Y9)+$AE9</f>
        <v>0.338278330171249</v>
      </c>
      <c r="AG9" s="34" t="n">
        <f aca="false">($AC9*Z9^2)+($AD9*Z9)+$AE9</f>
        <v>0.64825643875913</v>
      </c>
      <c r="AH9" s="34" t="n">
        <f aca="false">($AC9*AA9^2)+($AD9*AA9)+$AE9</f>
        <v>1.17245340267644</v>
      </c>
      <c r="AI9" s="34" t="n">
        <f aca="false">($AC9*AB9^2)+($AD9*AB9)+$AE9</f>
        <v>1.69101403993769</v>
      </c>
      <c r="AJ9" s="7" t="n">
        <f aca="false">AF9*$Q9</f>
        <v>1.2730904898918</v>
      </c>
      <c r="AK9" s="7" t="n">
        <f aca="false">AG9*$Q9</f>
        <v>2.43967476952361</v>
      </c>
      <c r="AL9" s="7" t="n">
        <f aca="false">AH9*$Q9</f>
        <v>4.41245904233067</v>
      </c>
      <c r="AM9" s="7" t="n">
        <f aca="false">AI9*$Q9</f>
        <v>6.36403133309884</v>
      </c>
      <c r="AN9" s="7" t="n">
        <f aca="false">V9+AJ9</f>
        <v>3.83247862090292</v>
      </c>
      <c r="AO9" s="7" t="n">
        <f aca="false">W9+AK9</f>
        <v>10.6297167887592</v>
      </c>
      <c r="AP9" s="7" t="n">
        <f aca="false">X9+AL9</f>
        <v>24.3756864642175</v>
      </c>
      <c r="AQ9" s="7" t="n">
        <f aca="false">U9+AM9</f>
        <v>47.3142414292768</v>
      </c>
      <c r="AR9" s="35" t="n">
        <f aca="false">(0.25*AN9)+(0.25*AO9)+(0.25*AP9)+(0.25*AQ9)</f>
        <v>21.5380308257891</v>
      </c>
      <c r="AS9" s="34" t="n">
        <f aca="false">AR9/I9</f>
        <v>0.524032033514574</v>
      </c>
      <c r="AT9" s="159" t="n">
        <f aca="false">(J9-AS9)*100</f>
        <v>62.4928401182355</v>
      </c>
    </row>
    <row r="10" customFormat="false" ht="36" hidden="false" customHeight="true" outlineLevel="0" collapsed="false">
      <c r="P10" s="3" t="s">
        <v>366</v>
      </c>
    </row>
    <row r="11" customFormat="false" ht="15" hidden="false" customHeight="false" outlineLevel="0" collapsed="false">
      <c r="A11" s="65"/>
      <c r="B11" s="65" t="s">
        <v>199</v>
      </c>
      <c r="C11" s="65"/>
      <c r="D11" s="65"/>
      <c r="E11" s="65"/>
    </row>
    <row r="12" customFormat="false" ht="15" hidden="false" customHeight="false" outlineLevel="0" collapsed="false">
      <c r="W12" s="39"/>
    </row>
    <row r="13" customFormat="false" ht="15" hidden="false" customHeight="false" outlineLevel="0" collapsed="false">
      <c r="W13" s="39"/>
    </row>
    <row r="14" customFormat="false" ht="15" hidden="false" customHeight="false" outlineLevel="0" collapsed="false">
      <c r="A14" s="71" t="s">
        <v>367</v>
      </c>
      <c r="B14" s="71"/>
      <c r="W14" s="39"/>
    </row>
  </sheetData>
  <mergeCells count="4">
    <mergeCell ref="B2:F2"/>
    <mergeCell ref="G2:P2"/>
    <mergeCell ref="R2:AT2"/>
    <mergeCell ref="D5:F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17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25" activeCellId="0" sqref="B25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46" min="2" style="0" width="35.7"/>
    <col collapsed="false" customWidth="true" hidden="false" outlineLevel="0" max="1025" min="47" style="0" width="9.14"/>
  </cols>
  <sheetData>
    <row r="1" customFormat="false" ht="15.75" hidden="false" customHeight="false" outlineLevel="0" collapsed="false">
      <c r="A1" s="3" t="s">
        <v>343</v>
      </c>
      <c r="B1" s="3"/>
    </row>
    <row r="2" customFormat="false" ht="24" hidden="false" customHeight="false" outlineLevel="0" collapsed="false">
      <c r="B2" s="149" t="s">
        <v>1</v>
      </c>
      <c r="C2" s="149"/>
      <c r="D2" s="149"/>
      <c r="E2" s="149"/>
      <c r="F2" s="149"/>
      <c r="G2" s="78" t="s">
        <v>2</v>
      </c>
      <c r="H2" s="78"/>
      <c r="I2" s="78"/>
      <c r="J2" s="78"/>
      <c r="K2" s="78"/>
      <c r="L2" s="78"/>
      <c r="M2" s="78"/>
      <c r="N2" s="78"/>
      <c r="O2" s="78"/>
      <c r="P2" s="78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</row>
    <row r="3" customFormat="false" ht="33" hidden="false" customHeight="false" outlineLevel="0" collapsed="false">
      <c r="B3" s="150"/>
      <c r="C3" s="11"/>
      <c r="D3" s="11"/>
      <c r="E3" s="11"/>
      <c r="F3" s="172"/>
      <c r="G3" s="14"/>
      <c r="H3" s="14" t="s">
        <v>5</v>
      </c>
      <c r="I3" s="14" t="s">
        <v>124</v>
      </c>
      <c r="J3" s="14" t="s">
        <v>125</v>
      </c>
      <c r="K3" s="15" t="s">
        <v>6</v>
      </c>
      <c r="L3" s="15" t="s">
        <v>368</v>
      </c>
      <c r="M3" s="15" t="s">
        <v>369</v>
      </c>
      <c r="N3" s="15" t="s">
        <v>10</v>
      </c>
      <c r="O3" s="15" t="s">
        <v>257</v>
      </c>
      <c r="P3" s="15" t="s">
        <v>11</v>
      </c>
      <c r="Q3" s="15" t="s">
        <v>16</v>
      </c>
      <c r="R3" s="15" t="s">
        <v>132</v>
      </c>
      <c r="S3" s="11" t="s">
        <v>133</v>
      </c>
      <c r="T3" s="81" t="s">
        <v>345</v>
      </c>
      <c r="U3" s="11" t="s">
        <v>135</v>
      </c>
      <c r="V3" s="11" t="s">
        <v>136</v>
      </c>
      <c r="W3" s="11" t="s">
        <v>137</v>
      </c>
      <c r="X3" s="11" t="s">
        <v>138</v>
      </c>
      <c r="Y3" s="11" t="s">
        <v>346</v>
      </c>
      <c r="Z3" s="11" t="s">
        <v>347</v>
      </c>
      <c r="AA3" s="11" t="s">
        <v>348</v>
      </c>
      <c r="AB3" s="11" t="s">
        <v>349</v>
      </c>
      <c r="AC3" s="11" t="s">
        <v>143</v>
      </c>
      <c r="AD3" s="11" t="s">
        <v>144</v>
      </c>
      <c r="AE3" s="11" t="s">
        <v>145</v>
      </c>
      <c r="AF3" s="11" t="s">
        <v>146</v>
      </c>
      <c r="AG3" s="11" t="s">
        <v>147</v>
      </c>
      <c r="AH3" s="11" t="s">
        <v>148</v>
      </c>
      <c r="AI3" s="11" t="s">
        <v>149</v>
      </c>
      <c r="AJ3" s="11" t="s">
        <v>151</v>
      </c>
      <c r="AK3" s="11" t="s">
        <v>152</v>
      </c>
      <c r="AL3" s="11" t="s">
        <v>153</v>
      </c>
      <c r="AM3" s="11" t="s">
        <v>154</v>
      </c>
      <c r="AN3" s="11" t="s">
        <v>155</v>
      </c>
      <c r="AO3" s="11" t="s">
        <v>156</v>
      </c>
      <c r="AP3" s="11" t="s">
        <v>157</v>
      </c>
      <c r="AQ3" s="11" t="s">
        <v>158</v>
      </c>
      <c r="AR3" s="11" t="s">
        <v>159</v>
      </c>
      <c r="AS3" s="11" t="s">
        <v>160</v>
      </c>
      <c r="AT3" s="11" t="s">
        <v>161</v>
      </c>
      <c r="AU3" s="17"/>
    </row>
    <row r="4" customFormat="false" ht="45" hidden="false" customHeight="false" outlineLevel="0" collapsed="false">
      <c r="A4" s="18" t="s">
        <v>46</v>
      </c>
      <c r="B4" s="153" t="s">
        <v>47</v>
      </c>
      <c r="C4" s="19" t="s">
        <v>48</v>
      </c>
      <c r="D4" s="19" t="s">
        <v>370</v>
      </c>
      <c r="E4" s="19" t="s">
        <v>351</v>
      </c>
      <c r="F4" s="173" t="s">
        <v>164</v>
      </c>
      <c r="G4" s="19" t="s">
        <v>352</v>
      </c>
      <c r="H4" s="19" t="s">
        <v>55</v>
      </c>
      <c r="I4" s="19" t="s">
        <v>166</v>
      </c>
      <c r="J4" s="19" t="s">
        <v>63</v>
      </c>
      <c r="K4" s="19" t="s">
        <v>56</v>
      </c>
      <c r="L4" s="19" t="s">
        <v>58</v>
      </c>
      <c r="M4" s="19" t="s">
        <v>353</v>
      </c>
      <c r="N4" s="19" t="s">
        <v>371</v>
      </c>
      <c r="O4" s="19"/>
      <c r="P4" s="19" t="s">
        <v>355</v>
      </c>
      <c r="Q4" s="19" t="s">
        <v>69</v>
      </c>
      <c r="R4" s="19" t="s">
        <v>71</v>
      </c>
      <c r="S4" s="19" t="s">
        <v>74</v>
      </c>
      <c r="T4" s="84" t="s">
        <v>77</v>
      </c>
      <c r="U4" s="19" t="s">
        <v>80</v>
      </c>
      <c r="V4" s="19" t="s">
        <v>169</v>
      </c>
      <c r="W4" s="19" t="s">
        <v>170</v>
      </c>
      <c r="X4" s="19" t="s">
        <v>171</v>
      </c>
      <c r="Y4" s="19" t="s">
        <v>172</v>
      </c>
      <c r="Z4" s="19" t="s">
        <v>173</v>
      </c>
      <c r="AA4" s="19" t="s">
        <v>174</v>
      </c>
      <c r="AB4" s="19" t="s">
        <v>175</v>
      </c>
      <c r="AC4" s="19" t="s">
        <v>176</v>
      </c>
      <c r="AD4" s="19" t="s">
        <v>176</v>
      </c>
      <c r="AE4" s="19" t="s">
        <v>176</v>
      </c>
      <c r="AF4" s="19" t="s">
        <v>177</v>
      </c>
      <c r="AG4" s="19" t="s">
        <v>178</v>
      </c>
      <c r="AH4" s="19" t="s">
        <v>179</v>
      </c>
      <c r="AI4" s="19" t="s">
        <v>180</v>
      </c>
      <c r="AJ4" s="19" t="s">
        <v>182</v>
      </c>
      <c r="AK4" s="19" t="s">
        <v>183</v>
      </c>
      <c r="AL4" s="19" t="s">
        <v>184</v>
      </c>
      <c r="AM4" s="19" t="s">
        <v>185</v>
      </c>
      <c r="AN4" s="19" t="s">
        <v>186</v>
      </c>
      <c r="AO4" s="19" t="s">
        <v>187</v>
      </c>
      <c r="AP4" s="19" t="s">
        <v>188</v>
      </c>
      <c r="AQ4" s="19" t="s">
        <v>189</v>
      </c>
      <c r="AR4" s="19" t="s">
        <v>190</v>
      </c>
      <c r="AS4" s="19" t="s">
        <v>191</v>
      </c>
      <c r="AT4" s="19" t="s">
        <v>96</v>
      </c>
      <c r="AU4" s="21"/>
    </row>
    <row r="5" customFormat="false" ht="32.25" hidden="false" customHeight="false" outlineLevel="0" collapsed="false">
      <c r="A5" s="18"/>
      <c r="B5" s="153"/>
      <c r="C5" s="19"/>
      <c r="D5" s="19"/>
      <c r="E5" s="19"/>
      <c r="F5" s="173"/>
      <c r="G5" s="19"/>
      <c r="H5" s="19"/>
      <c r="I5" s="19"/>
      <c r="J5" s="19"/>
      <c r="K5" s="19"/>
      <c r="L5" s="19"/>
      <c r="M5" s="19"/>
      <c r="N5" s="19"/>
      <c r="O5" s="19"/>
      <c r="P5" s="19"/>
      <c r="Q5" s="15" t="s">
        <v>16</v>
      </c>
      <c r="R5" s="15" t="s">
        <v>132</v>
      </c>
      <c r="S5" s="11" t="s">
        <v>133</v>
      </c>
      <c r="T5" s="81" t="s">
        <v>345</v>
      </c>
      <c r="U5" s="11" t="s">
        <v>135</v>
      </c>
      <c r="V5" s="11" t="s">
        <v>136</v>
      </c>
      <c r="W5" s="11" t="s">
        <v>137</v>
      </c>
      <c r="X5" s="11" t="s">
        <v>138</v>
      </c>
      <c r="Y5" s="11" t="s">
        <v>346</v>
      </c>
      <c r="Z5" s="11" t="s">
        <v>347</v>
      </c>
      <c r="AA5" s="11" t="s">
        <v>348</v>
      </c>
      <c r="AB5" s="11" t="s">
        <v>349</v>
      </c>
      <c r="AC5" s="11" t="s">
        <v>143</v>
      </c>
      <c r="AD5" s="11" t="s">
        <v>144</v>
      </c>
      <c r="AE5" s="11" t="s">
        <v>145</v>
      </c>
      <c r="AF5" s="11" t="s">
        <v>146</v>
      </c>
      <c r="AG5" s="11" t="s">
        <v>147</v>
      </c>
      <c r="AH5" s="11" t="s">
        <v>148</v>
      </c>
      <c r="AI5" s="11" t="s">
        <v>149</v>
      </c>
      <c r="AJ5" s="11" t="s">
        <v>151</v>
      </c>
      <c r="AK5" s="11" t="s">
        <v>152</v>
      </c>
      <c r="AL5" s="11" t="s">
        <v>153</v>
      </c>
      <c r="AM5" s="11" t="s">
        <v>154</v>
      </c>
      <c r="AN5" s="11" t="s">
        <v>155</v>
      </c>
      <c r="AO5" s="11" t="s">
        <v>156</v>
      </c>
      <c r="AP5" s="11" t="s">
        <v>157</v>
      </c>
      <c r="AQ5" s="11" t="s">
        <v>158</v>
      </c>
      <c r="AR5" s="11" t="s">
        <v>159</v>
      </c>
      <c r="AS5" s="151" t="s">
        <v>160</v>
      </c>
      <c r="AT5" s="152" t="s">
        <v>161</v>
      </c>
      <c r="AU5" s="21"/>
    </row>
    <row r="6" customFormat="false" ht="28.5" hidden="false" customHeight="false" outlineLevel="0" collapsed="false">
      <c r="A6" s="18"/>
      <c r="B6" s="153"/>
      <c r="C6" s="19"/>
      <c r="D6" s="19"/>
      <c r="E6" s="19"/>
      <c r="F6" s="173"/>
      <c r="G6" s="19"/>
      <c r="H6" s="19"/>
      <c r="I6" s="19"/>
      <c r="J6" s="19"/>
      <c r="K6" s="19"/>
      <c r="L6" s="19"/>
      <c r="M6" s="19"/>
      <c r="N6" s="19"/>
      <c r="O6" s="19"/>
      <c r="P6" s="19"/>
      <c r="Q6" s="19" t="s">
        <v>356</v>
      </c>
      <c r="R6" s="19" t="s">
        <v>71</v>
      </c>
      <c r="S6" s="19" t="s">
        <v>74</v>
      </c>
      <c r="T6" s="84" t="s">
        <v>90</v>
      </c>
      <c r="U6" s="19" t="s">
        <v>80</v>
      </c>
      <c r="V6" s="19" t="s">
        <v>169</v>
      </c>
      <c r="W6" s="19" t="s">
        <v>170</v>
      </c>
      <c r="X6" s="19" t="s">
        <v>171</v>
      </c>
      <c r="Y6" s="19" t="s">
        <v>357</v>
      </c>
      <c r="Z6" s="19" t="s">
        <v>358</v>
      </c>
      <c r="AA6" s="19" t="s">
        <v>359</v>
      </c>
      <c r="AB6" s="19" t="s">
        <v>360</v>
      </c>
      <c r="AC6" s="19" t="s">
        <v>176</v>
      </c>
      <c r="AD6" s="19" t="s">
        <v>176</v>
      </c>
      <c r="AE6" s="19" t="s">
        <v>176</v>
      </c>
      <c r="AF6" s="19" t="s">
        <v>177</v>
      </c>
      <c r="AG6" s="19" t="s">
        <v>178</v>
      </c>
      <c r="AH6" s="19" t="s">
        <v>179</v>
      </c>
      <c r="AI6" s="19" t="s">
        <v>180</v>
      </c>
      <c r="AJ6" s="19" t="s">
        <v>182</v>
      </c>
      <c r="AK6" s="19" t="s">
        <v>183</v>
      </c>
      <c r="AL6" s="19" t="s">
        <v>184</v>
      </c>
      <c r="AM6" s="19" t="s">
        <v>185</v>
      </c>
      <c r="AN6" s="19" t="s">
        <v>186</v>
      </c>
      <c r="AO6" s="19" t="s">
        <v>187</v>
      </c>
      <c r="AP6" s="19" t="s">
        <v>188</v>
      </c>
      <c r="AQ6" s="19" t="s">
        <v>189</v>
      </c>
      <c r="AR6" s="19" t="s">
        <v>190</v>
      </c>
      <c r="AS6" s="154" t="s">
        <v>191</v>
      </c>
      <c r="AT6" s="155" t="s">
        <v>96</v>
      </c>
      <c r="AU6" s="21"/>
    </row>
    <row r="7" customFormat="false" ht="28.35" hidden="false" customHeight="false" outlineLevel="0" collapsed="false">
      <c r="A7" s="156"/>
      <c r="B7" s="157" t="s">
        <v>201</v>
      </c>
      <c r="C7" s="87" t="s">
        <v>200</v>
      </c>
      <c r="D7" s="87" t="s">
        <v>361</v>
      </c>
      <c r="E7" s="87"/>
      <c r="F7" s="87"/>
      <c r="G7" s="87" t="s">
        <v>206</v>
      </c>
      <c r="H7" s="87" t="s">
        <v>260</v>
      </c>
      <c r="I7" s="87" t="s">
        <v>316</v>
      </c>
      <c r="J7" s="87" t="s">
        <v>261</v>
      </c>
      <c r="K7" s="87" t="s">
        <v>339</v>
      </c>
      <c r="L7" s="87" t="s">
        <v>210</v>
      </c>
      <c r="M7" s="87" t="s">
        <v>193</v>
      </c>
      <c r="N7" s="87" t="s">
        <v>256</v>
      </c>
      <c r="O7" s="87" t="s">
        <v>257</v>
      </c>
      <c r="P7" s="158" t="s">
        <v>362</v>
      </c>
      <c r="Q7" s="168" t="str">
        <f aca="false">IF(Q4&lt;&gt;Q6, "WHOA", "COOL")</f>
        <v>WHOA</v>
      </c>
      <c r="R7" s="0" t="str">
        <f aca="false">IF(R4&lt;&gt;R6, "WHOA", "COOL")</f>
        <v>COOL</v>
      </c>
      <c r="S7" s="0" t="str">
        <f aca="false">IF(S4&lt;&gt;S6, "WHOA", "COOL")</f>
        <v>COOL</v>
      </c>
      <c r="T7" s="168" t="str">
        <f aca="false">IF(T4&lt;&gt;T6, "WHOA", "COOL")</f>
        <v>WHOA</v>
      </c>
      <c r="U7" s="0" t="str">
        <f aca="false">IF(U4&lt;&gt;U6, "WHOA", "COOL")</f>
        <v>COOL</v>
      </c>
      <c r="V7" s="0" t="str">
        <f aca="false">IF(V4&lt;&gt;V6, "WHOA", "COOL")</f>
        <v>COOL</v>
      </c>
      <c r="W7" s="0" t="str">
        <f aca="false">IF(W4&lt;&gt;W6, "WHOA", "COOL")</f>
        <v>COOL</v>
      </c>
      <c r="X7" s="0" t="str">
        <f aca="false">IF(X4&lt;&gt;X6, "WHOA", "COOL")</f>
        <v>COOL</v>
      </c>
      <c r="Y7" s="168" t="str">
        <f aca="false">IF(Y4&lt;&gt;Y6, "WHOA", "COOL")</f>
        <v>WHOA</v>
      </c>
      <c r="Z7" s="168" t="str">
        <f aca="false">IF(Z4&lt;&gt;Z6, "WHOA", "COOL")</f>
        <v>WHOA</v>
      </c>
      <c r="AA7" s="168" t="str">
        <f aca="false">IF(AA4&lt;&gt;AA6, "WHOA", "COOL")</f>
        <v>WHOA</v>
      </c>
      <c r="AB7" s="168" t="str">
        <f aca="false">IF(AB4&lt;&gt;AB6, "WHOA", "COOL")</f>
        <v>WHOA</v>
      </c>
      <c r="AC7" s="0" t="str">
        <f aca="false">IF(AC4&lt;&gt;AC6, "WHOA", "COOL")</f>
        <v>COOL</v>
      </c>
      <c r="AD7" s="0" t="str">
        <f aca="false">IF(AD4&lt;&gt;AD6, "WHOA", "COOL")</f>
        <v>COOL</v>
      </c>
      <c r="AE7" s="0" t="str">
        <f aca="false">IF(AE4&lt;&gt;AE6, "WHOA", "COOL")</f>
        <v>COOL</v>
      </c>
      <c r="AF7" s="0" t="str">
        <f aca="false">IF(AF4&lt;&gt;AF6, "WHOA", "COOL")</f>
        <v>COOL</v>
      </c>
      <c r="AG7" s="0" t="str">
        <f aca="false">IF(AG4&lt;&gt;AG6, "WHOA", "COOL")</f>
        <v>COOL</v>
      </c>
      <c r="AH7" s="0" t="str">
        <f aca="false">IF(AH4&lt;&gt;AH6, "WHOA", "COOL")</f>
        <v>COOL</v>
      </c>
      <c r="AI7" s="0" t="str">
        <f aca="false">IF(AI4&lt;&gt;AI6, "WHOA", "COOL")</f>
        <v>COOL</v>
      </c>
      <c r="AJ7" s="0" t="str">
        <f aca="false">IF(AJ4&lt;&gt;AJ6, "WHOA", "COOL")</f>
        <v>COOL</v>
      </c>
      <c r="AK7" s="0" t="str">
        <f aca="false">IF(AK4&lt;&gt;AK6, "WHOA", "COOL")</f>
        <v>COOL</v>
      </c>
      <c r="AL7" s="0" t="str">
        <f aca="false">IF(AL4&lt;&gt;AL6, "WHOA", "COOL")</f>
        <v>COOL</v>
      </c>
      <c r="AM7" s="0" t="str">
        <f aca="false">IF(AM4&lt;&gt;AM6, "WHOA", "COOL")</f>
        <v>COOL</v>
      </c>
      <c r="AN7" s="0" t="str">
        <f aca="false">IF(AN4&lt;&gt;AN6, "WHOA", "COOL")</f>
        <v>COOL</v>
      </c>
      <c r="AO7" s="0" t="str">
        <f aca="false">IF(AO4&lt;&gt;AO6, "WHOA", "COOL")</f>
        <v>COOL</v>
      </c>
      <c r="AP7" s="0" t="str">
        <f aca="false">IF(AP4&lt;&gt;AP6, "WHOA", "COOL")</f>
        <v>COOL</v>
      </c>
      <c r="AQ7" s="0" t="str">
        <f aca="false">IF(AQ4&lt;&gt;AQ6, "WHOA", "COOL")</f>
        <v>COOL</v>
      </c>
      <c r="AR7" s="0" t="str">
        <f aca="false">IF(AR4&lt;&gt;AR6, "WHOA", "COOL")</f>
        <v>COOL</v>
      </c>
      <c r="AS7" s="0" t="str">
        <f aca="false">IF(AS4&lt;&gt;AS6, "WHOA", "COOL")</f>
        <v>COOL</v>
      </c>
      <c r="AT7" s="0" t="str">
        <f aca="false">IF(AT4&lt;&gt;AT6, "WHOA", "COOL")</f>
        <v>COOL</v>
      </c>
    </row>
    <row r="8" customFormat="false" ht="29.25" hidden="false" customHeight="true" outlineLevel="0" collapsed="false">
      <c r="A8" s="64" t="s">
        <v>372</v>
      </c>
      <c r="B8" s="117" t="n">
        <f aca="false">'IV_V Database Fields'!D3</f>
        <v>3</v>
      </c>
      <c r="C8" s="29" t="str">
        <f aca="false">'IV_V Database Fields'!D4</f>
        <v>B3</v>
      </c>
      <c r="D8" s="29" t="s">
        <v>112</v>
      </c>
      <c r="E8" s="29" t="s">
        <v>112</v>
      </c>
      <c r="F8" s="29" t="s">
        <v>112</v>
      </c>
      <c r="G8" s="30" t="str">
        <f aca="false">'IV_V Database Fields'!D5</f>
        <v>RSV</v>
      </c>
      <c r="H8" s="30" t="n">
        <f aca="false">'IV_V Database Fields'!D14</f>
        <v>0.92</v>
      </c>
      <c r="I8" s="30" t="n">
        <f aca="false">'IV_V Database Fields'!D60</f>
        <v>60.3562826086956</v>
      </c>
      <c r="J8" s="30" t="n">
        <f aca="false">'IV_V Database Fields'!D69</f>
        <v>1</v>
      </c>
      <c r="K8" s="30" t="n">
        <f aca="false">'IV_V Database Fields'!D10</f>
        <v>1800</v>
      </c>
      <c r="L8" s="30" t="n">
        <f aca="false">'IV_V Database Fields'!D89</f>
        <v>56.2</v>
      </c>
      <c r="M8" s="30" t="n">
        <f aca="false">'IV_V Database Fields'!D94</f>
        <v>349.830508474576</v>
      </c>
      <c r="N8" s="30" t="n">
        <f aca="false">'IV_V Database Fields'!D13</f>
        <v>75</v>
      </c>
      <c r="O8" s="30" t="n">
        <f aca="false">'IV_V Database Fields'!D11</f>
        <v>1</v>
      </c>
      <c r="P8" s="31" t="n">
        <f aca="false">IF((O8=1),'IV_V Database Fields'!D12,'IV_V Database Fields'!D63)</f>
        <v>95</v>
      </c>
      <c r="Q8" s="7" t="n">
        <f aca="false">(N8/(P8/100))-N8</f>
        <v>3.94736842105263</v>
      </c>
      <c r="R8" s="20" t="n">
        <f aca="false">IF(L8/(N8+Q8)&gt;=1, 1, L8/(N8+Q8))</f>
        <v>0.711866666666667</v>
      </c>
      <c r="S8" s="7" t="n">
        <f aca="false">(-0.4508*R8^3)+(1.2399*R8^2)-(0.4301*R8)+0.641</f>
        <v>0.800528400751703</v>
      </c>
      <c r="T8" s="34" t="n">
        <f aca="false">S8*Q8</f>
        <v>3.15998052928304</v>
      </c>
      <c r="U8" s="34" t="n">
        <f aca="false">L8-T8</f>
        <v>53.040019470717</v>
      </c>
      <c r="V8" s="34" t="n">
        <f aca="false">((0.8*(0.25*$M8)^3/($M8)^3)+(0.2*0.25*$M8/$M8))*$U8</f>
        <v>3.31500121691981</v>
      </c>
      <c r="W8" s="34" t="n">
        <f aca="false">((0.8*(0.5*$M8)^3/($M8)^3)+(0.2*0.5*$M8/$M8))*$U8</f>
        <v>10.6080038941434</v>
      </c>
      <c r="X8" s="34" t="n">
        <f aca="false">((0.8*(0.75*$M8)^3/($M8)^3)+(0.2*0.75*$M8/$M8))*$U8</f>
        <v>25.8570094919745</v>
      </c>
      <c r="Y8" s="34" t="n">
        <f aca="false">IF(V8/$N8&gt;=1, 1, V8/$N8)</f>
        <v>0.0442000162255975</v>
      </c>
      <c r="Z8" s="34" t="n">
        <f aca="false">IF(W8/$N8&gt;=1, 1, W8/$N8)</f>
        <v>0.141440051921912</v>
      </c>
      <c r="AA8" s="34" t="n">
        <f aca="false">IF(X8/$N8&gt;=1, 1, X8/$N8)</f>
        <v>0.34476012655966</v>
      </c>
      <c r="AB8" s="34" t="n">
        <f aca="false">IF(U8/$N8&gt;=1, 1, U8/$N8)</f>
        <v>0.707200259609559</v>
      </c>
      <c r="AC8" s="7" t="n">
        <f aca="false">IF($N8&lt;=5, -0.4658, IF($N8&lt;=20,-1.3198, IF($N8&lt;=50,-1.5122, IF($N8&gt;50,-0.8914))))</f>
        <v>-0.8914</v>
      </c>
      <c r="AD8" s="7" t="n">
        <f aca="false">IF($N8&lt;=5, 1.4965, IF($N8&lt;=20,2.9551, IF($N8&lt;=50,3.0777, IF($N8&gt;50,2.8846))))</f>
        <v>2.8846</v>
      </c>
      <c r="AE8" s="7" t="n">
        <f aca="false">IF($N8&lt;=5, 0.5303, IF($N8&lt;=20,0.1502, IF($N8&lt;=50,0.1847, IF($N8&gt;50,0.2625))))</f>
        <v>0.2625</v>
      </c>
      <c r="AF8" s="34" t="n">
        <f aca="false">($AC8*Y8^2)+($AD8*Y8)+$AE8</f>
        <v>0.388257890829785</v>
      </c>
      <c r="AG8" s="34" t="n">
        <f aca="false">($AC8*Z8^2)+($AD8*Z8)+$AE8</f>
        <v>0.652665259794315</v>
      </c>
      <c r="AH8" s="34" t="n">
        <f aca="false">($AC8*AA8^2)+($AD8*AA8)+$AE8</f>
        <v>1.15104366278095</v>
      </c>
      <c r="AI8" s="34" t="n">
        <f aca="false">($AC8*AB8^2)+($AD8*AB8)+$AE8</f>
        <v>1.85667201937894</v>
      </c>
      <c r="AJ8" s="7" t="n">
        <f aca="false">AF8*$Q8</f>
        <v>1.53259693748599</v>
      </c>
      <c r="AK8" s="7" t="n">
        <f aca="false">AG8*$Q8</f>
        <v>2.57631023603019</v>
      </c>
      <c r="AL8" s="7" t="n">
        <f aca="false">AH8*$Q8</f>
        <v>4.54359340571427</v>
      </c>
      <c r="AM8" s="7" t="n">
        <f aca="false">AI8*$Q8</f>
        <v>7.32896849754844</v>
      </c>
      <c r="AN8" s="7" t="n">
        <f aca="false">V8+AJ8</f>
        <v>4.8475981544058</v>
      </c>
      <c r="AO8" s="7" t="n">
        <f aca="false">W8+AK8</f>
        <v>13.1843141301736</v>
      </c>
      <c r="AP8" s="7" t="n">
        <f aca="false">X8+AL8</f>
        <v>30.4006028976888</v>
      </c>
      <c r="AQ8" s="7" t="n">
        <f aca="false">U8+AM8</f>
        <v>60.3689879682654</v>
      </c>
      <c r="AR8" s="7" t="n">
        <f aca="false">(0.25*AN8)+(0.25*AO8)+(0.25*AP8)+(0.25*AQ8)</f>
        <v>27.2003757876334</v>
      </c>
      <c r="AS8" s="7" t="n">
        <f aca="false">AR8/I8</f>
        <v>0.45066353678506</v>
      </c>
      <c r="AT8" s="37" t="n">
        <f aca="false">(J8-AS8)*100</f>
        <v>54.933646321494</v>
      </c>
      <c r="AU8" s="94"/>
    </row>
    <row r="9" customFormat="false" ht="15" hidden="false" customHeight="false" outlineLevel="0" collapsed="false">
      <c r="A9" s="64" t="s">
        <v>373</v>
      </c>
      <c r="B9" s="117" t="n">
        <f aca="false">'IV_V Database Fields'!H3</f>
        <v>6</v>
      </c>
      <c r="C9" s="29" t="str">
        <f aca="false">'IV_V Database Fields'!H4</f>
        <v>B5</v>
      </c>
      <c r="D9" s="29" t="s">
        <v>112</v>
      </c>
      <c r="E9" s="29" t="s">
        <v>112</v>
      </c>
      <c r="F9" s="29" t="s">
        <v>112</v>
      </c>
      <c r="G9" s="30" t="str">
        <f aca="false">'IV_V Database Fields'!H5</f>
        <v>ESCC</v>
      </c>
      <c r="H9" s="30" t="n">
        <f aca="false">'IV_V Database Fields'!H14</f>
        <v>0.84</v>
      </c>
      <c r="I9" s="30" t="n">
        <f aca="false">'IV_V Database Fields'!H60</f>
        <v>66.1045</v>
      </c>
      <c r="J9" s="30" t="n">
        <f aca="false">'IV_V Database Fields'!H69</f>
        <v>-2.0557627684026</v>
      </c>
      <c r="K9" s="30" t="n">
        <f aca="false">'IV_V Database Fields'!H10</f>
        <v>3600</v>
      </c>
      <c r="L9" s="30" t="n">
        <f aca="false">'IV_V Database Fields'!H89</f>
        <v>56.2</v>
      </c>
      <c r="M9" s="30" t="n">
        <f aca="false">'IV_V Database Fields'!H94</f>
        <v>349.830508474576</v>
      </c>
      <c r="N9" s="30" t="n">
        <f aca="false">'IV_V Database Fields'!H13</f>
        <v>75</v>
      </c>
      <c r="O9" s="30" t="n">
        <f aca="false">'IV_V Database Fields'!H11</f>
        <v>1</v>
      </c>
      <c r="P9" s="31" t="n">
        <f aca="false">IF((O9=1),'IV_V Database Fields'!H12,'IV_V Database Fields'!H63)</f>
        <v>95</v>
      </c>
      <c r="Q9" s="7" t="n">
        <f aca="false">(N9/(P9/100))-N9</f>
        <v>3.94736842105263</v>
      </c>
      <c r="R9" s="20" t="n">
        <f aca="false">IF(L9/(N9+Q9)&gt;=1, 1, L9/(N9+Q9))</f>
        <v>0.711866666666667</v>
      </c>
      <c r="S9" s="7" t="n">
        <f aca="false">(-0.4508*R9^3)+(1.2399*R9^2)-(0.4301*R9)+0.641</f>
        <v>0.800528400751703</v>
      </c>
      <c r="T9" s="34" t="n">
        <f aca="false">S9*Q9</f>
        <v>3.15998052928304</v>
      </c>
      <c r="U9" s="34" t="n">
        <f aca="false">L9-T9</f>
        <v>53.040019470717</v>
      </c>
      <c r="V9" s="34" t="n">
        <f aca="false">((0.8*(0.25*$M9)^3/($M9)^3)+(0.2*0.25*$M9/$M9))*$U9</f>
        <v>3.31500121691981</v>
      </c>
      <c r="W9" s="34" t="n">
        <f aca="false">((0.8*(0.5*$M9)^3/($M9)^3)+(0.2*0.5*$M9/$M9))*$U9</f>
        <v>10.6080038941434</v>
      </c>
      <c r="X9" s="34" t="n">
        <f aca="false">((0.8*(0.75*$M9)^3/($M9)^3)+(0.2*0.75*$M9/$M9))*$U9</f>
        <v>25.8570094919745</v>
      </c>
      <c r="Y9" s="34" t="n">
        <f aca="false">IF(V9/$N9&gt;=1, 1, V9/$N9)</f>
        <v>0.0442000162255975</v>
      </c>
      <c r="Z9" s="34" t="n">
        <f aca="false">IF(W9/$N9&gt;=1, 1, W9/$N9)</f>
        <v>0.141440051921912</v>
      </c>
      <c r="AA9" s="34" t="n">
        <f aca="false">IF(X9/$N9&gt;=1, 1, X9/$N9)</f>
        <v>0.34476012655966</v>
      </c>
      <c r="AB9" s="34" t="n">
        <f aca="false">IF(U9/$N9&gt;=1, 1, U9/$N9)</f>
        <v>0.707200259609559</v>
      </c>
      <c r="AC9" s="7" t="n">
        <f aca="false">IF($N9&lt;=5, -0.4658, IF($N9&lt;=20,-1.3198, IF($N9&lt;=50,-1.5122, IF($N9&gt;50,-0.8914))))</f>
        <v>-0.8914</v>
      </c>
      <c r="AD9" s="7" t="n">
        <f aca="false">IF($N9&lt;=5, 1.4965, IF($N9&lt;=20,2.9551, IF($N9&lt;=50,3.0777, IF($N9&gt;50,2.8846))))</f>
        <v>2.8846</v>
      </c>
      <c r="AE9" s="7" t="n">
        <f aca="false">IF($N9&lt;=5, 0.5303, IF($N9&lt;=20,0.1502, IF($N9&lt;=50,0.1847, IF($N9&gt;50,0.2625))))</f>
        <v>0.2625</v>
      </c>
      <c r="AF9" s="34" t="n">
        <f aca="false">($AC9*Y9^2)+($AD9*Y9)+$AE9</f>
        <v>0.388257890829785</v>
      </c>
      <c r="AG9" s="34" t="n">
        <f aca="false">($AC9*Z9^2)+($AD9*Z9)+$AE9</f>
        <v>0.652665259794315</v>
      </c>
      <c r="AH9" s="34" t="n">
        <f aca="false">($AC9*AA9^2)+($AD9*AA9)+$AE9</f>
        <v>1.15104366278095</v>
      </c>
      <c r="AI9" s="34" t="n">
        <f aca="false">($AC9*AB9^2)+($AD9*AB9)+$AE9</f>
        <v>1.85667201937894</v>
      </c>
      <c r="AJ9" s="7" t="n">
        <f aca="false">AF9*$Q9</f>
        <v>1.53259693748599</v>
      </c>
      <c r="AK9" s="7" t="n">
        <f aca="false">AG9*$Q9</f>
        <v>2.57631023603019</v>
      </c>
      <c r="AL9" s="7" t="n">
        <f aca="false">AH9*$Q9</f>
        <v>4.54359340571427</v>
      </c>
      <c r="AM9" s="7" t="n">
        <f aca="false">AI9*$Q9</f>
        <v>7.32896849754844</v>
      </c>
      <c r="AN9" s="7" t="n">
        <f aca="false">V9+AJ9</f>
        <v>4.8475981544058</v>
      </c>
      <c r="AO9" s="7" t="n">
        <f aca="false">W9+AK9</f>
        <v>13.1843141301736</v>
      </c>
      <c r="AP9" s="7" t="n">
        <f aca="false">X9+AL9</f>
        <v>30.4006028976888</v>
      </c>
      <c r="AQ9" s="7" t="n">
        <f aca="false">U9+AM9</f>
        <v>60.3689879682654</v>
      </c>
      <c r="AR9" s="7" t="n">
        <f aca="false">(0.25*AN9)+(0.25*AO9)+(0.25*AP9)+(0.25*AQ9)</f>
        <v>27.2003757876334</v>
      </c>
      <c r="AS9" s="7" t="n">
        <f aca="false">AR9/I9</f>
        <v>0.411475403151577</v>
      </c>
      <c r="AT9" s="37" t="n">
        <f aca="false">(J9-AS9)*100</f>
        <v>-246.723817155418</v>
      </c>
      <c r="AU9" s="94"/>
    </row>
    <row r="10" customFormat="false" ht="15" hidden="false" customHeight="false" outlineLevel="0" collapsed="false">
      <c r="A10" s="64" t="s">
        <v>374</v>
      </c>
      <c r="B10" s="117" t="n">
        <f aca="false">'IV_V Database Fields'!F3</f>
        <v>4</v>
      </c>
      <c r="C10" s="29" t="str">
        <f aca="false">'IV_V Database Fields'!F4</f>
        <v>B4</v>
      </c>
      <c r="D10" s="29" t="s">
        <v>112</v>
      </c>
      <c r="E10" s="29" t="s">
        <v>112</v>
      </c>
      <c r="F10" s="29" t="s">
        <v>112</v>
      </c>
      <c r="G10" s="30" t="str">
        <f aca="false">'IV_V Database Fields'!F5</f>
        <v>ST</v>
      </c>
      <c r="H10" s="30" t="n">
        <f aca="false">'IV_V Database Fields'!F14</f>
        <v>0.83</v>
      </c>
      <c r="I10" s="30" t="n">
        <f aca="false">'IV_V Database Fields'!F60</f>
        <v>66.9009397590361</v>
      </c>
      <c r="J10" s="30" t="n">
        <f aca="false">'IV_V Database Fields'!F69</f>
        <v>-1.0557627684026</v>
      </c>
      <c r="K10" s="30" t="n">
        <f aca="false">'IV_V Database Fields'!F10</f>
        <v>3600</v>
      </c>
      <c r="L10" s="30" t="n">
        <f aca="false">'IV_V Database Fields'!F89</f>
        <v>56.2</v>
      </c>
      <c r="M10" s="30" t="n">
        <f aca="false">'IV_V Database Fields'!F94</f>
        <v>349.830508474576</v>
      </c>
      <c r="N10" s="30" t="n">
        <f aca="false">'IV_V Database Fields'!F13</f>
        <v>75</v>
      </c>
      <c r="O10" s="30" t="n">
        <f aca="false">'IV_V Database Fields'!F11</f>
        <v>0</v>
      </c>
      <c r="P10" s="31" t="n">
        <f aca="false">IF((O10=1),'IV_V Database Fields'!F12,'IV_V Database Fields'!F63)</f>
        <v>-81.5</v>
      </c>
      <c r="Q10" s="7" t="n">
        <f aca="false">(N10/(P10/100))-N10</f>
        <v>-167.024539877301</v>
      </c>
      <c r="R10" s="20" t="n">
        <f aca="false">IF(L10/(N10+Q10)&gt;=1, 1, L10/(N10+Q10))</f>
        <v>-0.610706666666666</v>
      </c>
      <c r="S10" s="7" t="n">
        <f aca="false">(-0.4508*R10^3)+(1.2399*R10^2)-(0.4301*R10)+0.641</f>
        <v>1.46878036704121</v>
      </c>
      <c r="T10" s="34" t="n">
        <f aca="false">S10*Q10</f>
        <v>-245.322364985871</v>
      </c>
      <c r="U10" s="34" t="n">
        <f aca="false">L10-T10</f>
        <v>301.522364985871</v>
      </c>
      <c r="V10" s="34" t="n">
        <f aca="false">((0.8*(0.25*$M10)^3/($M10)^3)+(0.2*0.25*$M10/$M10))*$U10</f>
        <v>18.845147811617</v>
      </c>
      <c r="W10" s="34" t="n">
        <f aca="false">((0.8*(0.5*$M10)^3/($M10)^3)+(0.2*0.5*$M10/$M10))*$U10</f>
        <v>60.3044729971743</v>
      </c>
      <c r="X10" s="34" t="n">
        <f aca="false">((0.8*(0.75*$M10)^3/($M10)^3)+(0.2*0.75*$M10/$M10))*$U10</f>
        <v>146.992152930612</v>
      </c>
      <c r="Y10" s="34" t="n">
        <f aca="false">IF(V10/$N10&gt;=1, 1, V10/$N10)</f>
        <v>0.251268637488226</v>
      </c>
      <c r="Z10" s="34" t="n">
        <f aca="false">IF(W10/$N10&gt;=1, 1, W10/$N10)</f>
        <v>0.804059639962324</v>
      </c>
      <c r="AA10" s="34" t="n">
        <f aca="false">IF(X10/$N10&gt;=1, 1, X10/$N10)</f>
        <v>1</v>
      </c>
      <c r="AB10" s="34" t="n">
        <f aca="false">IF(U10/$N10&gt;=1, 1, U10/$N10)</f>
        <v>1</v>
      </c>
      <c r="AC10" s="7" t="n">
        <f aca="false">IF($N10&lt;=5, -0.4658, IF($N10&lt;=20,-1.3198, IF($N10&lt;=50,-1.5122, IF($N10&gt;50,-0.8914))))</f>
        <v>-0.8914</v>
      </c>
      <c r="AD10" s="7" t="n">
        <f aca="false">IF($N10&lt;=5, 1.4965, IF($N10&lt;=20,2.9551, IF($N10&lt;=50,3.0777, IF($N10&gt;50,2.8846))))</f>
        <v>2.8846</v>
      </c>
      <c r="AE10" s="7" t="n">
        <f aca="false">IF($N10&lt;=5, 0.5303, IF($N10&lt;=20,0.1502, IF($N10&lt;=50,0.1847, IF($N10&gt;50,0.2625))))</f>
        <v>0.2625</v>
      </c>
      <c r="AF10" s="34" t="n">
        <f aca="false">($AC10*Y10^2)+($AD10*Y10)+$AE10</f>
        <v>0.931030145314259</v>
      </c>
      <c r="AG10" s="34" t="n">
        <f aca="false">($AC10*Z10^2)+($AD10*Z10)+$AE10</f>
        <v>2.00558972566031</v>
      </c>
      <c r="AH10" s="34" t="n">
        <f aca="false">($AC10*AA10^2)+($AD10*AA10)+$AE10</f>
        <v>2.2557</v>
      </c>
      <c r="AI10" s="34" t="n">
        <f aca="false">($AC10*AB10^2)+($AD10*AB10)+$AE10</f>
        <v>2.2557</v>
      </c>
      <c r="AJ10" s="7" t="n">
        <f aca="false">AF10*$Q10</f>
        <v>-155.50488163301</v>
      </c>
      <c r="AK10" s="7" t="n">
        <f aca="false">AG10*$Q10</f>
        <v>-334.982701111055</v>
      </c>
      <c r="AL10" s="7" t="n">
        <f aca="false">AH10*$Q10</f>
        <v>-376.757254601227</v>
      </c>
      <c r="AM10" s="7" t="n">
        <f aca="false">AI10*$Q10</f>
        <v>-376.757254601227</v>
      </c>
      <c r="AN10" s="7" t="n">
        <f aca="false">V10+AJ10</f>
        <v>-136.659733821394</v>
      </c>
      <c r="AO10" s="7" t="n">
        <f aca="false">W10+AK10</f>
        <v>-274.678228113881</v>
      </c>
      <c r="AP10" s="7" t="n">
        <f aca="false">X10+AL10</f>
        <v>-229.765101670615</v>
      </c>
      <c r="AQ10" s="7" t="n">
        <f aca="false">U10+AM10</f>
        <v>-75.2348896153557</v>
      </c>
      <c r="AR10" s="7" t="n">
        <f aca="false">(0.25*AN10)+(0.25*AO10)+(0.25*AP10)+(0.25*AQ10)</f>
        <v>-179.084488305311</v>
      </c>
      <c r="AS10" s="7" t="n">
        <f aca="false">AR10/I10</f>
        <v>-2.67686057849617</v>
      </c>
      <c r="AT10" s="37" t="n">
        <f aca="false">(J10-AS10)*100</f>
        <v>162.109781009357</v>
      </c>
    </row>
    <row r="11" customFormat="false" ht="15.75" hidden="false" customHeight="false" outlineLevel="0" collapsed="false">
      <c r="A11" s="174" t="s">
        <v>375</v>
      </c>
      <c r="B11" s="117" t="n">
        <f aca="false">'IV_V Database Fields'!I3</f>
        <v>7</v>
      </c>
      <c r="C11" s="29" t="str">
        <f aca="false">'IV_V Database Fields'!I4</f>
        <v>101</v>
      </c>
      <c r="D11" s="29" t="s">
        <v>112</v>
      </c>
      <c r="E11" s="29" t="s">
        <v>112</v>
      </c>
      <c r="F11" s="29" t="s">
        <v>112</v>
      </c>
      <c r="G11" s="30" t="str">
        <f aca="false">'IV_V Database Fields'!I5</f>
        <v>IL</v>
      </c>
      <c r="H11" s="30" t="n">
        <f aca="false">'IV_V Database Fields'!I14</f>
        <v>0.92</v>
      </c>
      <c r="I11" s="30" t="n">
        <f aca="false">'IV_V Database Fields'!I60</f>
        <v>41.102012576087</v>
      </c>
      <c r="J11" s="30" t="n">
        <f aca="false">'IV_V Database Fields'!I69</f>
        <v>1.14896043469693</v>
      </c>
      <c r="K11" s="30" t="n">
        <f aca="false">'IV_V Database Fields'!I10</f>
        <v>3600</v>
      </c>
      <c r="L11" s="43" t="n">
        <f aca="false">'IV_V Database Fields'!I90</f>
        <v>44.2496</v>
      </c>
      <c r="M11" s="43" t="n">
        <f aca="false">'IV_V Database Fields'!I96</f>
        <v>249.49</v>
      </c>
      <c r="N11" s="31" t="n">
        <f aca="false">'IV_V Database Fields'!I13</f>
        <v>50</v>
      </c>
      <c r="O11" s="30" t="n">
        <f aca="false">'IV_V Database Fields'!I11</f>
        <v>0</v>
      </c>
      <c r="P11" s="31" t="n">
        <f aca="false">IF((O11=1),'IV_V Database Fields'!I12,'IV_V Database Fields'!I63)</f>
        <v>93</v>
      </c>
      <c r="Q11" s="7" t="n">
        <f aca="false">(N11/(P11/100))-N11</f>
        <v>3.76344086021505</v>
      </c>
      <c r="R11" s="20" t="n">
        <f aca="false">IF(L11/(N11+Q11)&gt;=1, 1, L11/(N11+Q11))</f>
        <v>0.82304256</v>
      </c>
      <c r="S11" s="7" t="n">
        <f aca="false">(-0.4508*R11^3)+(1.2399*R11^2)-(0.4301*R11)+0.641</f>
        <v>0.875582747567087</v>
      </c>
      <c r="T11" s="34" t="n">
        <f aca="false">S11*Q11</f>
        <v>3.29520388869333</v>
      </c>
      <c r="U11" s="34" t="n">
        <f aca="false">L11-T11</f>
        <v>40.9543961113067</v>
      </c>
      <c r="V11" s="34" t="n">
        <f aca="false">((0.8*(0.25*$M11)^3/($M11)^3)+(0.2*0.25*$M11/$M11))*$U11</f>
        <v>2.55964975695667</v>
      </c>
      <c r="W11" s="34" t="n">
        <f aca="false">((0.8*(0.5*$M11)^3/($M11)^3)+(0.2*0.5*$M11/$M11))*$U11</f>
        <v>8.19087922226133</v>
      </c>
      <c r="X11" s="34" t="n">
        <f aca="false">((0.8*(0.75*$M11)^3/($M11)^3)+(0.2*0.75*$M11/$M11))*$U11</f>
        <v>19.965268104262</v>
      </c>
      <c r="Y11" s="34" t="n">
        <f aca="false">IF(V11/$N11&gt;=1, 1, V11/$N11)</f>
        <v>0.0511929951391333</v>
      </c>
      <c r="Z11" s="34" t="n">
        <f aca="false">IF(W11/$N11&gt;=1, 1, W11/$N11)</f>
        <v>0.163817584445227</v>
      </c>
      <c r="AA11" s="34" t="n">
        <f aca="false">IF(X11/$N11&gt;=1, 1, X11/$N11)</f>
        <v>0.39930536208524</v>
      </c>
      <c r="AB11" s="34" t="n">
        <f aca="false">IF(U11/$N11&gt;=1, 1, U11/$N11)</f>
        <v>0.819087922226133</v>
      </c>
      <c r="AC11" s="7" t="n">
        <f aca="false">IF($N11&lt;=5, -0.4658, IF($N11&lt;=20,-1.3198, IF($N11&lt;=50,-1.5122, IF($N11&gt;50,-0.8914))))</f>
        <v>-1.5122</v>
      </c>
      <c r="AD11" s="7" t="n">
        <f aca="false">IF($N11&lt;=5, 1.4965, IF($N11&lt;=20,2.9551, IF($N11&lt;=50,3.0777, IF($N11&gt;50,2.8846))))</f>
        <v>3.0777</v>
      </c>
      <c r="AE11" s="7" t="n">
        <f aca="false">IF($N11&lt;=5, 0.5303, IF($N11&lt;=20,0.1502, IF($N11&lt;=50,0.1847, IF($N11&gt;50,0.2625))))</f>
        <v>0.1847</v>
      </c>
      <c r="AF11" s="34" t="n">
        <f aca="false">($AC11*Y11^2)+($AD11*Y11)+$AE11</f>
        <v>0.338293624195172</v>
      </c>
      <c r="AG11" s="34" t="n">
        <f aca="false">($AC11*Z11^2)+($AD11*Z11)+$AE11</f>
        <v>0.648299676534994</v>
      </c>
      <c r="AH11" s="34" t="n">
        <f aca="false">($AC11*AA11^2)+($AD11*AA11)+$AE11</f>
        <v>1.17252972838399</v>
      </c>
      <c r="AI11" s="34" t="n">
        <f aca="false">($AC11*AB11^2)+($AD11*AB11)+$AE11</f>
        <v>1.69106432043338</v>
      </c>
      <c r="AJ11" s="7" t="n">
        <f aca="false">AF11*$Q11</f>
        <v>1.27314804804634</v>
      </c>
      <c r="AK11" s="7" t="n">
        <f aca="false">AG11*$Q11</f>
        <v>2.439837492336</v>
      </c>
      <c r="AL11" s="7" t="n">
        <f aca="false">AH11*$Q11</f>
        <v>4.41274628961715</v>
      </c>
      <c r="AM11" s="7" t="n">
        <f aca="false">AI11*$Q11</f>
        <v>6.36422056077076</v>
      </c>
      <c r="AN11" s="7" t="n">
        <f aca="false">V11+AJ11</f>
        <v>3.83279780500301</v>
      </c>
      <c r="AO11" s="7" t="n">
        <f aca="false">W11+AK11</f>
        <v>10.6307167145973</v>
      </c>
      <c r="AP11" s="7" t="n">
        <f aca="false">X11+AL11</f>
        <v>24.3780143938792</v>
      </c>
      <c r="AQ11" s="7" t="n">
        <f aca="false">U11+AM11</f>
        <v>47.3186166720774</v>
      </c>
      <c r="AR11" s="7" t="n">
        <f aca="false">(0.25*AN11)+(0.25*AO11)+(0.25*AP11)+(0.25*AQ11)</f>
        <v>21.5400363963892</v>
      </c>
      <c r="AS11" s="7" t="n">
        <f aca="false">AR11/I11</f>
        <v>0.524062814600986</v>
      </c>
      <c r="AT11" s="7" t="n">
        <f aca="false">(J11-AS11)*100</f>
        <v>62.4897620095944</v>
      </c>
    </row>
    <row r="12" customFormat="false" ht="15" hidden="false" customHeight="false" outlineLevel="0" collapsed="false">
      <c r="B12" s="0" t="s">
        <v>376</v>
      </c>
      <c r="P12" s="3" t="s">
        <v>366</v>
      </c>
    </row>
    <row r="14" customFormat="false" ht="15" hidden="false" customHeight="false" outlineLevel="0" collapsed="false">
      <c r="V14" s="39"/>
    </row>
    <row r="15" customFormat="false" ht="15" hidden="false" customHeight="false" outlineLevel="0" collapsed="false">
      <c r="A15" s="65"/>
      <c r="B15" s="65" t="s">
        <v>199</v>
      </c>
      <c r="C15" s="65"/>
      <c r="D15" s="65"/>
      <c r="E15" s="65"/>
      <c r="V15" s="39"/>
    </row>
    <row r="16" customFormat="false" ht="15" hidden="false" customHeight="false" outlineLevel="0" collapsed="false">
      <c r="V16" s="39"/>
    </row>
    <row r="17" customFormat="false" ht="15" hidden="false" customHeight="false" outlineLevel="0" collapsed="false">
      <c r="A17" s="71" t="s">
        <v>377</v>
      </c>
      <c r="B17" s="71"/>
      <c r="V17" s="94"/>
    </row>
  </sheetData>
  <mergeCells count="4">
    <mergeCell ref="B2:F2"/>
    <mergeCell ref="G2:P2"/>
    <mergeCell ref="Q2:AT2"/>
    <mergeCell ref="D7:F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W1048576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pane xSplit="1" ySplit="0" topLeftCell="E16" activePane="topRight" state="frozen"/>
      <selection pane="topLeft" activeCell="A16" activeCellId="0" sqref="A16"/>
      <selection pane="topRight" activeCell="E71" activeCellId="0" sqref="E71"/>
    </sheetView>
  </sheetViews>
  <sheetFormatPr defaultRowHeight="13.8" zeroHeight="false" outlineLevelRow="0" outlineLevelCol="0"/>
  <cols>
    <col collapsed="false" customWidth="true" hidden="false" outlineLevel="0" max="1" min="1" style="0" width="46.43"/>
    <col collapsed="false" customWidth="true" hidden="false" outlineLevel="0" max="4" min="2" style="0" width="28.57"/>
    <col collapsed="false" customWidth="true" hidden="false" outlineLevel="0" max="5" min="5" style="0" width="9.14"/>
    <col collapsed="false" customWidth="true" hidden="false" outlineLevel="0" max="10" min="6" style="0" width="28.57"/>
    <col collapsed="false" customWidth="true" hidden="false" outlineLevel="0" max="1025" min="11" style="0" width="8.53"/>
  </cols>
  <sheetData>
    <row r="1" customFormat="false" ht="15" hidden="false" customHeight="false" outlineLevel="0" collapsed="false">
      <c r="A1" s="175" t="s">
        <v>97</v>
      </c>
      <c r="B1" s="176" t="s">
        <v>363</v>
      </c>
      <c r="C1" s="176" t="s">
        <v>364</v>
      </c>
      <c r="D1" s="176" t="s">
        <v>372</v>
      </c>
      <c r="E1" s="176"/>
      <c r="F1" s="176" t="s">
        <v>374</v>
      </c>
      <c r="G1" s="176" t="s">
        <v>365</v>
      </c>
      <c r="H1" s="176" t="s">
        <v>373</v>
      </c>
      <c r="I1" s="140" t="s">
        <v>375</v>
      </c>
      <c r="J1" s="140" t="s">
        <v>378</v>
      </c>
    </row>
    <row r="2" customFormat="false" ht="15" hidden="false" customHeight="false" outlineLevel="0" collapsed="false">
      <c r="A2" s="177" t="s">
        <v>258</v>
      </c>
      <c r="B2" s="140" t="s">
        <v>202</v>
      </c>
      <c r="C2" s="140" t="s">
        <v>202</v>
      </c>
      <c r="D2" s="140" t="s">
        <v>202</v>
      </c>
      <c r="E2" s="140"/>
      <c r="F2" s="140" t="s">
        <v>202</v>
      </c>
      <c r="G2" s="140" t="s">
        <v>202</v>
      </c>
      <c r="H2" s="140" t="s">
        <v>202</v>
      </c>
      <c r="I2" s="140" t="s">
        <v>202</v>
      </c>
      <c r="J2" s="140" t="s">
        <v>202</v>
      </c>
    </row>
    <row r="3" s="179" customFormat="true" ht="15" hidden="false" customHeight="false" outlineLevel="0" collapsed="false">
      <c r="A3" s="178" t="s">
        <v>201</v>
      </c>
      <c r="B3" s="138" t="n">
        <v>1</v>
      </c>
      <c r="C3" s="138" t="n">
        <v>2</v>
      </c>
      <c r="D3" s="138" t="n">
        <v>3</v>
      </c>
      <c r="E3" s="138"/>
      <c r="F3" s="138" t="n">
        <v>4</v>
      </c>
      <c r="G3" s="138" t="n">
        <v>5</v>
      </c>
      <c r="H3" s="138" t="n">
        <v>6</v>
      </c>
      <c r="I3" s="138" t="n">
        <v>7</v>
      </c>
      <c r="J3" s="138" t="n">
        <v>8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</row>
    <row r="4" s="179" customFormat="true" ht="15" hidden="false" customHeight="false" outlineLevel="0" collapsed="false">
      <c r="A4" s="178" t="s">
        <v>200</v>
      </c>
      <c r="B4" s="138" t="s">
        <v>379</v>
      </c>
      <c r="C4" s="138" t="s">
        <v>380</v>
      </c>
      <c r="D4" s="138" t="s">
        <v>381</v>
      </c>
      <c r="E4" s="138"/>
      <c r="F4" s="138" t="s">
        <v>382</v>
      </c>
      <c r="G4" s="138" t="s">
        <v>383</v>
      </c>
      <c r="H4" s="138" t="s">
        <v>384</v>
      </c>
      <c r="I4" s="138" t="s">
        <v>385</v>
      </c>
      <c r="J4" s="138" t="s">
        <v>386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</row>
    <row r="5" customFormat="false" ht="15" hidden="false" customHeight="false" outlineLevel="0" collapsed="false">
      <c r="A5" s="178" t="s">
        <v>206</v>
      </c>
      <c r="B5" s="138" t="s">
        <v>387</v>
      </c>
      <c r="C5" s="138" t="s">
        <v>195</v>
      </c>
      <c r="D5" s="138" t="s">
        <v>387</v>
      </c>
      <c r="E5" s="138"/>
      <c r="F5" s="138" t="s">
        <v>195</v>
      </c>
      <c r="G5" s="138" t="s">
        <v>207</v>
      </c>
      <c r="H5" s="138" t="s">
        <v>208</v>
      </c>
      <c r="I5" s="138" t="s">
        <v>209</v>
      </c>
      <c r="J5" s="138" t="s">
        <v>209</v>
      </c>
    </row>
    <row r="6" customFormat="false" ht="15" hidden="false" customHeight="false" outlineLevel="0" collapsed="false">
      <c r="A6" s="177" t="s">
        <v>203</v>
      </c>
      <c r="B6" s="140" t="s">
        <v>388</v>
      </c>
      <c r="C6" s="140" t="s">
        <v>388</v>
      </c>
      <c r="D6" s="140" t="s">
        <v>388</v>
      </c>
      <c r="E6" s="140"/>
      <c r="F6" s="140" t="s">
        <v>388</v>
      </c>
      <c r="G6" s="140" t="s">
        <v>388</v>
      </c>
      <c r="H6" s="140" t="s">
        <v>388</v>
      </c>
      <c r="I6" s="140" t="s">
        <v>388</v>
      </c>
      <c r="J6" s="140" t="s">
        <v>388</v>
      </c>
    </row>
    <row r="7" customFormat="false" ht="15" hidden="false" customHeight="false" outlineLevel="0" collapsed="false">
      <c r="A7" s="177" t="s">
        <v>205</v>
      </c>
      <c r="B7" s="140" t="n">
        <v>6</v>
      </c>
      <c r="C7" s="140" t="n">
        <v>3</v>
      </c>
      <c r="D7" s="140" t="n">
        <v>6</v>
      </c>
      <c r="E7" s="140"/>
      <c r="F7" s="140" t="n">
        <v>3</v>
      </c>
      <c r="G7" s="140" t="n">
        <v>10</v>
      </c>
      <c r="H7" s="140" t="n">
        <v>10</v>
      </c>
      <c r="I7" s="140" t="n">
        <v>9.5</v>
      </c>
      <c r="J7" s="140" t="n">
        <v>9.5</v>
      </c>
    </row>
    <row r="8" customFormat="false" ht="15" hidden="false" customHeight="false" outlineLevel="0" collapsed="false">
      <c r="A8" s="177" t="s">
        <v>338</v>
      </c>
      <c r="B8" s="140" t="s">
        <v>389</v>
      </c>
      <c r="C8" s="140" t="s">
        <v>389</v>
      </c>
      <c r="D8" s="140" t="s">
        <v>300</v>
      </c>
      <c r="E8" s="140"/>
      <c r="F8" s="140" t="s">
        <v>300</v>
      </c>
      <c r="G8" s="140" t="s">
        <v>389</v>
      </c>
      <c r="H8" s="140" t="s">
        <v>300</v>
      </c>
      <c r="I8" s="140" t="s">
        <v>300</v>
      </c>
      <c r="J8" s="140" t="s">
        <v>389</v>
      </c>
    </row>
    <row r="9" customFormat="false" ht="15" hidden="false" customHeight="false" outlineLevel="0" collapsed="false">
      <c r="A9" s="177" t="s">
        <v>340</v>
      </c>
      <c r="B9" s="140" t="n">
        <v>3</v>
      </c>
      <c r="C9" s="140" t="n">
        <v>9</v>
      </c>
      <c r="D9" s="140" t="n">
        <v>3</v>
      </c>
      <c r="E9" s="140"/>
      <c r="F9" s="140" t="n">
        <v>9</v>
      </c>
      <c r="G9" s="140" t="n">
        <v>1</v>
      </c>
      <c r="H9" s="140" t="n">
        <v>1</v>
      </c>
      <c r="I9" s="140" t="n">
        <v>1</v>
      </c>
      <c r="J9" s="140" t="n">
        <v>1</v>
      </c>
    </row>
    <row r="10" customFormat="false" ht="15" hidden="false" customHeight="false" outlineLevel="0" collapsed="false">
      <c r="A10" s="178" t="s">
        <v>339</v>
      </c>
      <c r="B10" s="138" t="n">
        <v>1800</v>
      </c>
      <c r="C10" s="138" t="n">
        <v>3600</v>
      </c>
      <c r="D10" s="138" t="n">
        <v>1800</v>
      </c>
      <c r="E10" s="138"/>
      <c r="F10" s="138" t="n">
        <v>3600</v>
      </c>
      <c r="G10" s="138" t="n">
        <v>3600</v>
      </c>
      <c r="H10" s="138" t="n">
        <v>3600</v>
      </c>
      <c r="I10" s="138" t="n">
        <v>3600</v>
      </c>
      <c r="J10" s="138" t="n">
        <v>3600</v>
      </c>
    </row>
    <row r="11" customFormat="false" ht="15.75" hidden="false" customHeight="true" outlineLevel="0" collapsed="false">
      <c r="A11" s="178" t="s">
        <v>257</v>
      </c>
      <c r="B11" s="180" t="n">
        <f aca="false">TRUE()</f>
        <v>1</v>
      </c>
      <c r="C11" s="181" t="n">
        <f aca="false">FALSE()</f>
        <v>0</v>
      </c>
      <c r="D11" s="180" t="n">
        <f aca="false">TRUE()</f>
        <v>1</v>
      </c>
      <c r="E11" s="180"/>
      <c r="F11" s="182" t="n">
        <f aca="false">FALSE()</f>
        <v>0</v>
      </c>
      <c r="G11" s="180" t="n">
        <f aca="false">TRUE()</f>
        <v>1</v>
      </c>
      <c r="H11" s="180" t="n">
        <f aca="false">TRUE()</f>
        <v>1</v>
      </c>
      <c r="I11" s="182" t="n">
        <f aca="false">FALSE()</f>
        <v>0</v>
      </c>
      <c r="J11" s="182" t="n">
        <f aca="false">FALSE()</f>
        <v>0</v>
      </c>
    </row>
    <row r="12" customFormat="false" ht="15" hidden="false" customHeight="false" outlineLevel="0" collapsed="false">
      <c r="A12" s="178" t="s">
        <v>390</v>
      </c>
      <c r="B12" s="180" t="n">
        <v>95</v>
      </c>
      <c r="C12" s="181"/>
      <c r="D12" s="180" t="n">
        <v>95</v>
      </c>
      <c r="E12" s="180"/>
      <c r="F12" s="182"/>
      <c r="G12" s="180" t="n">
        <v>95</v>
      </c>
      <c r="H12" s="180" t="n">
        <v>95</v>
      </c>
      <c r="I12" s="182"/>
      <c r="J12" s="182"/>
    </row>
    <row r="13" customFormat="false" ht="15" hidden="false" customHeight="false" outlineLevel="0" collapsed="false">
      <c r="A13" s="178" t="s">
        <v>256</v>
      </c>
      <c r="B13" s="138" t="n">
        <v>75</v>
      </c>
      <c r="C13" s="138" t="n">
        <v>75</v>
      </c>
      <c r="D13" s="138" t="n">
        <v>75</v>
      </c>
      <c r="E13" s="138"/>
      <c r="F13" s="138" t="n">
        <v>75</v>
      </c>
      <c r="G13" s="138" t="n">
        <v>60</v>
      </c>
      <c r="H13" s="138" t="n">
        <v>75</v>
      </c>
      <c r="I13" s="138" t="n">
        <v>50</v>
      </c>
      <c r="J13" s="138" t="n">
        <v>50</v>
      </c>
      <c r="L13" s="76"/>
      <c r="M13" s="67"/>
    </row>
    <row r="14" customFormat="false" ht="15" hidden="false" customHeight="false" outlineLevel="0" collapsed="false">
      <c r="A14" s="178" t="s">
        <v>260</v>
      </c>
      <c r="B14" s="138" t="n">
        <v>0.92</v>
      </c>
      <c r="C14" s="138" t="n">
        <v>0.81</v>
      </c>
      <c r="D14" s="138" t="n">
        <v>0.92</v>
      </c>
      <c r="E14" s="138"/>
      <c r="F14" s="138" t="n">
        <v>0.83</v>
      </c>
      <c r="G14" s="138" t="n">
        <v>0.84</v>
      </c>
      <c r="H14" s="138" t="n">
        <v>0.84</v>
      </c>
      <c r="I14" s="138" t="n">
        <v>0.92</v>
      </c>
      <c r="J14" s="138" t="n">
        <v>0.92</v>
      </c>
    </row>
    <row r="15" customFormat="false" ht="15" hidden="false" customHeight="false" outlineLevel="0" collapsed="false">
      <c r="A15" s="177" t="s">
        <v>295</v>
      </c>
      <c r="B15" s="140" t="s">
        <v>391</v>
      </c>
      <c r="C15" s="140" t="s">
        <v>392</v>
      </c>
      <c r="D15" s="140" t="s">
        <v>391</v>
      </c>
      <c r="E15" s="140"/>
      <c r="F15" s="140" t="s">
        <v>303</v>
      </c>
      <c r="G15" s="140" t="s">
        <v>297</v>
      </c>
      <c r="H15" s="140" t="s">
        <v>393</v>
      </c>
      <c r="I15" s="140" t="s">
        <v>304</v>
      </c>
      <c r="J15" s="140" t="s">
        <v>304</v>
      </c>
    </row>
    <row r="16" customFormat="false" ht="15" hidden="false" customHeight="false" outlineLevel="0" collapsed="false">
      <c r="A16" s="177" t="s">
        <v>294</v>
      </c>
      <c r="B16" s="140" t="n">
        <v>8</v>
      </c>
      <c r="C16" s="140" t="n">
        <v>25</v>
      </c>
      <c r="D16" s="140" t="n">
        <v>8</v>
      </c>
      <c r="E16" s="140"/>
      <c r="F16" s="140" t="n">
        <v>23</v>
      </c>
      <c r="G16" s="140" t="n">
        <v>26</v>
      </c>
      <c r="H16" s="140" t="n">
        <v>26</v>
      </c>
      <c r="I16" s="140" t="n">
        <v>23</v>
      </c>
      <c r="J16" s="140" t="n">
        <v>23</v>
      </c>
    </row>
    <row r="17" customFormat="false" ht="15" hidden="false" customHeight="false" outlineLevel="0" collapsed="false">
      <c r="A17" s="177" t="s">
        <v>312</v>
      </c>
      <c r="B17" s="140" t="n">
        <v>0.904456072029882</v>
      </c>
      <c r="C17" s="140" t="n">
        <v>0.809900162793462</v>
      </c>
      <c r="D17" s="140" t="n">
        <v>0.921041452323829</v>
      </c>
      <c r="E17" s="140"/>
      <c r="F17" s="140" t="n">
        <v>0.824751632771337</v>
      </c>
      <c r="G17" s="140" t="n">
        <v>0.832666468981746</v>
      </c>
      <c r="H17" s="140" t="n">
        <v>0.850618244679584</v>
      </c>
      <c r="I17" s="140" t="n">
        <v>0.917768385695391</v>
      </c>
      <c r="J17" s="140" t="n">
        <v>0.917736836949575</v>
      </c>
      <c r="K17" s="0" t="n">
        <f aca="false">I17-J17</f>
        <v>3.15487458161234E-005</v>
      </c>
    </row>
    <row r="18" customFormat="false" ht="15" hidden="false" customHeight="false" outlineLevel="0" collapsed="false">
      <c r="A18" s="177" t="s">
        <v>313</v>
      </c>
      <c r="B18" s="140" t="n">
        <v>0.983104426119437</v>
      </c>
      <c r="C18" s="140" t="n">
        <v>0.999876744189459</v>
      </c>
      <c r="D18" s="140" t="n">
        <v>1.00113201339547</v>
      </c>
      <c r="E18" s="140"/>
      <c r="F18" s="140" t="n">
        <v>0.993676665989563</v>
      </c>
      <c r="G18" s="140" t="n">
        <v>0.99126960593065</v>
      </c>
      <c r="H18" s="140" t="n">
        <v>1.0126407674757</v>
      </c>
      <c r="I18" s="140" t="n">
        <v>0.997574332277599</v>
      </c>
      <c r="J18" s="140" t="n">
        <v>0.997540040162581</v>
      </c>
      <c r="K18" s="0" t="n">
        <f aca="false">I18-J18</f>
        <v>3.42921150173758E-005</v>
      </c>
    </row>
    <row r="19" customFormat="false" ht="15" hidden="false" customHeight="false" outlineLevel="0" collapsed="false">
      <c r="A19" s="177" t="s">
        <v>311</v>
      </c>
      <c r="B19" s="140" t="n">
        <v>1</v>
      </c>
      <c r="C19" s="140" t="n">
        <v>1.0557627684026</v>
      </c>
      <c r="D19" s="140" t="n">
        <v>1</v>
      </c>
      <c r="E19" s="140"/>
      <c r="F19" s="140" t="n">
        <v>1.0557627684026</v>
      </c>
      <c r="G19" s="140" t="n">
        <v>1.09713818168933</v>
      </c>
      <c r="H19" s="140" t="n">
        <v>1.09810740631239</v>
      </c>
      <c r="I19" s="140" t="n">
        <v>1.14896043469693</v>
      </c>
      <c r="J19" s="140" t="n">
        <v>1.14896043469693</v>
      </c>
      <c r="K19" s="0" t="n">
        <f aca="false">I19-J19</f>
        <v>0</v>
      </c>
    </row>
    <row r="20" customFormat="false" ht="15" hidden="false" customHeight="false" outlineLevel="0" collapsed="false">
      <c r="A20" s="177" t="s">
        <v>314</v>
      </c>
      <c r="B20" s="140" t="n">
        <v>60.2880357446464</v>
      </c>
      <c r="C20" s="140" t="n">
        <v>71.0809902116362</v>
      </c>
      <c r="D20" s="140" t="n">
        <v>60.2880357446464</v>
      </c>
      <c r="E20" s="140" t="n">
        <f aca="false">D20-B20</f>
        <v>0</v>
      </c>
      <c r="F20" s="140" t="n">
        <v>71.0809902116362</v>
      </c>
      <c r="G20" s="140" t="n">
        <v>71.847037611269</v>
      </c>
      <c r="H20" s="140" t="n">
        <v>71.6837040064355</v>
      </c>
      <c r="I20" s="140" t="n">
        <v>47.3394159295572</v>
      </c>
      <c r="J20" s="140" t="n">
        <v>47.3394159295572</v>
      </c>
      <c r="K20" s="0" t="n">
        <f aca="false">I20-J20</f>
        <v>0</v>
      </c>
    </row>
    <row r="21" customFormat="false" ht="15" hidden="false" customHeight="false" outlineLevel="0" collapsed="false">
      <c r="A21" s="177" t="s">
        <v>279</v>
      </c>
      <c r="B21" s="140" t="n">
        <v>62.0420678129536</v>
      </c>
      <c r="C21" s="140" t="n">
        <v>73.0306124515038</v>
      </c>
      <c r="D21" s="140" t="n">
        <v>62.0420678129536</v>
      </c>
      <c r="E21" s="140" t="n">
        <f aca="false">D21-B21</f>
        <v>0</v>
      </c>
      <c r="F21" s="140" t="n">
        <v>73.0306124515038</v>
      </c>
      <c r="G21" s="140" t="n">
        <v>73.8608280220863</v>
      </c>
      <c r="H21" s="140" t="n">
        <v>73.7692942840801</v>
      </c>
      <c r="I21" s="140" t="n">
        <v>52.9762861921543</v>
      </c>
      <c r="J21" s="140" t="n">
        <v>52.9762861921543</v>
      </c>
      <c r="K21" s="0" t="n">
        <f aca="false">I21-J21</f>
        <v>0</v>
      </c>
    </row>
    <row r="22" customFormat="false" ht="15" hidden="false" customHeight="false" outlineLevel="0" collapsed="false">
      <c r="A22" s="177" t="s">
        <v>278</v>
      </c>
      <c r="B22" s="140" t="n">
        <v>61.5000767815031</v>
      </c>
      <c r="C22" s="140" t="n">
        <v>72.4274080415728</v>
      </c>
      <c r="D22" s="140" t="n">
        <v>61.5000767815031</v>
      </c>
      <c r="E22" s="140" t="n">
        <f aca="false">D22-B22</f>
        <v>0</v>
      </c>
      <c r="F22" s="140" t="n">
        <v>72.4274080415728</v>
      </c>
      <c r="G22" s="140" t="n">
        <v>73.2389758900588</v>
      </c>
      <c r="H22" s="140" t="n">
        <v>73.1251086975178</v>
      </c>
      <c r="I22" s="140" t="n">
        <v>49.007409878623</v>
      </c>
      <c r="J22" s="140" t="n">
        <v>49.007409878623</v>
      </c>
      <c r="K22" s="0" t="n">
        <f aca="false">I22-J22</f>
        <v>0</v>
      </c>
    </row>
    <row r="23" customFormat="false" ht="15" hidden="false" customHeight="false" outlineLevel="0" collapsed="false">
      <c r="A23" s="177" t="s">
        <v>280</v>
      </c>
      <c r="B23" s="140" t="n">
        <v>57.3400508590277</v>
      </c>
      <c r="C23" s="140" t="n">
        <v>67.8062765715385</v>
      </c>
      <c r="D23" s="140" t="n">
        <v>57.3400508590277</v>
      </c>
      <c r="E23" s="140" t="n">
        <f aca="false">D23-B23</f>
        <v>0</v>
      </c>
      <c r="F23" s="140" t="n">
        <v>67.8062765715385</v>
      </c>
      <c r="G23" s="140" t="n">
        <v>68.4628651885718</v>
      </c>
      <c r="H23" s="140" t="n">
        <v>68.1782162996368</v>
      </c>
      <c r="I23" s="140" t="n">
        <v>40.0487549629977</v>
      </c>
      <c r="J23" s="140" t="n">
        <v>40.0487549629977</v>
      </c>
      <c r="K23" s="0" t="n">
        <f aca="false">I23-J23</f>
        <v>0</v>
      </c>
    </row>
    <row r="24" customFormat="false" ht="15" hidden="false" customHeight="false" outlineLevel="0" collapsed="false">
      <c r="A24" s="177" t="s">
        <v>285</v>
      </c>
      <c r="B24" s="140" t="n">
        <v>3.34629812123247</v>
      </c>
      <c r="C24" s="140" t="n">
        <v>14.419141610985</v>
      </c>
      <c r="D24" s="140" t="n">
        <v>3.34629812123247</v>
      </c>
      <c r="E24" s="140" t="n">
        <f aca="false">D24-B24</f>
        <v>0</v>
      </c>
      <c r="F24" s="140" t="n">
        <v>14.419141610985</v>
      </c>
      <c r="G24" s="140" t="n">
        <v>4.1025641025641</v>
      </c>
      <c r="H24" s="140" t="n">
        <v>4.83638308017134</v>
      </c>
      <c r="I24" s="140" t="n">
        <v>3.72410271786051</v>
      </c>
      <c r="J24" s="140" t="n">
        <v>3.72410271786051</v>
      </c>
      <c r="K24" s="0" t="n">
        <f aca="false">I24-J24</f>
        <v>0</v>
      </c>
    </row>
    <row r="25" customFormat="false" ht="15" hidden="false" customHeight="false" outlineLevel="0" collapsed="false">
      <c r="A25" s="177" t="s">
        <v>284</v>
      </c>
      <c r="B25" s="140" t="n">
        <v>3.32754387167637</v>
      </c>
      <c r="C25" s="140" t="n">
        <v>14.3384225104002</v>
      </c>
      <c r="D25" s="140" t="n">
        <v>3.32754387167637</v>
      </c>
      <c r="E25" s="140" t="n">
        <f aca="false">D25-B25</f>
        <v>0</v>
      </c>
      <c r="F25" s="140" t="n">
        <v>14.3384225104002</v>
      </c>
      <c r="G25" s="140" t="n">
        <v>4.1025641025641</v>
      </c>
      <c r="H25" s="140" t="n">
        <v>4.8066921124613</v>
      </c>
      <c r="I25" s="140" t="n">
        <v>3.52417435031936</v>
      </c>
      <c r="J25" s="140" t="n">
        <v>3.52417435031936</v>
      </c>
      <c r="K25" s="0" t="n">
        <f aca="false">I25-J25</f>
        <v>0</v>
      </c>
    </row>
    <row r="26" customFormat="false" ht="15" hidden="false" customHeight="false" outlineLevel="0" collapsed="false">
      <c r="A26" s="177" t="s">
        <v>286</v>
      </c>
      <c r="B26" s="140" t="n">
        <v>3.18621735490954</v>
      </c>
      <c r="C26" s="140" t="n">
        <v>13.7302187908937</v>
      </c>
      <c r="D26" s="140" t="n">
        <v>3.18621735490954</v>
      </c>
      <c r="E26" s="140" t="n">
        <f aca="false">D26-B26</f>
        <v>0</v>
      </c>
      <c r="F26" s="140" t="n">
        <v>13.7302187908937</v>
      </c>
      <c r="G26" s="140" t="n">
        <v>4.1025641025641</v>
      </c>
      <c r="H26" s="140" t="n">
        <v>4.57940132716433</v>
      </c>
      <c r="I26" s="140" t="n">
        <v>3.08073543812146</v>
      </c>
      <c r="J26" s="140" t="n">
        <v>3.08073543812146</v>
      </c>
      <c r="K26" s="0" t="n">
        <f aca="false">I26-J26</f>
        <v>0</v>
      </c>
    </row>
    <row r="27" customFormat="false" ht="15" hidden="false" customHeight="false" outlineLevel="0" collapsed="false">
      <c r="A27" s="177" t="s">
        <v>288</v>
      </c>
      <c r="B27" s="140" t="n">
        <v>0.847728857378892</v>
      </c>
      <c r="C27" s="140" t="n">
        <v>0.846962191924526</v>
      </c>
      <c r="D27" s="140" t="n">
        <v>0.847728857378892</v>
      </c>
      <c r="E27" s="140" t="n">
        <f aca="false">D27-B27</f>
        <v>0</v>
      </c>
      <c r="F27" s="140" t="n">
        <v>0.846962191924526</v>
      </c>
      <c r="G27" s="140" t="n">
        <v>1</v>
      </c>
      <c r="H27" s="140" t="n">
        <v>0.94309470063341</v>
      </c>
      <c r="I27" s="76" t="n">
        <v>0.989547293602936</v>
      </c>
      <c r="J27" s="76" t="n">
        <v>0.989547293602936</v>
      </c>
      <c r="K27" s="0" t="n">
        <f aca="false">I27-J27</f>
        <v>0</v>
      </c>
    </row>
    <row r="28" customFormat="false" ht="15" hidden="false" customHeight="false" outlineLevel="0" collapsed="false">
      <c r="A28" s="177" t="s">
        <v>287</v>
      </c>
      <c r="B28" s="140" t="n">
        <v>0.84297778082468</v>
      </c>
      <c r="C28" s="140" t="n">
        <v>0.842220853764046</v>
      </c>
      <c r="D28" s="140" t="n">
        <v>0.84297778082468</v>
      </c>
      <c r="E28" s="140" t="n">
        <f aca="false">D28-B28</f>
        <v>0</v>
      </c>
      <c r="F28" s="140" t="n">
        <v>0.842220853764046</v>
      </c>
      <c r="G28" s="140" t="n">
        <v>1</v>
      </c>
      <c r="H28" s="140" t="n">
        <v>0.937304961929951</v>
      </c>
      <c r="I28" s="76" t="n">
        <v>0.936423470227718</v>
      </c>
      <c r="J28" s="76" t="n">
        <v>0.936423470227718</v>
      </c>
      <c r="K28" s="0" t="n">
        <f aca="false">I28-J28</f>
        <v>0</v>
      </c>
    </row>
    <row r="29" customFormat="false" ht="15" hidden="false" customHeight="false" outlineLevel="0" collapsed="false">
      <c r="A29" s="177" t="s">
        <v>289</v>
      </c>
      <c r="B29" s="140" t="n">
        <v>0.807175063243751</v>
      </c>
      <c r="C29" s="140" t="n">
        <v>0.806495734384028</v>
      </c>
      <c r="D29" s="140" t="n">
        <v>0.807175063243751</v>
      </c>
      <c r="E29" s="140" t="n">
        <f aca="false">D29-B29</f>
        <v>0</v>
      </c>
      <c r="F29" s="140" t="n">
        <v>0.806495734384028</v>
      </c>
      <c r="G29" s="140" t="n">
        <v>1</v>
      </c>
      <c r="H29" s="140" t="n">
        <v>0.892983258797043</v>
      </c>
      <c r="I29" s="76" t="n">
        <v>0.818595416415132</v>
      </c>
      <c r="J29" s="76" t="n">
        <v>0.818595416415132</v>
      </c>
      <c r="K29" s="0" t="n">
        <f aca="false">I29-J29</f>
        <v>0</v>
      </c>
    </row>
    <row r="30" customFormat="false" ht="15" hidden="false" customHeight="false" outlineLevel="0" collapsed="false">
      <c r="A30" s="177" t="s">
        <v>282</v>
      </c>
      <c r="B30" s="140" t="n">
        <v>0.782610262556282</v>
      </c>
      <c r="C30" s="140" t="n">
        <v>0.781486277873584</v>
      </c>
      <c r="D30" s="140" t="n">
        <v>0.782610262556282</v>
      </c>
      <c r="E30" s="140" t="n">
        <f aca="false">D30-B30</f>
        <v>0</v>
      </c>
      <c r="F30" s="140" t="n">
        <v>0.781486277873584</v>
      </c>
      <c r="G30" s="140" t="n">
        <v>1</v>
      </c>
      <c r="H30" s="140" t="n">
        <v>0.919105482718783</v>
      </c>
      <c r="I30" s="76" t="n">
        <v>0.985043669485875</v>
      </c>
      <c r="J30" s="76" t="n">
        <v>0.985043669485875</v>
      </c>
      <c r="K30" s="0" t="n">
        <f aca="false">I30-J30</f>
        <v>0</v>
      </c>
    </row>
    <row r="31" customFormat="false" ht="15" hidden="false" customHeight="false" outlineLevel="0" collapsed="false">
      <c r="A31" s="177" t="s">
        <v>281</v>
      </c>
      <c r="B31" s="140" t="n">
        <v>0.775633772131023</v>
      </c>
      <c r="C31" s="140" t="n">
        <v>0.774519807082301</v>
      </c>
      <c r="D31" s="140" t="n">
        <v>0.775633772131023</v>
      </c>
      <c r="E31" s="140" t="n">
        <f aca="false">D31-B31</f>
        <v>0</v>
      </c>
      <c r="F31" s="140" t="n">
        <v>0.774519807082301</v>
      </c>
      <c r="G31" s="140" t="n">
        <v>1</v>
      </c>
      <c r="H31" s="140" t="n">
        <v>0.910912221134087</v>
      </c>
      <c r="I31" s="76" t="n">
        <v>0.909664710566072</v>
      </c>
      <c r="J31" s="76" t="n">
        <v>0.909664710566072</v>
      </c>
      <c r="K31" s="0" t="n">
        <f aca="false">I31-J31</f>
        <v>0</v>
      </c>
    </row>
    <row r="32" customFormat="false" ht="15" hidden="false" customHeight="false" outlineLevel="0" collapsed="false">
      <c r="A32" s="177" t="s">
        <v>283</v>
      </c>
      <c r="B32" s="140" t="n">
        <v>0.722051113388242</v>
      </c>
      <c r="C32" s="140" t="n">
        <v>0.72101410374193</v>
      </c>
      <c r="D32" s="140" t="n">
        <v>0.722051113388242</v>
      </c>
      <c r="E32" s="140" t="n">
        <f aca="false">D32-B32</f>
        <v>0</v>
      </c>
      <c r="F32" s="140" t="n">
        <v>0.72101410374193</v>
      </c>
      <c r="G32" s="140" t="n">
        <v>1</v>
      </c>
      <c r="H32" s="140" t="n">
        <v>0.847984199632967</v>
      </c>
      <c r="I32" s="76" t="n">
        <v>0.739360390497524</v>
      </c>
      <c r="J32" s="76" t="n">
        <v>0.739360390497524</v>
      </c>
      <c r="K32" s="0" t="n">
        <f aca="false">I32-J32</f>
        <v>0</v>
      </c>
    </row>
    <row r="33" customFormat="false" ht="15" hidden="false" customHeight="false" outlineLevel="0" collapsed="false">
      <c r="A33" s="177" t="s">
        <v>292</v>
      </c>
      <c r="B33" s="140" t="n">
        <v>58.6957696917212</v>
      </c>
      <c r="C33" s="140" t="n">
        <v>58.6114708405188</v>
      </c>
      <c r="D33" s="140" t="n">
        <v>58.6957696917212</v>
      </c>
      <c r="E33" s="140" t="n">
        <f aca="false">D33-B33</f>
        <v>0</v>
      </c>
      <c r="F33" s="140" t="n">
        <v>58.6114708405188</v>
      </c>
      <c r="G33" s="140" t="n">
        <v>69.7582639195222</v>
      </c>
      <c r="H33" s="140" t="n">
        <v>68.9329112039087</v>
      </c>
      <c r="I33" s="76" t="n">
        <v>49.2521834742938</v>
      </c>
      <c r="J33" s="76" t="n">
        <v>49.2521834742938</v>
      </c>
      <c r="K33" s="0" t="n">
        <f aca="false">I33-J33</f>
        <v>0</v>
      </c>
    </row>
    <row r="34" customFormat="false" ht="15" hidden="false" customHeight="false" outlineLevel="0" collapsed="false">
      <c r="A34" s="177" t="s">
        <v>291</v>
      </c>
      <c r="B34" s="140" t="n">
        <v>58.1725329098267</v>
      </c>
      <c r="C34" s="140" t="n">
        <v>58.0889855311726</v>
      </c>
      <c r="D34" s="140" t="n">
        <v>58.1725329098267</v>
      </c>
      <c r="E34" s="140" t="n">
        <f aca="false">D34-B34</f>
        <v>0</v>
      </c>
      <c r="F34" s="140" t="n">
        <v>58.0889855311726</v>
      </c>
      <c r="G34" s="140" t="n">
        <v>69.1364117874947</v>
      </c>
      <c r="H34" s="140" t="n">
        <v>68.3184165850565</v>
      </c>
      <c r="I34" s="76" t="n">
        <v>45.4832355283036</v>
      </c>
      <c r="J34" s="76" t="n">
        <v>45.4832355283036</v>
      </c>
      <c r="K34" s="0" t="n">
        <f aca="false">I34-J34</f>
        <v>0</v>
      </c>
    </row>
    <row r="35" customFormat="false" ht="15" hidden="false" customHeight="false" outlineLevel="0" collapsed="false">
      <c r="A35" s="177" t="s">
        <v>293</v>
      </c>
      <c r="B35" s="140" t="n">
        <v>54.1538335041182</v>
      </c>
      <c r="C35" s="140" t="n">
        <v>54.0760577806448</v>
      </c>
      <c r="D35" s="140" t="n">
        <v>54.1538335041182</v>
      </c>
      <c r="E35" s="140" t="n">
        <f aca="false">D35-B35</f>
        <v>0</v>
      </c>
      <c r="F35" s="140" t="n">
        <v>54.0760577806448</v>
      </c>
      <c r="G35" s="140" t="n">
        <v>64.3603010860077</v>
      </c>
      <c r="H35" s="140" t="n">
        <v>63.5988149724725</v>
      </c>
      <c r="I35" s="76" t="n">
        <v>36.9680195248762</v>
      </c>
      <c r="J35" s="76" t="n">
        <v>36.9680195248762</v>
      </c>
      <c r="K35" s="0" t="n">
        <f aca="false">I35-J35</f>
        <v>0</v>
      </c>
    </row>
    <row r="36" customFormat="false" ht="15" hidden="false" customHeight="false" outlineLevel="0" collapsed="false">
      <c r="A36" s="177" t="s">
        <v>290</v>
      </c>
      <c r="B36" s="140" t="n">
        <v>64.51924163383</v>
      </c>
      <c r="C36" s="140" t="n">
        <v>64.612037427421</v>
      </c>
      <c r="D36" s="140" t="n">
        <v>64.51924163383</v>
      </c>
      <c r="E36" s="140" t="n">
        <f aca="false">D36-B36</f>
        <v>0</v>
      </c>
      <c r="F36" s="140" t="n">
        <v>64.612037427421</v>
      </c>
      <c r="G36" s="140" t="n">
        <v>54.2875687387051</v>
      </c>
      <c r="H36" s="140" t="n">
        <v>54.9375687387052</v>
      </c>
      <c r="I36" s="76" t="n">
        <v>46.7497160793968</v>
      </c>
      <c r="J36" s="76" t="n">
        <v>46.7497160793968</v>
      </c>
      <c r="K36" s="0" t="n">
        <f aca="false">I36-J36</f>
        <v>0</v>
      </c>
    </row>
    <row r="37" customFormat="false" ht="15" hidden="false" customHeight="false" outlineLevel="0" collapsed="false">
      <c r="A37" s="177" t="s">
        <v>277</v>
      </c>
      <c r="B37" s="140" t="n">
        <v>129.63</v>
      </c>
      <c r="C37" s="140" t="n">
        <v>138.78</v>
      </c>
      <c r="D37" s="140" t="n">
        <v>129.63</v>
      </c>
      <c r="E37" s="140" t="n">
        <f aca="false">D37-B37</f>
        <v>0</v>
      </c>
      <c r="F37" s="140" t="n">
        <v>138.78</v>
      </c>
      <c r="G37" s="140" t="n">
        <v>136.59</v>
      </c>
      <c r="H37" s="140" t="n">
        <v>135.94</v>
      </c>
      <c r="I37" s="76" t="n">
        <v>141.01</v>
      </c>
      <c r="J37" s="76" t="n">
        <v>141.01</v>
      </c>
      <c r="K37" s="0" t="n">
        <f aca="false">I37-J37</f>
        <v>0</v>
      </c>
    </row>
    <row r="38" customFormat="false" ht="15" hidden="false" customHeight="false" outlineLevel="0" collapsed="false">
      <c r="A38" s="177" t="s">
        <v>394</v>
      </c>
      <c r="B38" s="140" t="n">
        <v>60.2880357446464</v>
      </c>
      <c r="C38" s="140" t="n">
        <v>67.3266687735011</v>
      </c>
      <c r="D38" s="140" t="n">
        <v>60.2880357446464</v>
      </c>
      <c r="E38" s="140" t="n">
        <f aca="false">D38-B38</f>
        <v>0</v>
      </c>
      <c r="F38" s="140" t="n">
        <v>67.3266687735011</v>
      </c>
      <c r="G38" s="140" t="n">
        <v>65.4858602228588</v>
      </c>
      <c r="H38" s="140" t="n">
        <v>65.2793193037101</v>
      </c>
      <c r="I38" s="76" t="n">
        <v>41.2019548280131</v>
      </c>
      <c r="J38" s="76" t="n">
        <v>41.2019548280131</v>
      </c>
      <c r="K38" s="0" t="n">
        <f aca="false">I38-J38</f>
        <v>0</v>
      </c>
    </row>
    <row r="39" customFormat="false" ht="15" hidden="false" customHeight="false" outlineLevel="0" collapsed="false">
      <c r="A39" s="177" t="s">
        <v>322</v>
      </c>
      <c r="B39" s="140" t="n">
        <v>62.0420678129536</v>
      </c>
      <c r="C39" s="140" t="n">
        <v>69.1567761355256</v>
      </c>
      <c r="D39" s="140" t="n">
        <v>62.0420678129536</v>
      </c>
      <c r="E39" s="140" t="n">
        <f aca="false">D39-B39</f>
        <v>0</v>
      </c>
      <c r="F39" s="140" t="n">
        <v>69.1567761355256</v>
      </c>
      <c r="G39" s="140" t="n">
        <v>67.3378335813911</v>
      </c>
      <c r="H39" s="140" t="n">
        <v>67.1726129098906</v>
      </c>
      <c r="I39" s="76" t="n">
        <v>46.0795570989169</v>
      </c>
      <c r="J39" s="76" t="n">
        <v>46.0795570989169</v>
      </c>
      <c r="K39" s="0" t="n">
        <f aca="false">I39-J39</f>
        <v>0</v>
      </c>
    </row>
    <row r="40" customFormat="false" ht="15" hidden="false" customHeight="false" outlineLevel="0" collapsed="false">
      <c r="A40" s="177" t="s">
        <v>321</v>
      </c>
      <c r="B40" s="140" t="n">
        <v>61.5000767815031</v>
      </c>
      <c r="C40" s="140" t="n">
        <v>68.5903310088492</v>
      </c>
      <c r="D40" s="140" t="n">
        <v>61.5000767815031</v>
      </c>
      <c r="E40" s="140" t="n">
        <f aca="false">D40-B40</f>
        <v>0</v>
      </c>
      <c r="F40" s="140" t="n">
        <v>68.5903310088492</v>
      </c>
      <c r="G40" s="140" t="n">
        <v>66.7741299434951</v>
      </c>
      <c r="H40" s="140" t="n">
        <v>66.5876197730286</v>
      </c>
      <c r="I40" s="76" t="n">
        <v>42.6411242923355</v>
      </c>
      <c r="J40" s="76" t="n">
        <v>42.6411242923355</v>
      </c>
      <c r="K40" s="0" t="n">
        <f aca="false">I40-J40</f>
        <v>0</v>
      </c>
    </row>
    <row r="41" customFormat="false" ht="15" hidden="false" customHeight="false" outlineLevel="0" collapsed="false">
      <c r="A41" s="177" t="s">
        <v>323</v>
      </c>
      <c r="B41" s="140" t="n">
        <v>57.3400508590277</v>
      </c>
      <c r="C41" s="140" t="n">
        <v>64.2530991967625</v>
      </c>
      <c r="D41" s="140" t="n">
        <v>57.3400508590277</v>
      </c>
      <c r="E41" s="140" t="n">
        <f aca="false">D41-B41</f>
        <v>0</v>
      </c>
      <c r="F41" s="140" t="n">
        <v>64.2530991967625</v>
      </c>
      <c r="G41" s="140" t="n">
        <v>62.3652648665291</v>
      </c>
      <c r="H41" s="140" t="n">
        <v>62.0973109825776</v>
      </c>
      <c r="I41" s="76" t="n">
        <v>34.8975449154176</v>
      </c>
      <c r="J41" s="76" t="n">
        <v>34.8975449154176</v>
      </c>
      <c r="K41" s="0" t="n">
        <f aca="false">I41-J41</f>
        <v>0</v>
      </c>
    </row>
    <row r="42" customFormat="false" ht="15" hidden="false" customHeight="false" outlineLevel="0" collapsed="false">
      <c r="A42" s="177" t="s">
        <v>328</v>
      </c>
      <c r="B42" s="140" t="n">
        <v>3.34629812123247</v>
      </c>
      <c r="C42" s="140" t="n">
        <v>13.9059156452192</v>
      </c>
      <c r="D42" s="140" t="n">
        <v>3.34629812123247</v>
      </c>
      <c r="E42" s="140" t="n">
        <f aca="false">D42-B42</f>
        <v>0</v>
      </c>
      <c r="F42" s="140" t="n">
        <v>13.9059156452192</v>
      </c>
      <c r="G42" s="140" t="n">
        <v>4.1025641025641</v>
      </c>
      <c r="H42" s="140" t="n">
        <v>4.53353187123576</v>
      </c>
      <c r="I42" s="76" t="n">
        <v>3.37670624704808</v>
      </c>
      <c r="J42" s="76" t="n">
        <v>3.37670624704808</v>
      </c>
      <c r="K42" s="0" t="n">
        <f aca="false">I42-J42</f>
        <v>0</v>
      </c>
    </row>
    <row r="43" customFormat="false" ht="15" hidden="false" customHeight="false" outlineLevel="0" collapsed="false">
      <c r="A43" s="177" t="s">
        <v>327</v>
      </c>
      <c r="B43" s="140" t="n">
        <v>3.32754387167637</v>
      </c>
      <c r="C43" s="140" t="n">
        <v>13.8319980480681</v>
      </c>
      <c r="D43" s="140" t="n">
        <v>3.32754387167637</v>
      </c>
      <c r="E43" s="140" t="n">
        <f aca="false">D43-B43</f>
        <v>0</v>
      </c>
      <c r="F43" s="140" t="n">
        <v>13.8319980480681</v>
      </c>
      <c r="G43" s="140" t="n">
        <v>4.1025641025641</v>
      </c>
      <c r="H43" s="140" t="n">
        <v>4.50692771803707</v>
      </c>
      <c r="I43" s="76" t="n">
        <v>3.20604373312944</v>
      </c>
      <c r="J43" s="76" t="n">
        <v>3.20604373312944</v>
      </c>
      <c r="K43" s="0" t="n">
        <f aca="false">I43-J43</f>
        <v>0</v>
      </c>
    </row>
    <row r="44" customFormat="false" ht="15" hidden="false" customHeight="false" outlineLevel="0" collapsed="false">
      <c r="A44" s="177" t="s">
        <v>329</v>
      </c>
      <c r="B44" s="140" t="n">
        <v>3.18621735490954</v>
      </c>
      <c r="C44" s="140" t="n">
        <v>13.2776044436315</v>
      </c>
      <c r="D44" s="140" t="n">
        <v>3.18621735490954</v>
      </c>
      <c r="E44" s="140" t="n">
        <f aca="false">D44-B44</f>
        <v>0</v>
      </c>
      <c r="F44" s="140" t="n">
        <v>13.2776044436315</v>
      </c>
      <c r="G44" s="140" t="n">
        <v>4.02320251808279</v>
      </c>
      <c r="H44" s="140" t="n">
        <v>4.30530342846721</v>
      </c>
      <c r="I44" s="76" t="n">
        <v>2.84536544435512</v>
      </c>
      <c r="J44" s="76" t="n">
        <v>2.84536544435512</v>
      </c>
      <c r="K44" s="0" t="n">
        <f aca="false">I44-J44</f>
        <v>0</v>
      </c>
    </row>
    <row r="45" customFormat="false" ht="15" hidden="false" customHeight="false" outlineLevel="0" collapsed="false">
      <c r="A45" s="177" t="s">
        <v>331</v>
      </c>
      <c r="B45" s="140" t="n">
        <v>0.847728857378892</v>
      </c>
      <c r="C45" s="140" t="n">
        <v>0.816815946007469</v>
      </c>
      <c r="D45" s="140" t="n">
        <v>0.847728857378892</v>
      </c>
      <c r="E45" s="140" t="n">
        <f aca="false">D45-B45</f>
        <v>0</v>
      </c>
      <c r="F45" s="140" t="n">
        <v>0.816815946007469</v>
      </c>
      <c r="G45" s="140" t="n">
        <v>1</v>
      </c>
      <c r="H45" s="140" t="n">
        <v>0.884038714890972</v>
      </c>
      <c r="I45" s="76" t="n">
        <v>0.897239088501348</v>
      </c>
      <c r="J45" s="76" t="n">
        <v>0.897239088501348</v>
      </c>
      <c r="K45" s="0" t="n">
        <f aca="false">I45-J45</f>
        <v>0</v>
      </c>
    </row>
    <row r="46" customFormat="false" ht="15" hidden="false" customHeight="false" outlineLevel="0" collapsed="false">
      <c r="A46" s="177" t="s">
        <v>330</v>
      </c>
      <c r="B46" s="140" t="n">
        <v>0.84297778082468</v>
      </c>
      <c r="C46" s="140" t="n">
        <v>0.812474119580215</v>
      </c>
      <c r="D46" s="140" t="n">
        <v>0.84297778082468</v>
      </c>
      <c r="E46" s="140" t="n">
        <f aca="false">D46-B46</f>
        <v>0</v>
      </c>
      <c r="F46" s="140" t="n">
        <v>0.812474119580215</v>
      </c>
      <c r="G46" s="140" t="n">
        <v>1</v>
      </c>
      <c r="H46" s="140" t="n">
        <v>0.878850905017227</v>
      </c>
      <c r="I46" s="76" t="n">
        <v>0.851891620517253</v>
      </c>
      <c r="J46" s="76" t="n">
        <v>0.851891620517253</v>
      </c>
      <c r="K46" s="0" t="n">
        <f aca="false">I46-J46</f>
        <v>0</v>
      </c>
    </row>
    <row r="47" customFormat="false" ht="15" hidden="false" customHeight="false" outlineLevel="0" collapsed="false">
      <c r="A47" s="177" t="s">
        <v>332</v>
      </c>
      <c r="B47" s="140" t="n">
        <v>0.807175063243751</v>
      </c>
      <c r="C47" s="140" t="n">
        <v>0.779909738490789</v>
      </c>
      <c r="D47" s="140" t="n">
        <v>0.807175063243751</v>
      </c>
      <c r="E47" s="140" t="n">
        <f aca="false">D47-B47</f>
        <v>0</v>
      </c>
      <c r="F47" s="140" t="n">
        <v>0.779909738490789</v>
      </c>
      <c r="G47" s="140" t="n">
        <v>0.980655613782681</v>
      </c>
      <c r="H47" s="140" t="n">
        <v>0.839534168551104</v>
      </c>
      <c r="I47" s="76" t="n">
        <v>0.756054246642932</v>
      </c>
      <c r="J47" s="76" t="n">
        <v>0.756054246642932</v>
      </c>
      <c r="K47" s="0" t="n">
        <f aca="false">I47-J47</f>
        <v>0</v>
      </c>
    </row>
    <row r="48" customFormat="false" ht="15" hidden="false" customHeight="false" outlineLevel="0" collapsed="false">
      <c r="A48" s="177" t="s">
        <v>325</v>
      </c>
      <c r="B48" s="140" t="n">
        <v>0.782610262556282</v>
      </c>
      <c r="C48" s="140" t="n">
        <v>0.736678139870752</v>
      </c>
      <c r="D48" s="140" t="n">
        <v>0.782610262556282</v>
      </c>
      <c r="E48" s="140" t="n">
        <f aca="false">D48-B48</f>
        <v>0</v>
      </c>
      <c r="F48" s="140" t="n">
        <v>0.736678139870752</v>
      </c>
      <c r="G48" s="140" t="n">
        <v>1</v>
      </c>
      <c r="H48" s="140" t="n">
        <v>0.835187747182064</v>
      </c>
      <c r="I48" s="76" t="n">
        <v>0.854057017037376</v>
      </c>
      <c r="J48" s="76" t="n">
        <v>0.854057017037376</v>
      </c>
      <c r="K48" s="0" t="n">
        <f aca="false">I48-J48</f>
        <v>0</v>
      </c>
    </row>
    <row r="49" customFormat="false" ht="15" hidden="false" customHeight="false" outlineLevel="0" collapsed="false">
      <c r="A49" s="177" t="s">
        <v>324</v>
      </c>
      <c r="B49" s="140" t="n">
        <v>0.775633772131023</v>
      </c>
      <c r="C49" s="140" t="n">
        <v>0.730111106143749</v>
      </c>
      <c r="D49" s="140" t="n">
        <v>0.775633772131023</v>
      </c>
      <c r="E49" s="140" t="n">
        <f aca="false">D49-B49</f>
        <v>0</v>
      </c>
      <c r="F49" s="140" t="n">
        <v>0.730111106143749</v>
      </c>
      <c r="G49" s="140" t="n">
        <v>1</v>
      </c>
      <c r="H49" s="140" t="n">
        <v>0.827742560733221</v>
      </c>
      <c r="I49" s="76" t="n">
        <v>0.78870161118412</v>
      </c>
      <c r="J49" s="76" t="n">
        <v>0.78870161118412</v>
      </c>
      <c r="K49" s="0" t="n">
        <f aca="false">I49-J49</f>
        <v>0</v>
      </c>
    </row>
    <row r="50" customFormat="false" ht="15" hidden="false" customHeight="false" outlineLevel="0" collapsed="false">
      <c r="A50" s="177" t="s">
        <v>326</v>
      </c>
      <c r="B50" s="140" t="n">
        <v>0.722051113388242</v>
      </c>
      <c r="C50" s="140" t="n">
        <v>0.679673263375079</v>
      </c>
      <c r="D50" s="140" t="n">
        <v>0.722051113388242</v>
      </c>
      <c r="E50" s="140" t="n">
        <f aca="false">D50-B50</f>
        <v>0</v>
      </c>
      <c r="F50" s="140" t="n">
        <v>0.679673263375079</v>
      </c>
      <c r="G50" s="140" t="n">
        <v>0.972367705807439</v>
      </c>
      <c r="H50" s="140" t="n">
        <v>0.770560100721472</v>
      </c>
      <c r="I50" s="76" t="n">
        <v>0.64104358942125</v>
      </c>
      <c r="J50" s="76" t="n">
        <v>0.64104358942125</v>
      </c>
      <c r="K50" s="0" t="n">
        <f aca="false">I50-J50</f>
        <v>0</v>
      </c>
    </row>
    <row r="51" customFormat="false" ht="15" hidden="false" customHeight="false" outlineLevel="0" collapsed="false">
      <c r="A51" s="177" t="s">
        <v>335</v>
      </c>
      <c r="B51" s="140" t="n">
        <v>58.6957696917212</v>
      </c>
      <c r="C51" s="140" t="n">
        <v>55.2508604903064</v>
      </c>
      <c r="D51" s="140" t="n">
        <v>58.6957696917212</v>
      </c>
      <c r="E51" s="140" t="n">
        <f aca="false">D51-B51</f>
        <v>0</v>
      </c>
      <c r="F51" s="140" t="n">
        <v>55.2508604903064</v>
      </c>
      <c r="G51" s="140" t="n">
        <v>63.235269478827</v>
      </c>
      <c r="H51" s="140" t="n">
        <v>62.6390810386548</v>
      </c>
      <c r="I51" s="76" t="n">
        <v>42.7028508518688</v>
      </c>
      <c r="J51" s="76" t="n">
        <v>42.7028508518688</v>
      </c>
      <c r="K51" s="0" t="n">
        <f aca="false">I51-J51</f>
        <v>0</v>
      </c>
    </row>
    <row r="52" customFormat="false" ht="15" hidden="false" customHeight="false" outlineLevel="0" collapsed="false">
      <c r="A52" s="177" t="s">
        <v>334</v>
      </c>
      <c r="B52" s="140" t="n">
        <v>58.1725329098267</v>
      </c>
      <c r="C52" s="140" t="n">
        <v>54.7583329607811</v>
      </c>
      <c r="D52" s="140" t="n">
        <v>58.1725329098267</v>
      </c>
      <c r="E52" s="140" t="n">
        <f aca="false">D52-B52</f>
        <v>0</v>
      </c>
      <c r="F52" s="140" t="n">
        <v>54.7583329607811</v>
      </c>
      <c r="G52" s="140" t="n">
        <v>62.671565840931</v>
      </c>
      <c r="H52" s="140" t="n">
        <v>62.0806920549916</v>
      </c>
      <c r="I52" s="76" t="n">
        <v>39.435080559206</v>
      </c>
      <c r="J52" s="76" t="n">
        <v>39.435080559206</v>
      </c>
      <c r="K52" s="0" t="n">
        <f aca="false">I52-J52</f>
        <v>0</v>
      </c>
    </row>
    <row r="53" customFormat="false" ht="15" hidden="false" customHeight="false" outlineLevel="0" collapsed="false">
      <c r="A53" s="177" t="s">
        <v>336</v>
      </c>
      <c r="B53" s="140" t="n">
        <v>54.1538335041182</v>
      </c>
      <c r="C53" s="140" t="n">
        <v>50.9754947531309</v>
      </c>
      <c r="D53" s="140" t="n">
        <v>54.1538335041182</v>
      </c>
      <c r="E53" s="140" t="n">
        <f aca="false">D53-B53</f>
        <v>0</v>
      </c>
      <c r="F53" s="140" t="n">
        <v>50.9754947531309</v>
      </c>
      <c r="G53" s="140" t="n">
        <v>58.3420623484463</v>
      </c>
      <c r="H53" s="140" t="n">
        <v>57.7920075541104</v>
      </c>
      <c r="I53" s="76" t="n">
        <v>32.0521794710625</v>
      </c>
      <c r="J53" s="76" t="n">
        <v>32.0521794710625</v>
      </c>
      <c r="K53" s="0" t="n">
        <f aca="false">I53-J53</f>
        <v>0</v>
      </c>
    </row>
    <row r="54" customFormat="false" ht="15" hidden="false" customHeight="false" outlineLevel="0" collapsed="false">
      <c r="A54" s="177" t="s">
        <v>307</v>
      </c>
      <c r="B54" s="140" t="n">
        <v>37.3020144940944</v>
      </c>
      <c r="C54" s="140" t="n">
        <v>37.3020144940944</v>
      </c>
      <c r="D54" s="140" t="n">
        <v>37.3020144940944</v>
      </c>
      <c r="E54" s="140" t="n">
        <f aca="false">D54-B54</f>
        <v>0</v>
      </c>
      <c r="F54" s="140" t="n">
        <v>37.3020144940944</v>
      </c>
      <c r="G54" s="140" t="n">
        <v>37.3020144940944</v>
      </c>
      <c r="H54" s="140" t="n">
        <v>37.3020144940944</v>
      </c>
      <c r="I54" s="76" t="n">
        <v>22.6798770980789</v>
      </c>
      <c r="J54" s="76" t="n">
        <v>22.6798770980789</v>
      </c>
      <c r="K54" s="0" t="n">
        <f aca="false">I54-J54</f>
        <v>0</v>
      </c>
    </row>
    <row r="55" customFormat="false" ht="15" hidden="false" customHeight="false" outlineLevel="0" collapsed="false">
      <c r="A55" s="177" t="s">
        <v>306</v>
      </c>
      <c r="B55" s="140" t="n">
        <v>37.5324770726104</v>
      </c>
      <c r="C55" s="140" t="n">
        <v>37.5324770726104</v>
      </c>
      <c r="D55" s="140" t="n">
        <v>37.5324770726104</v>
      </c>
      <c r="E55" s="140" t="n">
        <f aca="false">D55-B55</f>
        <v>0</v>
      </c>
      <c r="F55" s="140" t="n">
        <v>37.5324770726104</v>
      </c>
      <c r="G55" s="140" t="n">
        <v>37.5324770726104</v>
      </c>
      <c r="H55" s="140" t="n">
        <v>37.5324770726104</v>
      </c>
      <c r="I55" s="76" t="n">
        <v>21.2632834732053</v>
      </c>
      <c r="J55" s="76" t="n">
        <v>21.2632834732053</v>
      </c>
      <c r="K55" s="0" t="n">
        <f aca="false">I55-J55</f>
        <v>0</v>
      </c>
    </row>
    <row r="56" customFormat="false" ht="15" hidden="false" customHeight="false" outlineLevel="0" collapsed="false">
      <c r="A56" s="177" t="s">
        <v>308</v>
      </c>
      <c r="B56" s="140" t="n">
        <v>33.0878416298013</v>
      </c>
      <c r="C56" s="140" t="n">
        <v>33.0878416298013</v>
      </c>
      <c r="D56" s="140" t="n">
        <v>33.0878416298013</v>
      </c>
      <c r="E56" s="140" t="n">
        <f aca="false">D56-B56</f>
        <v>0</v>
      </c>
      <c r="F56" s="140" t="n">
        <v>33.0878416298013</v>
      </c>
      <c r="G56" s="140" t="n">
        <v>33.0878416298013</v>
      </c>
      <c r="H56" s="140" t="n">
        <v>33.0878416298013</v>
      </c>
      <c r="I56" s="76" t="n">
        <v>16.3664746271486</v>
      </c>
      <c r="J56" s="76" t="n">
        <v>16.3664746271486</v>
      </c>
      <c r="K56" s="0" t="n">
        <f aca="false">I56-J56</f>
        <v>0</v>
      </c>
    </row>
    <row r="57" customFormat="false" ht="15" hidden="false" customHeight="false" outlineLevel="0" collapsed="false">
      <c r="A57" s="177" t="s">
        <v>333</v>
      </c>
      <c r="B57" s="140" t="n">
        <v>64.51924163383</v>
      </c>
      <c r="C57" s="140" t="n">
        <v>68.542037427421</v>
      </c>
      <c r="D57" s="140" t="n">
        <v>64.51924163383</v>
      </c>
      <c r="E57" s="140" t="n">
        <f aca="false">D57-B57</f>
        <v>0</v>
      </c>
      <c r="F57" s="140" t="n">
        <v>68.542037427421</v>
      </c>
      <c r="G57" s="140" t="n">
        <v>59.8875687387051</v>
      </c>
      <c r="H57" s="140" t="n">
        <v>60.4575687387052</v>
      </c>
      <c r="I57" s="76" t="n">
        <v>53.9197160793967</v>
      </c>
      <c r="J57" s="76" t="n">
        <v>53.9197160793967</v>
      </c>
      <c r="K57" s="0" t="n">
        <f aca="false">I57-J57</f>
        <v>0</v>
      </c>
    </row>
    <row r="58" customFormat="false" ht="15" hidden="false" customHeight="false" outlineLevel="0" collapsed="false">
      <c r="A58" s="177" t="s">
        <v>320</v>
      </c>
      <c r="B58" s="140" t="n">
        <v>129.63</v>
      </c>
      <c r="C58" s="140" t="n">
        <v>134.85</v>
      </c>
      <c r="D58" s="140" t="n">
        <v>129.63</v>
      </c>
      <c r="E58" s="140" t="n">
        <f aca="false">D58-B58</f>
        <v>0</v>
      </c>
      <c r="F58" s="140" t="n">
        <v>134.85</v>
      </c>
      <c r="G58" s="140" t="n">
        <v>130.99</v>
      </c>
      <c r="H58" s="140" t="n">
        <v>130.42</v>
      </c>
      <c r="I58" s="76" t="n">
        <v>133.84</v>
      </c>
      <c r="J58" s="76" t="n">
        <v>133.84</v>
      </c>
      <c r="K58" s="0" t="n">
        <f aca="false">I58-J58</f>
        <v>0</v>
      </c>
    </row>
    <row r="59" customFormat="false" ht="15" hidden="false" customHeight="false" outlineLevel="0" collapsed="false">
      <c r="A59" s="177" t="s">
        <v>310</v>
      </c>
      <c r="B59" s="140" t="n">
        <v>0.92</v>
      </c>
      <c r="C59" s="140" t="n">
        <v>0.81</v>
      </c>
      <c r="D59" s="140" t="n">
        <v>0.92</v>
      </c>
      <c r="E59" s="140" t="n">
        <f aca="false">D59-B59</f>
        <v>0</v>
      </c>
      <c r="F59" s="140" t="n">
        <v>0.83</v>
      </c>
      <c r="G59" s="140" t="n">
        <v>0.84</v>
      </c>
      <c r="H59" s="140" t="n">
        <v>0.84</v>
      </c>
      <c r="I59" s="76" t="n">
        <v>0.92</v>
      </c>
      <c r="J59" s="76" t="n">
        <v>0.92</v>
      </c>
      <c r="K59" s="0" t="n">
        <f aca="false">I59-J59</f>
        <v>0</v>
      </c>
    </row>
    <row r="60" customFormat="false" ht="15" hidden="false" customHeight="false" outlineLevel="0" collapsed="false">
      <c r="A60" s="178" t="s">
        <v>316</v>
      </c>
      <c r="B60" s="138" t="n">
        <v>59.2694347826087</v>
      </c>
      <c r="C60" s="138" t="n">
        <v>67.3183703703704</v>
      </c>
      <c r="D60" s="138" t="n">
        <v>60.3562826086956</v>
      </c>
      <c r="E60" s="140" t="n">
        <f aca="false">D60-B60</f>
        <v>1.08684782608695</v>
      </c>
      <c r="F60" s="138" t="n">
        <v>66.9009397590361</v>
      </c>
      <c r="G60" s="138" t="n">
        <v>64.9141428571429</v>
      </c>
      <c r="H60" s="138" t="n">
        <v>66.1045</v>
      </c>
      <c r="I60" s="138" t="n">
        <v>41.102012576087</v>
      </c>
      <c r="J60" s="137" t="n">
        <v>41.100599673913</v>
      </c>
      <c r="K60" s="0" t="n">
        <f aca="false">I60-J60</f>
        <v>0.00141290217390377</v>
      </c>
    </row>
    <row r="61" customFormat="false" ht="15" hidden="false" customHeight="false" outlineLevel="0" collapsed="false">
      <c r="A61" s="178" t="s">
        <v>315</v>
      </c>
      <c r="B61" s="138" t="n">
        <v>54.52788</v>
      </c>
      <c r="C61" s="138" t="n">
        <v>54.52788</v>
      </c>
      <c r="D61" s="138" t="n">
        <v>55.52778</v>
      </c>
      <c r="E61" s="140" t="n">
        <f aca="false">D61-B61</f>
        <v>0.999899999999997</v>
      </c>
      <c r="F61" s="138" t="n">
        <v>55.52778</v>
      </c>
      <c r="G61" s="138" t="n">
        <v>54.52788</v>
      </c>
      <c r="H61" s="138" t="n">
        <v>55.52778</v>
      </c>
      <c r="I61" s="138" t="n">
        <v>37.81385157</v>
      </c>
      <c r="J61" s="137" t="n">
        <v>37.8125517</v>
      </c>
      <c r="K61" s="0" t="n">
        <f aca="false">I61-J61</f>
        <v>0.00129986999999687</v>
      </c>
    </row>
    <row r="62" customFormat="false" ht="15" hidden="false" customHeight="false" outlineLevel="0" collapsed="false">
      <c r="A62" s="177" t="s">
        <v>305</v>
      </c>
      <c r="B62" s="140" t="n">
        <v>3.94736842105263</v>
      </c>
      <c r="C62" s="140" t="n">
        <v>17.0245398773006</v>
      </c>
      <c r="D62" s="140" t="n">
        <v>3.94736842105263</v>
      </c>
      <c r="E62" s="140" t="n">
        <f aca="false">D62-B62</f>
        <v>0</v>
      </c>
      <c r="F62" s="140" t="n">
        <v>17.0245398773006</v>
      </c>
      <c r="G62" s="140" t="n">
        <v>4.1025641025641</v>
      </c>
      <c r="H62" s="140" t="n">
        <v>5.12820512820514</v>
      </c>
      <c r="I62" s="76" t="n">
        <v>3.76344086021505</v>
      </c>
      <c r="J62" s="76" t="n">
        <v>3.76344086021505</v>
      </c>
      <c r="K62" s="0" t="n">
        <f aca="false">I62-J62</f>
        <v>0</v>
      </c>
    </row>
    <row r="63" customFormat="false" ht="15" hidden="false" customHeight="false" outlineLevel="0" collapsed="false">
      <c r="A63" s="178" t="s">
        <v>109</v>
      </c>
      <c r="B63" s="73" t="n">
        <v>95</v>
      </c>
      <c r="C63" s="138" t="n">
        <v>81.5</v>
      </c>
      <c r="D63" s="73" t="n">
        <v>95</v>
      </c>
      <c r="E63" s="140" t="n">
        <f aca="false">D63-B63</f>
        <v>0</v>
      </c>
      <c r="F63" s="140" t="n">
        <f aca="false">E63-C63</f>
        <v>-81.5</v>
      </c>
      <c r="G63" s="140" t="n">
        <f aca="false">F63-D63</f>
        <v>-176.5</v>
      </c>
      <c r="H63" s="140" t="n">
        <f aca="false">G63-E63</f>
        <v>-176.5</v>
      </c>
      <c r="I63" s="138" t="n">
        <v>93</v>
      </c>
      <c r="J63" s="138" t="n">
        <v>93</v>
      </c>
      <c r="K63" s="0" t="n">
        <f aca="false">I63-J63</f>
        <v>0</v>
      </c>
    </row>
    <row r="64" customFormat="false" ht="15" hidden="false" customHeight="false" outlineLevel="0" collapsed="false">
      <c r="A64" s="177" t="s">
        <v>309</v>
      </c>
      <c r="B64" s="140" t="n">
        <v>820.706578533983</v>
      </c>
      <c r="C64" s="140" t="n">
        <v>3741.61287491485</v>
      </c>
      <c r="D64" s="140" t="n">
        <v>820.706578533983</v>
      </c>
      <c r="E64" s="140" t="n">
        <f aca="false">D64-B64</f>
        <v>0</v>
      </c>
      <c r="F64" s="140" t="n">
        <f aca="false">E64-C64</f>
        <v>-3741.61287491485</v>
      </c>
      <c r="G64" s="140" t="n">
        <f aca="false">F64-D64</f>
        <v>-4562.31945344883</v>
      </c>
      <c r="H64" s="140" t="n">
        <f aca="false">G64-E64</f>
        <v>-4562.31945344883</v>
      </c>
      <c r="I64" s="76" t="n">
        <v>688.566983696257</v>
      </c>
      <c r="J64" s="76" t="n">
        <v>688.566983696257</v>
      </c>
      <c r="K64" s="0" t="n">
        <f aca="false">I64-J64</f>
        <v>0</v>
      </c>
    </row>
    <row r="65" customFormat="false" ht="15" hidden="false" customHeight="false" outlineLevel="0" collapsed="false">
      <c r="A65" s="177" t="s">
        <v>337</v>
      </c>
      <c r="B65" s="140" t="n">
        <f aca="false">TRUE()</f>
        <v>1</v>
      </c>
      <c r="C65" s="140" t="n">
        <f aca="false">TRUE()</f>
        <v>1</v>
      </c>
      <c r="D65" s="140" t="n">
        <f aca="false">TRUE()</f>
        <v>1</v>
      </c>
      <c r="E65" s="140" t="n">
        <f aca="false">D65-B65</f>
        <v>0</v>
      </c>
      <c r="F65" s="140" t="n">
        <f aca="false">E65-C65</f>
        <v>-1</v>
      </c>
      <c r="G65" s="140" t="n">
        <f aca="false">F65-D65</f>
        <v>-2</v>
      </c>
      <c r="H65" s="140" t="n">
        <f aca="false">G65-E65</f>
        <v>-2</v>
      </c>
      <c r="I65" s="76" t="n">
        <f aca="false">TRUE()</f>
        <v>1</v>
      </c>
      <c r="J65" s="76" t="n">
        <f aca="false">TRUE()</f>
        <v>1</v>
      </c>
      <c r="K65" s="0" t="n">
        <f aca="false">I65-J65</f>
        <v>0</v>
      </c>
    </row>
    <row r="66" customFormat="false" ht="15" hidden="false" customHeight="false" outlineLevel="0" collapsed="false">
      <c r="A66" s="177" t="s">
        <v>318</v>
      </c>
      <c r="B66" s="140" t="n">
        <v>5</v>
      </c>
      <c r="C66" s="140" t="n">
        <v>5</v>
      </c>
      <c r="D66" s="140" t="n">
        <v>4</v>
      </c>
      <c r="E66" s="140" t="n">
        <f aca="false">D66-B66</f>
        <v>-1</v>
      </c>
      <c r="F66" s="140" t="n">
        <f aca="false">E66-C66</f>
        <v>-6</v>
      </c>
      <c r="G66" s="140" t="n">
        <f aca="false">F66-D66</f>
        <v>-10</v>
      </c>
      <c r="H66" s="140" t="n">
        <f aca="false">G66-E66</f>
        <v>-9</v>
      </c>
      <c r="I66" s="76" t="n">
        <v>4</v>
      </c>
      <c r="J66" s="76" t="n">
        <v>5</v>
      </c>
      <c r="K66" s="0" t="n">
        <f aca="false">I66-J66</f>
        <v>-1</v>
      </c>
    </row>
    <row r="67" customFormat="false" ht="15" hidden="false" customHeight="false" outlineLevel="0" collapsed="false">
      <c r="A67" s="177" t="s">
        <v>214</v>
      </c>
      <c r="B67" s="140" t="n">
        <v>8</v>
      </c>
      <c r="C67" s="140" t="n">
        <v>25</v>
      </c>
      <c r="D67" s="140" t="n">
        <v>8</v>
      </c>
      <c r="E67" s="140" t="n">
        <f aca="false">D67-B67</f>
        <v>0</v>
      </c>
      <c r="F67" s="140" t="n">
        <f aca="false">E67-C67</f>
        <v>-25</v>
      </c>
      <c r="G67" s="140" t="n">
        <f aca="false">F67-D67</f>
        <v>-33</v>
      </c>
      <c r="H67" s="140" t="n">
        <f aca="false">G67-E67</f>
        <v>-33</v>
      </c>
      <c r="I67" s="76" t="n">
        <v>23</v>
      </c>
      <c r="J67" s="76" t="n">
        <v>23</v>
      </c>
      <c r="K67" s="0" t="n">
        <f aca="false">I67-J67</f>
        <v>0</v>
      </c>
    </row>
    <row r="68" customFormat="false" ht="15" hidden="false" customHeight="false" outlineLevel="0" collapsed="false">
      <c r="A68" s="177" t="s">
        <v>215</v>
      </c>
      <c r="B68" s="140" t="n">
        <v>6</v>
      </c>
      <c r="C68" s="140" t="n">
        <v>19</v>
      </c>
      <c r="D68" s="140" t="n">
        <v>6</v>
      </c>
      <c r="E68" s="140" t="n">
        <f aca="false">D68-B68</f>
        <v>0</v>
      </c>
      <c r="F68" s="140" t="n">
        <f aca="false">E68-C68</f>
        <v>-19</v>
      </c>
      <c r="G68" s="140" t="n">
        <f aca="false">F68-D68</f>
        <v>-25</v>
      </c>
      <c r="H68" s="140" t="n">
        <f aca="false">G68-E68</f>
        <v>-25</v>
      </c>
      <c r="I68" s="76" t="n">
        <v>12</v>
      </c>
      <c r="J68" s="76" t="n">
        <v>12</v>
      </c>
      <c r="K68" s="0" t="n">
        <f aca="false">I68-J68</f>
        <v>0</v>
      </c>
    </row>
    <row r="69" customFormat="false" ht="15" hidden="false" customHeight="false" outlineLevel="0" collapsed="false">
      <c r="A69" s="178" t="s">
        <v>261</v>
      </c>
      <c r="B69" s="138" t="n">
        <v>1</v>
      </c>
      <c r="C69" s="138" t="n">
        <v>1.0557627684026</v>
      </c>
      <c r="D69" s="138" t="n">
        <v>1</v>
      </c>
      <c r="E69" s="140" t="n">
        <f aca="false">D69-B69</f>
        <v>0</v>
      </c>
      <c r="F69" s="140" t="n">
        <f aca="false">E69-C69</f>
        <v>-1.0557627684026</v>
      </c>
      <c r="G69" s="140" t="n">
        <f aca="false">F69-D69</f>
        <v>-2.0557627684026</v>
      </c>
      <c r="H69" s="140" t="n">
        <f aca="false">G69-E69</f>
        <v>-2.0557627684026</v>
      </c>
      <c r="I69" s="138" t="n">
        <v>1.14896043469693</v>
      </c>
      <c r="J69" s="137" t="n">
        <v>1.14896043469693</v>
      </c>
      <c r="K69" s="0" t="n">
        <f aca="false">I69-J69</f>
        <v>0</v>
      </c>
    </row>
    <row r="70" customFormat="false" ht="15" hidden="false" customHeight="false" outlineLevel="0" collapsed="false">
      <c r="A70" s="177" t="s">
        <v>252</v>
      </c>
      <c r="B70" s="140" t="n">
        <f aca="false">FALSE()</f>
        <v>0</v>
      </c>
      <c r="C70" s="140" t="n">
        <f aca="false">FALSE()</f>
        <v>0</v>
      </c>
      <c r="D70" s="140" t="n">
        <f aca="false">FALSE()</f>
        <v>0</v>
      </c>
      <c r="E70" s="140" t="n">
        <f aca="false">D70-B70</f>
        <v>0</v>
      </c>
      <c r="F70" s="140" t="n">
        <f aca="false">E70-C70</f>
        <v>0</v>
      </c>
      <c r="G70" s="140" t="n">
        <f aca="false">F70-D70</f>
        <v>0</v>
      </c>
      <c r="H70" s="140" t="n">
        <f aca="false">G70-E70</f>
        <v>0</v>
      </c>
      <c r="I70" s="76" t="n">
        <f aca="false">FALSE()</f>
        <v>0</v>
      </c>
      <c r="J70" s="76" t="n">
        <f aca="false">FALSE()</f>
        <v>0</v>
      </c>
      <c r="K70" s="0" t="n">
        <f aca="false">I70-J70</f>
        <v>0</v>
      </c>
    </row>
    <row r="71" customFormat="false" ht="15" hidden="false" customHeight="false" outlineLevel="0" collapsed="false">
      <c r="A71" s="177" t="s">
        <v>395</v>
      </c>
      <c r="B71" s="140" t="s">
        <v>396</v>
      </c>
      <c r="C71" s="140" t="s">
        <v>396</v>
      </c>
      <c r="D71" s="140" t="s">
        <v>396</v>
      </c>
      <c r="E71" s="140" t="e">
        <f aca="false">D71-B71</f>
        <v>#VALUE!</v>
      </c>
      <c r="F71" s="140" t="s">
        <v>396</v>
      </c>
      <c r="G71" s="140" t="s">
        <v>396</v>
      </c>
      <c r="H71" s="140" t="s">
        <v>396</v>
      </c>
      <c r="I71" s="76" t="s">
        <v>396</v>
      </c>
      <c r="J71" s="76" t="s">
        <v>396</v>
      </c>
      <c r="K71" s="0" t="e">
        <f aca="false">I71-J71</f>
        <v>#VALUE!</v>
      </c>
    </row>
    <row r="72" customFormat="false" ht="15" hidden="false" customHeight="false" outlineLevel="0" collapsed="false">
      <c r="A72" s="177" t="s">
        <v>397</v>
      </c>
      <c r="B72" s="140" t="s">
        <v>398</v>
      </c>
      <c r="C72" s="140" t="s">
        <v>398</v>
      </c>
      <c r="D72" s="140" t="s">
        <v>398</v>
      </c>
      <c r="E72" s="140" t="e">
        <f aca="false">D72-B72</f>
        <v>#VALUE!</v>
      </c>
      <c r="F72" s="140" t="s">
        <v>398</v>
      </c>
      <c r="G72" s="140" t="s">
        <v>398</v>
      </c>
      <c r="H72" s="140" t="s">
        <v>398</v>
      </c>
      <c r="I72" s="76" t="s">
        <v>398</v>
      </c>
      <c r="J72" s="76" t="s">
        <v>398</v>
      </c>
      <c r="K72" s="0" t="e">
        <f aca="false">I72-J72</f>
        <v>#VALUE!</v>
      </c>
    </row>
    <row r="73" customFormat="false" ht="15" hidden="false" customHeight="false" outlineLevel="0" collapsed="false">
      <c r="A73" s="177" t="s">
        <v>399</v>
      </c>
      <c r="B73" s="140" t="n">
        <v>89</v>
      </c>
      <c r="C73" s="140" t="n">
        <v>89</v>
      </c>
      <c r="D73" s="140" t="n">
        <v>89</v>
      </c>
      <c r="E73" s="140" t="n">
        <f aca="false">D73-B73</f>
        <v>0</v>
      </c>
      <c r="F73" s="140" t="n">
        <v>89</v>
      </c>
      <c r="G73" s="140" t="n">
        <v>89</v>
      </c>
      <c r="H73" s="140" t="n">
        <v>89</v>
      </c>
      <c r="I73" s="76" t="n">
        <v>89</v>
      </c>
      <c r="J73" s="76" t="n">
        <v>89</v>
      </c>
      <c r="K73" s="0" t="n">
        <f aca="false">I73-J73</f>
        <v>0</v>
      </c>
    </row>
    <row r="74" customFormat="false" ht="15" hidden="false" customHeight="false" outlineLevel="0" collapsed="false">
      <c r="A74" s="177" t="s">
        <v>400</v>
      </c>
      <c r="B74" s="140" t="n">
        <v>67</v>
      </c>
      <c r="C74" s="140" t="n">
        <v>67</v>
      </c>
      <c r="D74" s="140" t="n">
        <v>67</v>
      </c>
      <c r="E74" s="140" t="n">
        <f aca="false">D74-B74</f>
        <v>0</v>
      </c>
      <c r="F74" s="140" t="n">
        <v>67</v>
      </c>
      <c r="G74" s="140" t="n">
        <v>67</v>
      </c>
      <c r="H74" s="140" t="n">
        <v>75</v>
      </c>
      <c r="I74" s="76" t="n">
        <v>132</v>
      </c>
      <c r="J74" s="76" t="n">
        <v>132</v>
      </c>
      <c r="K74" s="0" t="n">
        <f aca="false">I74-J74</f>
        <v>0</v>
      </c>
    </row>
    <row r="75" customFormat="false" ht="15" hidden="false" customHeight="false" outlineLevel="0" collapsed="false">
      <c r="A75" s="177" t="s">
        <v>401</v>
      </c>
      <c r="B75" s="140" t="n">
        <v>254</v>
      </c>
      <c r="C75" s="140" t="n">
        <v>254</v>
      </c>
      <c r="D75" s="140" t="n">
        <v>254</v>
      </c>
      <c r="E75" s="140" t="n">
        <f aca="false">D75-B75</f>
        <v>0</v>
      </c>
      <c r="F75" s="140" t="n">
        <v>254</v>
      </c>
      <c r="G75" s="140" t="n">
        <v>254</v>
      </c>
      <c r="H75" s="140" t="n">
        <v>188</v>
      </c>
      <c r="I75" s="76" t="n">
        <v>203</v>
      </c>
      <c r="J75" s="76" t="n">
        <v>203</v>
      </c>
      <c r="K75" s="0" t="n">
        <f aca="false">I75-J75</f>
        <v>0</v>
      </c>
    </row>
    <row r="76" customFormat="false" ht="15" hidden="false" customHeight="false" outlineLevel="0" collapsed="false">
      <c r="A76" s="177" t="s">
        <v>402</v>
      </c>
      <c r="B76" s="140" t="n">
        <v>16</v>
      </c>
      <c r="C76" s="140" t="n">
        <v>16</v>
      </c>
      <c r="D76" s="140" t="n">
        <v>16</v>
      </c>
      <c r="E76" s="140" t="n">
        <f aca="false">D76-B76</f>
        <v>0</v>
      </c>
      <c r="F76" s="140" t="n">
        <v>16</v>
      </c>
      <c r="G76" s="140" t="n">
        <v>16</v>
      </c>
      <c r="H76" s="140" t="n">
        <v>178</v>
      </c>
      <c r="I76" s="76" t="n">
        <v>43</v>
      </c>
      <c r="J76" s="76" t="n">
        <v>43</v>
      </c>
      <c r="K76" s="0" t="n">
        <f aca="false">I76-J76</f>
        <v>0</v>
      </c>
    </row>
    <row r="77" customFormat="false" ht="15" hidden="false" customHeight="false" outlineLevel="0" collapsed="false">
      <c r="A77" s="177" t="s">
        <v>403</v>
      </c>
      <c r="B77" s="140" t="n">
        <v>22</v>
      </c>
      <c r="C77" s="140" t="n">
        <v>22</v>
      </c>
      <c r="D77" s="140" t="n">
        <v>22</v>
      </c>
      <c r="E77" s="140" t="n">
        <f aca="false">D77-B77</f>
        <v>0</v>
      </c>
      <c r="F77" s="140" t="n">
        <v>22</v>
      </c>
      <c r="G77" s="140" t="n">
        <v>22</v>
      </c>
      <c r="H77" s="140" t="n">
        <v>61</v>
      </c>
      <c r="I77" s="76" t="n">
        <v>149</v>
      </c>
      <c r="J77" s="76" t="n">
        <v>149</v>
      </c>
      <c r="K77" s="0" t="n">
        <f aca="false">I77-J77</f>
        <v>0</v>
      </c>
    </row>
    <row r="78" customFormat="false" ht="15" hidden="false" customHeight="false" outlineLevel="0" collapsed="false">
      <c r="A78" s="177" t="s">
        <v>404</v>
      </c>
      <c r="B78" s="140" t="n">
        <v>223</v>
      </c>
      <c r="C78" s="140" t="n">
        <v>223</v>
      </c>
      <c r="D78" s="140" t="n">
        <v>223</v>
      </c>
      <c r="E78" s="140" t="n">
        <f aca="false">D78-B78</f>
        <v>0</v>
      </c>
      <c r="F78" s="140" t="n">
        <v>223</v>
      </c>
      <c r="G78" s="140" t="n">
        <v>223</v>
      </c>
      <c r="H78" s="140" t="n">
        <v>67</v>
      </c>
      <c r="I78" s="76" t="n">
        <v>8</v>
      </c>
      <c r="J78" s="76" t="n">
        <v>8</v>
      </c>
      <c r="K78" s="0" t="n">
        <f aca="false">I78-J78</f>
        <v>0</v>
      </c>
    </row>
    <row r="79" customFormat="false" ht="15" hidden="false" customHeight="false" outlineLevel="0" collapsed="false">
      <c r="A79" s="177" t="s">
        <v>405</v>
      </c>
      <c r="B79" s="140" t="n">
        <v>198</v>
      </c>
      <c r="C79" s="140" t="n">
        <v>198</v>
      </c>
      <c r="D79" s="140" t="n">
        <v>198</v>
      </c>
      <c r="E79" s="140" t="n">
        <f aca="false">D79-B79</f>
        <v>0</v>
      </c>
      <c r="F79" s="140" t="n">
        <v>198</v>
      </c>
      <c r="G79" s="140" t="n">
        <v>198</v>
      </c>
      <c r="H79" s="140" t="n">
        <v>194</v>
      </c>
      <c r="I79" s="76" t="n">
        <v>89</v>
      </c>
      <c r="J79" s="76" t="n">
        <v>89</v>
      </c>
      <c r="K79" s="0" t="n">
        <f aca="false">I79-J79</f>
        <v>0</v>
      </c>
    </row>
    <row r="80" customFormat="false" ht="15" hidden="false" customHeight="false" outlineLevel="0" collapsed="false">
      <c r="A80" s="177" t="s">
        <v>406</v>
      </c>
      <c r="B80" s="140" t="n">
        <v>0</v>
      </c>
      <c r="C80" s="140" t="n">
        <v>0</v>
      </c>
      <c r="D80" s="140" t="n">
        <v>0</v>
      </c>
      <c r="E80" s="140" t="n">
        <f aca="false">D80-B80</f>
        <v>0</v>
      </c>
      <c r="F80" s="140" t="n">
        <v>0</v>
      </c>
      <c r="G80" s="140" t="n">
        <v>0</v>
      </c>
      <c r="H80" s="140" t="n">
        <v>0</v>
      </c>
      <c r="I80" s="76" t="n">
        <v>0</v>
      </c>
      <c r="J80" s="76" t="n">
        <v>0</v>
      </c>
      <c r="K80" s="0" t="n">
        <f aca="false">I80-J80</f>
        <v>0</v>
      </c>
    </row>
    <row r="81" customFormat="false" ht="15" hidden="false" customHeight="false" outlineLevel="0" collapsed="false">
      <c r="A81" s="177" t="s">
        <v>407</v>
      </c>
      <c r="B81" s="140" t="n">
        <v>17</v>
      </c>
      <c r="C81" s="140" t="n">
        <v>17</v>
      </c>
      <c r="D81" s="140" t="n">
        <v>17</v>
      </c>
      <c r="E81" s="140" t="n">
        <f aca="false">D81-B81</f>
        <v>0</v>
      </c>
      <c r="F81" s="140" t="n">
        <v>17</v>
      </c>
      <c r="G81" s="140" t="n">
        <v>17</v>
      </c>
      <c r="H81" s="140" t="n">
        <v>17</v>
      </c>
      <c r="I81" s="76" t="n">
        <v>17</v>
      </c>
      <c r="J81" s="76" t="n">
        <v>17</v>
      </c>
      <c r="K81" s="0" t="n">
        <f aca="false">I81-J81</f>
        <v>0</v>
      </c>
    </row>
    <row r="82" customFormat="false" ht="15" hidden="false" customHeight="false" outlineLevel="0" collapsed="false">
      <c r="A82" s="177" t="s">
        <v>408</v>
      </c>
      <c r="B82" s="140" t="n">
        <v>69</v>
      </c>
      <c r="C82" s="140" t="n">
        <v>69</v>
      </c>
      <c r="D82" s="140" t="n">
        <v>69</v>
      </c>
      <c r="E82" s="140" t="n">
        <f aca="false">D82-B82</f>
        <v>0</v>
      </c>
      <c r="F82" s="140" t="n">
        <v>69</v>
      </c>
      <c r="G82" s="140" t="n">
        <v>69</v>
      </c>
      <c r="H82" s="140" t="n">
        <v>95</v>
      </c>
      <c r="I82" s="76" t="n">
        <v>130</v>
      </c>
      <c r="J82" s="76" t="n">
        <v>130</v>
      </c>
      <c r="K82" s="0" t="n">
        <f aca="false">I82-J82</f>
        <v>0</v>
      </c>
    </row>
    <row r="83" customFormat="false" ht="15" hidden="false" customHeight="false" outlineLevel="0" collapsed="false">
      <c r="A83" s="177" t="s">
        <v>409</v>
      </c>
      <c r="B83" s="140" t="n">
        <v>235</v>
      </c>
      <c r="C83" s="140" t="n">
        <v>235</v>
      </c>
      <c r="D83" s="140" t="n">
        <v>235</v>
      </c>
      <c r="E83" s="140" t="n">
        <f aca="false">D83-B83</f>
        <v>0</v>
      </c>
      <c r="F83" s="140" t="n">
        <v>235</v>
      </c>
      <c r="G83" s="140" t="n">
        <v>235</v>
      </c>
      <c r="H83" s="140" t="n">
        <v>103</v>
      </c>
      <c r="I83" s="76" t="n">
        <v>20</v>
      </c>
      <c r="J83" s="76" t="n">
        <v>20</v>
      </c>
      <c r="K83" s="0" t="n">
        <f aca="false">I83-J83</f>
        <v>0</v>
      </c>
    </row>
    <row r="84" customFormat="false" ht="15" hidden="false" customHeight="false" outlineLevel="0" collapsed="false">
      <c r="A84" s="177" t="s">
        <v>410</v>
      </c>
      <c r="B84" s="140" t="n">
        <v>55</v>
      </c>
      <c r="C84" s="140" t="n">
        <v>57</v>
      </c>
      <c r="D84" s="140" t="n">
        <v>59</v>
      </c>
      <c r="E84" s="140" t="n">
        <f aca="false">D84-B84</f>
        <v>4</v>
      </c>
      <c r="F84" s="140" t="n">
        <v>61</v>
      </c>
      <c r="G84" s="140" t="n">
        <v>63</v>
      </c>
      <c r="H84" s="140" t="n">
        <v>217</v>
      </c>
      <c r="I84" s="76" t="n">
        <v>93</v>
      </c>
      <c r="J84" s="76" t="n">
        <v>95</v>
      </c>
      <c r="K84" s="0" t="n">
        <f aca="false">I84-J84</f>
        <v>-2</v>
      </c>
    </row>
    <row r="85" customFormat="false" ht="15" hidden="false" customHeight="false" outlineLevel="0" collapsed="false">
      <c r="A85" s="177" t="s">
        <v>411</v>
      </c>
      <c r="B85" s="140" t="n">
        <f aca="false">TRUE()</f>
        <v>1</v>
      </c>
      <c r="C85" s="140" t="n">
        <f aca="false">TRUE()</f>
        <v>1</v>
      </c>
      <c r="D85" s="140" t="n">
        <f aca="false">TRUE()</f>
        <v>1</v>
      </c>
      <c r="E85" s="140" t="n">
        <f aca="false">D85-B85</f>
        <v>0</v>
      </c>
      <c r="F85" s="73" t="n">
        <f aca="false">TRUE()</f>
        <v>1</v>
      </c>
      <c r="G85" s="73" t="n">
        <f aca="false">TRUE()</f>
        <v>1</v>
      </c>
      <c r="H85" s="73" t="n">
        <f aca="false">TRUE()</f>
        <v>1</v>
      </c>
      <c r="I85" s="76" t="n">
        <f aca="false">TRUE()</f>
        <v>1</v>
      </c>
      <c r="J85" s="76" t="n">
        <f aca="false">TRUE()</f>
        <v>1</v>
      </c>
      <c r="K85" s="0" t="n">
        <f aca="false">I85-J85</f>
        <v>0</v>
      </c>
    </row>
    <row r="86" customFormat="false" ht="15" hidden="false" customHeight="false" outlineLevel="0" collapsed="false">
      <c r="A86" s="177" t="s">
        <v>412</v>
      </c>
      <c r="B86" s="140" t="n">
        <f aca="false">TRUE()</f>
        <v>1</v>
      </c>
      <c r="C86" s="140" t="n">
        <f aca="false">TRUE()</f>
        <v>1</v>
      </c>
      <c r="D86" s="140" t="n">
        <f aca="false">TRUE()</f>
        <v>1</v>
      </c>
      <c r="E86" s="140" t="n">
        <f aca="false">D86-B86</f>
        <v>0</v>
      </c>
      <c r="F86" s="73" t="n">
        <f aca="false">TRUE()</f>
        <v>1</v>
      </c>
      <c r="G86" s="73" t="n">
        <f aca="false">TRUE()</f>
        <v>1</v>
      </c>
      <c r="H86" s="73" t="n">
        <f aca="false">TRUE()</f>
        <v>1</v>
      </c>
      <c r="I86" s="76" t="n">
        <f aca="false">TRUE()</f>
        <v>1</v>
      </c>
      <c r="J86" s="76" t="n">
        <f aca="false">TRUE()</f>
        <v>1</v>
      </c>
      <c r="K86" s="0" t="n">
        <f aca="false">I86-J86</f>
        <v>0</v>
      </c>
    </row>
    <row r="87" customFormat="false" ht="15" hidden="false" customHeight="false" outlineLevel="0" collapsed="false">
      <c r="A87" s="177" t="s">
        <v>413</v>
      </c>
      <c r="B87" s="140" t="n">
        <f aca="false">TRUE()</f>
        <v>1</v>
      </c>
      <c r="C87" s="140" t="n">
        <f aca="false">TRUE()</f>
        <v>1</v>
      </c>
      <c r="D87" s="140" t="n">
        <f aca="false">TRUE()</f>
        <v>1</v>
      </c>
      <c r="E87" s="140" t="n">
        <f aca="false">D87-B87</f>
        <v>0</v>
      </c>
      <c r="F87" s="73" t="n">
        <f aca="false">TRUE()</f>
        <v>1</v>
      </c>
      <c r="G87" s="73" t="n">
        <f aca="false">TRUE()</f>
        <v>1</v>
      </c>
      <c r="H87" s="73" t="n">
        <f aca="false">TRUE()</f>
        <v>1</v>
      </c>
      <c r="I87" s="76" t="n">
        <f aca="false">TRUE()</f>
        <v>1</v>
      </c>
      <c r="J87" s="76" t="n">
        <f aca="false">TRUE()</f>
        <v>1</v>
      </c>
      <c r="K87" s="0" t="n">
        <f aca="false">I87-J87</f>
        <v>0</v>
      </c>
    </row>
    <row r="88" customFormat="false" ht="15" hidden="false" customHeight="false" outlineLevel="0" collapsed="false">
      <c r="A88" s="177" t="s">
        <v>213</v>
      </c>
      <c r="B88" s="140" t="n">
        <v>52.8</v>
      </c>
      <c r="C88" s="140" t="n">
        <v>52.8</v>
      </c>
      <c r="D88" s="140" t="n">
        <v>53.8</v>
      </c>
      <c r="E88" s="140" t="n">
        <f aca="false">D88-B88</f>
        <v>1</v>
      </c>
      <c r="F88" s="140" t="n">
        <v>53.8</v>
      </c>
      <c r="G88" s="140" t="n">
        <v>52.8</v>
      </c>
      <c r="H88" s="140" t="n">
        <v>53.8</v>
      </c>
      <c r="I88" s="76" t="n">
        <v>29.2563</v>
      </c>
      <c r="J88" s="76" t="n">
        <v>29.258</v>
      </c>
      <c r="K88" s="0" t="n">
        <f aca="false">I88-J88</f>
        <v>-0.00169999999999959</v>
      </c>
    </row>
    <row r="89" customFormat="false" ht="15" hidden="false" customHeight="false" outlineLevel="0" collapsed="false">
      <c r="A89" s="178" t="s">
        <v>210</v>
      </c>
      <c r="B89" s="138" t="n">
        <v>55.2</v>
      </c>
      <c r="C89" s="138" t="n">
        <v>55.2</v>
      </c>
      <c r="D89" s="138" t="n">
        <v>56.2</v>
      </c>
      <c r="E89" s="140" t="n">
        <f aca="false">D89-B89</f>
        <v>1</v>
      </c>
      <c r="F89" s="138" t="n">
        <v>56.2</v>
      </c>
      <c r="G89" s="138" t="n">
        <v>55.2</v>
      </c>
      <c r="H89" s="138" t="n">
        <v>56.2</v>
      </c>
      <c r="I89" s="76" t="n">
        <v>39.947</v>
      </c>
      <c r="J89" s="76" t="n">
        <v>39.9458</v>
      </c>
      <c r="K89" s="0" t="n">
        <f aca="false">I89-J89</f>
        <v>0.00120000000000431</v>
      </c>
    </row>
    <row r="90" customFormat="false" ht="15" hidden="false" customHeight="false" outlineLevel="0" collapsed="false">
      <c r="A90" s="177" t="s">
        <v>212</v>
      </c>
      <c r="B90" s="140" t="n">
        <v>55.6</v>
      </c>
      <c r="C90" s="140" t="n">
        <v>55.6</v>
      </c>
      <c r="D90" s="140" t="n">
        <v>56.6</v>
      </c>
      <c r="E90" s="140" t="n">
        <f aca="false">D90-B90</f>
        <v>1</v>
      </c>
      <c r="F90" s="140" t="n">
        <v>56.6</v>
      </c>
      <c r="G90" s="140" t="n">
        <v>55.6</v>
      </c>
      <c r="H90" s="140" t="n">
        <v>56.6</v>
      </c>
      <c r="I90" s="174" t="n">
        <v>44.2496</v>
      </c>
      <c r="J90" s="142" t="n">
        <v>44.2452</v>
      </c>
      <c r="K90" s="0" t="n">
        <f aca="false">I90-J90</f>
        <v>0.00440000000000396</v>
      </c>
      <c r="L90" s="143"/>
      <c r="M90" s="67" t="s">
        <v>211</v>
      </c>
    </row>
    <row r="91" customFormat="false" ht="15" hidden="false" customHeight="false" outlineLevel="0" collapsed="false">
      <c r="A91" s="177" t="s">
        <v>414</v>
      </c>
      <c r="B91" s="140" t="n">
        <v>424.429761562769</v>
      </c>
      <c r="C91" s="140" t="n">
        <v>424.429761562769</v>
      </c>
      <c r="D91" s="140" t="n">
        <v>424.429761562769</v>
      </c>
      <c r="E91" s="140" t="n">
        <f aca="false">D91-B91</f>
        <v>0</v>
      </c>
      <c r="F91" s="140" t="n">
        <v>424.429761562769</v>
      </c>
      <c r="G91" s="140" t="n">
        <v>424.429761562769</v>
      </c>
      <c r="H91" s="140" t="n">
        <v>424.429761562769</v>
      </c>
      <c r="I91" s="76" t="n">
        <v>374.62</v>
      </c>
      <c r="J91" s="76" t="n">
        <v>374.62</v>
      </c>
      <c r="K91" s="0" t="n">
        <f aca="false">I91-J91</f>
        <v>0</v>
      </c>
    </row>
    <row r="92" customFormat="false" ht="15" hidden="false" customHeight="false" outlineLevel="0" collapsed="false">
      <c r="A92" s="177" t="s">
        <v>415</v>
      </c>
      <c r="B92" s="140" t="n">
        <v>498.891123240448</v>
      </c>
      <c r="C92" s="140" t="n">
        <v>498.891123240448</v>
      </c>
      <c r="D92" s="140" t="n">
        <v>498.891123240448</v>
      </c>
      <c r="E92" s="140" t="n">
        <f aca="false">D92-B92</f>
        <v>0</v>
      </c>
      <c r="F92" s="140" t="n">
        <v>498.891123240448</v>
      </c>
      <c r="G92" s="140" t="n">
        <v>498.891123240448</v>
      </c>
      <c r="H92" s="140" t="n">
        <v>498.891123240448</v>
      </c>
      <c r="I92" s="76" t="n">
        <v>399.25</v>
      </c>
      <c r="J92" s="76" t="n">
        <v>399.25</v>
      </c>
      <c r="K92" s="0" t="n">
        <f aca="false">I92-J92</f>
        <v>0</v>
      </c>
    </row>
    <row r="93" customFormat="false" ht="15" hidden="false" customHeight="false" outlineLevel="0" collapsed="false">
      <c r="A93" s="177" t="s">
        <v>416</v>
      </c>
      <c r="B93" s="140" t="n">
        <v>383.476012640046</v>
      </c>
      <c r="C93" s="140" t="n">
        <v>383.476012640046</v>
      </c>
      <c r="D93" s="140" t="n">
        <v>383.476012640046</v>
      </c>
      <c r="E93" s="140" t="n">
        <f aca="false">D93-B93</f>
        <v>0</v>
      </c>
      <c r="F93" s="140" t="n">
        <v>383.476012640046</v>
      </c>
      <c r="G93" s="140" t="n">
        <v>383.476012640046</v>
      </c>
      <c r="H93" s="140" t="n">
        <v>383.476012640046</v>
      </c>
      <c r="I93" s="76" t="n">
        <v>359.62</v>
      </c>
      <c r="J93" s="76" t="n">
        <v>359.62</v>
      </c>
      <c r="K93" s="0" t="n">
        <f aca="false">I93-J93</f>
        <v>0</v>
      </c>
    </row>
    <row r="94" s="179" customFormat="true" ht="15" hidden="false" customHeight="false" outlineLevel="0" collapsed="false">
      <c r="A94" s="178" t="s">
        <v>193</v>
      </c>
      <c r="B94" s="138" t="n">
        <v>349.830508474576</v>
      </c>
      <c r="C94" s="138" t="n">
        <v>349.830508474576</v>
      </c>
      <c r="D94" s="138" t="n">
        <v>349.830508474576</v>
      </c>
      <c r="E94" s="140" t="n">
        <f aca="false">D94-B94</f>
        <v>0</v>
      </c>
      <c r="F94" s="138" t="n">
        <v>349.830508474576</v>
      </c>
      <c r="G94" s="138" t="n">
        <v>349.830508474576</v>
      </c>
      <c r="H94" s="138" t="n">
        <v>349.830508474576</v>
      </c>
      <c r="I94" s="76" t="n">
        <v>374.62</v>
      </c>
      <c r="J94" s="76" t="n">
        <v>374.62</v>
      </c>
      <c r="K94" s="0" t="n">
        <f aca="false">I94-J94</f>
        <v>0</v>
      </c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</row>
    <row r="95" customFormat="false" ht="15" hidden="false" customHeight="false" outlineLevel="0" collapsed="false">
      <c r="A95" s="177" t="s">
        <v>217</v>
      </c>
      <c r="B95" s="140" t="n">
        <v>262.372881355932</v>
      </c>
      <c r="C95" s="140" t="n">
        <v>262.372881355932</v>
      </c>
      <c r="D95" s="140" t="n">
        <v>262.372881355932</v>
      </c>
      <c r="E95" s="140" t="n">
        <f aca="false">D95-B95</f>
        <v>0</v>
      </c>
      <c r="F95" s="140" t="n">
        <v>262.372881355932</v>
      </c>
      <c r="G95" s="140" t="n">
        <v>262.372881355932</v>
      </c>
      <c r="H95" s="140" t="n">
        <v>262.372881355932</v>
      </c>
      <c r="I95" s="76" t="n">
        <v>162.1685</v>
      </c>
      <c r="J95" s="76" t="n">
        <v>162.1685</v>
      </c>
      <c r="K95" s="0" t="n">
        <f aca="false">I95-J95</f>
        <v>0</v>
      </c>
    </row>
    <row r="96" customFormat="false" ht="15" hidden="false" customHeight="false" outlineLevel="0" collapsed="false">
      <c r="A96" s="177" t="s">
        <v>417</v>
      </c>
      <c r="B96" s="73" t="n">
        <v>384.813559322034</v>
      </c>
      <c r="C96" s="73" t="n">
        <v>384.813559322034</v>
      </c>
      <c r="D96" s="73" t="n">
        <v>384.813559322034</v>
      </c>
      <c r="E96" s="140" t="n">
        <f aca="false">D96-B96</f>
        <v>0</v>
      </c>
      <c r="F96" s="73" t="n">
        <v>384.813559322034</v>
      </c>
      <c r="G96" s="73" t="n">
        <v>384.813559322034</v>
      </c>
      <c r="H96" s="73" t="n">
        <v>384.813559322034</v>
      </c>
      <c r="I96" s="174" t="n">
        <v>249.49</v>
      </c>
      <c r="J96" s="142" t="n">
        <v>249.49</v>
      </c>
      <c r="K96" s="0" t="n">
        <f aca="false">I96-J96</f>
        <v>0</v>
      </c>
    </row>
    <row r="97" customFormat="false" ht="15" hidden="false" customHeight="false" outlineLevel="0" collapsed="false">
      <c r="A97" s="177" t="s">
        <v>253</v>
      </c>
      <c r="B97" s="140" t="n">
        <f aca="false">TRUE()</f>
        <v>1</v>
      </c>
      <c r="C97" s="140" t="n">
        <f aca="false">TRUE()</f>
        <v>1</v>
      </c>
      <c r="D97" s="140" t="n">
        <f aca="false">TRUE()</f>
        <v>1</v>
      </c>
      <c r="E97" s="140" t="n">
        <f aca="false">D97-B97</f>
        <v>0</v>
      </c>
      <c r="F97" s="73" t="n">
        <f aca="false">TRUE()</f>
        <v>1</v>
      </c>
      <c r="G97" s="73" t="n">
        <f aca="false">TRUE()</f>
        <v>1</v>
      </c>
      <c r="H97" s="73" t="n">
        <f aca="false">TRUE()</f>
        <v>1</v>
      </c>
      <c r="I97" s="76" t="n">
        <f aca="false">FALSE()</f>
        <v>0</v>
      </c>
      <c r="J97" s="76" t="n">
        <f aca="false">FALSE()</f>
        <v>0</v>
      </c>
      <c r="K97" s="0" t="n">
        <f aca="false">I97-J97</f>
        <v>0</v>
      </c>
    </row>
    <row r="98" customFormat="false" ht="15" hidden="false" customHeight="false" outlineLevel="0" collapsed="false">
      <c r="A98" s="177" t="s">
        <v>232</v>
      </c>
      <c r="B98" s="140" t="s">
        <v>418</v>
      </c>
      <c r="C98" s="140" t="s">
        <v>418</v>
      </c>
      <c r="D98" s="140" t="s">
        <v>418</v>
      </c>
      <c r="E98" s="140" t="e">
        <f aca="false">D98-B98</f>
        <v>#VALUE!</v>
      </c>
      <c r="F98" s="140" t="s">
        <v>418</v>
      </c>
      <c r="G98" s="140" t="s">
        <v>418</v>
      </c>
      <c r="H98" s="140" t="s">
        <v>418</v>
      </c>
      <c r="I98" s="76" t="s">
        <v>234</v>
      </c>
      <c r="J98" s="76" t="s">
        <v>234</v>
      </c>
      <c r="K98" s="0" t="e">
        <f aca="false">I98-J98</f>
        <v>#VALUE!</v>
      </c>
    </row>
    <row r="99" customFormat="false" ht="15" hidden="false" customHeight="false" outlineLevel="0" collapsed="false">
      <c r="A99" s="177" t="s">
        <v>246</v>
      </c>
      <c r="B99" s="140" t="s">
        <v>419</v>
      </c>
      <c r="C99" s="140" t="s">
        <v>419</v>
      </c>
      <c r="D99" s="140" t="s">
        <v>419</v>
      </c>
      <c r="E99" s="140" t="n">
        <f aca="false">D99-B99</f>
        <v>0</v>
      </c>
      <c r="F99" s="140" t="s">
        <v>419</v>
      </c>
      <c r="G99" s="140" t="s">
        <v>419</v>
      </c>
      <c r="H99" s="140" t="s">
        <v>419</v>
      </c>
      <c r="I99" s="76" t="s">
        <v>248</v>
      </c>
      <c r="J99" s="76" t="s">
        <v>248</v>
      </c>
      <c r="K99" s="0" t="n">
        <f aca="false">I99-J99</f>
        <v>0</v>
      </c>
    </row>
    <row r="100" customFormat="false" ht="15" hidden="false" customHeight="false" outlineLevel="0" collapsed="false">
      <c r="A100" s="177" t="s">
        <v>249</v>
      </c>
      <c r="B100" s="140" t="s">
        <v>420</v>
      </c>
      <c r="C100" s="140" t="s">
        <v>420</v>
      </c>
      <c r="D100" s="140" t="s">
        <v>420</v>
      </c>
      <c r="E100" s="140" t="e">
        <f aca="false">D100-B100</f>
        <v>#VALUE!</v>
      </c>
      <c r="F100" s="140" t="s">
        <v>420</v>
      </c>
      <c r="G100" s="140" t="s">
        <v>420</v>
      </c>
      <c r="H100" s="140" t="s">
        <v>420</v>
      </c>
      <c r="I100" s="76" t="s">
        <v>251</v>
      </c>
      <c r="J100" s="76" t="s">
        <v>251</v>
      </c>
    </row>
    <row r="101" customFormat="false" ht="15" hidden="false" customHeight="false" outlineLevel="0" collapsed="false">
      <c r="A101" s="177" t="s">
        <v>238</v>
      </c>
      <c r="B101" s="140" t="s">
        <v>239</v>
      </c>
      <c r="C101" s="140" t="s">
        <v>239</v>
      </c>
      <c r="D101" s="140" t="s">
        <v>239</v>
      </c>
      <c r="E101" s="140" t="e">
        <f aca="false">D101-B101</f>
        <v>#VALUE!</v>
      </c>
      <c r="F101" s="140" t="s">
        <v>239</v>
      </c>
      <c r="G101" s="140" t="s">
        <v>239</v>
      </c>
      <c r="H101" s="140" t="s">
        <v>239</v>
      </c>
      <c r="I101" s="76" t="s">
        <v>239</v>
      </c>
      <c r="J101" s="76" t="s">
        <v>239</v>
      </c>
    </row>
    <row r="102" customFormat="false" ht="15" hidden="false" customHeight="false" outlineLevel="0" collapsed="false">
      <c r="A102" s="177" t="s">
        <v>243</v>
      </c>
      <c r="B102" s="140" t="s">
        <v>421</v>
      </c>
      <c r="C102" s="140" t="s">
        <v>421</v>
      </c>
      <c r="D102" s="140" t="s">
        <v>421</v>
      </c>
      <c r="E102" s="140" t="e">
        <f aca="false">D102-B102</f>
        <v>#VALUE!</v>
      </c>
      <c r="F102" s="140" t="s">
        <v>421</v>
      </c>
      <c r="G102" s="140" t="s">
        <v>421</v>
      </c>
      <c r="H102" s="140" t="s">
        <v>421</v>
      </c>
      <c r="I102" s="76" t="s">
        <v>245</v>
      </c>
      <c r="J102" s="76" t="s">
        <v>245</v>
      </c>
    </row>
    <row r="103" customFormat="false" ht="15" hidden="false" customHeight="false" outlineLevel="0" collapsed="false">
      <c r="A103" s="177" t="s">
        <v>235</v>
      </c>
      <c r="B103" s="140" t="s">
        <v>422</v>
      </c>
      <c r="C103" s="140" t="s">
        <v>422</v>
      </c>
      <c r="D103" s="140" t="s">
        <v>422</v>
      </c>
      <c r="E103" s="140" t="e">
        <f aca="false">D103-B103</f>
        <v>#VALUE!</v>
      </c>
      <c r="F103" s="140" t="s">
        <v>422</v>
      </c>
      <c r="G103" s="140" t="s">
        <v>422</v>
      </c>
      <c r="H103" s="140" t="s">
        <v>422</v>
      </c>
      <c r="I103" s="76" t="s">
        <v>237</v>
      </c>
      <c r="J103" s="76" t="s">
        <v>237</v>
      </c>
    </row>
    <row r="104" customFormat="false" ht="15" hidden="false" customHeight="false" outlineLevel="0" collapsed="false">
      <c r="A104" s="177" t="s">
        <v>240</v>
      </c>
      <c r="B104" s="140" t="s">
        <v>209</v>
      </c>
      <c r="C104" s="140" t="s">
        <v>209</v>
      </c>
      <c r="D104" s="140" t="s">
        <v>209</v>
      </c>
      <c r="E104" s="140" t="e">
        <f aca="false">D104-B104</f>
        <v>#VALUE!</v>
      </c>
      <c r="F104" s="140" t="s">
        <v>209</v>
      </c>
      <c r="G104" s="140" t="s">
        <v>209</v>
      </c>
      <c r="H104" s="140" t="s">
        <v>209</v>
      </c>
      <c r="I104" s="76" t="s">
        <v>242</v>
      </c>
      <c r="J104" s="76" t="s">
        <v>242</v>
      </c>
    </row>
    <row r="105" customFormat="false" ht="15" hidden="false" customHeight="false" outlineLevel="0" collapsed="false">
      <c r="A105" s="177" t="s">
        <v>221</v>
      </c>
      <c r="B105" s="140" t="s">
        <v>423</v>
      </c>
      <c r="C105" s="140" t="s">
        <v>424</v>
      </c>
      <c r="D105" s="140" t="s">
        <v>425</v>
      </c>
      <c r="E105" s="140" t="e">
        <f aca="false">D105-B105</f>
        <v>#VALUE!</v>
      </c>
      <c r="F105" s="140" t="s">
        <v>426</v>
      </c>
      <c r="G105" s="140" t="s">
        <v>427</v>
      </c>
      <c r="H105" s="140" t="s">
        <v>428</v>
      </c>
      <c r="I105" s="76" t="s">
        <v>385</v>
      </c>
      <c r="J105" s="76" t="s">
        <v>386</v>
      </c>
    </row>
    <row r="106" customFormat="false" ht="15" hidden="false" customHeight="false" outlineLevel="0" collapsed="false">
      <c r="A106" s="177" t="s">
        <v>429</v>
      </c>
      <c r="B106" s="140"/>
      <c r="C106" s="140" t="n">
        <v>4</v>
      </c>
      <c r="D106" s="140"/>
      <c r="E106" s="140" t="n">
        <f aca="false">D106-B106</f>
        <v>0</v>
      </c>
      <c r="F106" s="140" t="n">
        <v>4</v>
      </c>
      <c r="G106" s="140"/>
      <c r="H106" s="140"/>
      <c r="I106" s="183"/>
      <c r="J106" s="183"/>
    </row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E3:X371"/>
  <sheetViews>
    <sheetView showFormulas="false" showGridLines="true" showRowColHeaders="true" showZeros="true" rightToLeft="false" tabSelected="false" showOutlineSymbols="true" defaultGridColor="true" view="normal" topLeftCell="M32" colorId="64" zoomScale="100" zoomScaleNormal="100" zoomScalePageLayoutView="100" workbookViewId="0">
      <selection pane="topLeft" activeCell="S36" activeCellId="0" sqref="S36"/>
    </sheetView>
  </sheetViews>
  <sheetFormatPr defaultRowHeight="15" zeroHeight="false" outlineLevelRow="0" outlineLevelCol="0"/>
  <cols>
    <col collapsed="false" customWidth="true" hidden="false" outlineLevel="0" max="14" min="1" style="0" width="8.53"/>
    <col collapsed="false" customWidth="true" hidden="false" outlineLevel="0" max="15" min="15" style="0" width="12.85"/>
    <col collapsed="false" customWidth="true" hidden="false" outlineLevel="0" max="16" min="16" style="0" width="11.28"/>
    <col collapsed="false" customWidth="true" hidden="false" outlineLevel="0" max="1025" min="17" style="0" width="8.53"/>
  </cols>
  <sheetData>
    <row r="3" customFormat="false" ht="15" hidden="false" customHeight="false" outlineLevel="0" collapsed="false">
      <c r="O3" s="0" t="s">
        <v>430</v>
      </c>
    </row>
    <row r="4" customFormat="false" ht="15.75" hidden="false" customHeight="false" outlineLevel="0" collapsed="false">
      <c r="O4" s="184" t="s">
        <v>431</v>
      </c>
      <c r="P4" s="184"/>
    </row>
    <row r="5" customFormat="false" ht="16.5" hidden="false" customHeight="true" outlineLevel="0" collapsed="false">
      <c r="O5" s="185" t="s">
        <v>432</v>
      </c>
      <c r="P5" s="185"/>
    </row>
    <row r="6" customFormat="false" ht="18.75" hidden="false" customHeight="true" outlineLevel="0" collapsed="false">
      <c r="O6" s="186" t="s">
        <v>433</v>
      </c>
      <c r="P6" s="187" t="s">
        <v>434</v>
      </c>
    </row>
    <row r="7" customFormat="false" ht="32.25" hidden="false" customHeight="true" outlineLevel="0" collapsed="false">
      <c r="O7" s="186"/>
      <c r="P7" s="188" t="s">
        <v>435</v>
      </c>
      <c r="S7" s="66" t="s">
        <v>436</v>
      </c>
    </row>
    <row r="8" customFormat="false" ht="48" hidden="false" customHeight="true" outlineLevel="0" collapsed="false">
      <c r="O8" s="189" t="s">
        <v>437</v>
      </c>
      <c r="P8" s="190" t="n">
        <v>95.8</v>
      </c>
      <c r="S8" s="190"/>
      <c r="T8" s="190"/>
    </row>
    <row r="9" customFormat="false" ht="41.25" hidden="false" customHeight="true" outlineLevel="0" collapsed="false">
      <c r="O9" s="189" t="s">
        <v>438</v>
      </c>
      <c r="P9" s="190" t="n">
        <v>95.8</v>
      </c>
      <c r="S9" s="191" t="n">
        <v>75.5</v>
      </c>
      <c r="T9" s="190" t="n">
        <v>1</v>
      </c>
      <c r="U9" s="192"/>
      <c r="W9" s="192" t="n">
        <f aca="false">S47</f>
        <v>99</v>
      </c>
      <c r="X9" s="0" t="n">
        <v>39</v>
      </c>
    </row>
    <row r="10" customFormat="false" ht="48" hidden="false" customHeight="true" outlineLevel="0" collapsed="false">
      <c r="O10" s="189" t="s">
        <v>439</v>
      </c>
      <c r="P10" s="190" t="n">
        <v>95.8</v>
      </c>
      <c r="S10" s="191" t="n">
        <v>77</v>
      </c>
      <c r="T10" s="190" t="n">
        <v>2</v>
      </c>
      <c r="U10" s="192"/>
      <c r="W10" s="192" t="n">
        <f aca="false">S46</f>
        <v>98.9</v>
      </c>
      <c r="X10" s="0" t="n">
        <v>38</v>
      </c>
    </row>
    <row r="11" customFormat="false" ht="48" hidden="false" customHeight="true" outlineLevel="0" collapsed="false">
      <c r="O11" s="189" t="s">
        <v>440</v>
      </c>
      <c r="P11" s="190" t="n">
        <v>95.4</v>
      </c>
      <c r="S11" s="191" t="n">
        <v>78.5</v>
      </c>
      <c r="T11" s="190" t="n">
        <v>3</v>
      </c>
      <c r="U11" s="192"/>
      <c r="W11" s="192" t="n">
        <f aca="false">S45</f>
        <v>98.8</v>
      </c>
      <c r="X11" s="0" t="n">
        <v>37</v>
      </c>
    </row>
    <row r="12" customFormat="false" ht="48" hidden="false" customHeight="true" outlineLevel="0" collapsed="false">
      <c r="O12" s="189" t="s">
        <v>441</v>
      </c>
      <c r="P12" s="190" t="n">
        <v>95.4</v>
      </c>
      <c r="S12" s="191" t="n">
        <v>80</v>
      </c>
      <c r="T12" s="190" t="n">
        <v>4</v>
      </c>
      <c r="U12" s="192"/>
      <c r="W12" s="192" t="n">
        <f aca="false">S44</f>
        <v>98.7</v>
      </c>
      <c r="X12" s="0" t="n">
        <v>36</v>
      </c>
    </row>
    <row r="13" customFormat="false" ht="32.25" hidden="false" customHeight="true" outlineLevel="0" collapsed="false">
      <c r="O13" s="189" t="s">
        <v>442</v>
      </c>
      <c r="P13" s="190" t="n">
        <v>95</v>
      </c>
      <c r="S13" s="191" t="n">
        <v>81.5</v>
      </c>
      <c r="T13" s="190" t="n">
        <v>5</v>
      </c>
      <c r="U13" s="192"/>
      <c r="W13" s="192" t="n">
        <f aca="false">S43</f>
        <v>98.6</v>
      </c>
      <c r="X13" s="0" t="n">
        <v>35</v>
      </c>
    </row>
    <row r="14" customFormat="false" ht="32.25" hidden="false" customHeight="true" outlineLevel="0" collapsed="false">
      <c r="O14" s="189" t="s">
        <v>443</v>
      </c>
      <c r="P14" s="190" t="n">
        <v>95</v>
      </c>
      <c r="S14" s="191" t="n">
        <v>82.5</v>
      </c>
      <c r="T14" s="190" t="n">
        <v>6</v>
      </c>
      <c r="U14" s="192"/>
      <c r="W14" s="192" t="n">
        <f aca="false">S42</f>
        <v>98.5</v>
      </c>
      <c r="X14" s="0" t="n">
        <v>34</v>
      </c>
    </row>
    <row r="15" customFormat="false" ht="32.25" hidden="false" customHeight="true" outlineLevel="0" collapsed="false">
      <c r="O15" s="189" t="s">
        <v>444</v>
      </c>
      <c r="P15" s="190" t="n">
        <v>94.5</v>
      </c>
      <c r="S15" s="191" t="n">
        <v>84</v>
      </c>
      <c r="T15" s="190" t="n">
        <v>7</v>
      </c>
      <c r="U15" s="192"/>
      <c r="W15" s="192" t="n">
        <f aca="false">S41</f>
        <v>98.4</v>
      </c>
      <c r="X15" s="0" t="n">
        <v>33</v>
      </c>
    </row>
    <row r="16" customFormat="false" ht="32.25" hidden="false" customHeight="true" outlineLevel="0" collapsed="false">
      <c r="O16" s="189" t="s">
        <v>445</v>
      </c>
      <c r="P16" s="190" t="n">
        <v>94.1</v>
      </c>
      <c r="S16" s="191" t="n">
        <v>85.5</v>
      </c>
      <c r="T16" s="190" t="n">
        <v>8</v>
      </c>
      <c r="U16" s="192"/>
      <c r="W16" s="192" t="n">
        <f aca="false">S40</f>
        <v>98.2</v>
      </c>
      <c r="X16" s="0" t="n">
        <v>32</v>
      </c>
    </row>
    <row r="17" customFormat="false" ht="32.25" hidden="false" customHeight="true" outlineLevel="0" collapsed="false">
      <c r="O17" s="189" t="s">
        <v>446</v>
      </c>
      <c r="P17" s="190" t="n">
        <v>94.1</v>
      </c>
      <c r="S17" s="191" t="n">
        <v>86.5</v>
      </c>
      <c r="T17" s="190" t="n">
        <v>9</v>
      </c>
      <c r="U17" s="192"/>
      <c r="W17" s="192" t="n">
        <f aca="false">S39</f>
        <v>98</v>
      </c>
      <c r="X17" s="0" t="n">
        <v>31</v>
      </c>
    </row>
    <row r="18" customFormat="false" ht="32.25" hidden="false" customHeight="true" outlineLevel="0" collapsed="false">
      <c r="O18" s="189" t="s">
        <v>447</v>
      </c>
      <c r="P18" s="190" t="n">
        <v>93.6</v>
      </c>
      <c r="S18" s="191" t="n">
        <v>87.5</v>
      </c>
      <c r="T18" s="190" t="n">
        <v>10</v>
      </c>
      <c r="U18" s="192"/>
      <c r="W18" s="192" t="n">
        <f aca="false">S38</f>
        <v>97.8</v>
      </c>
      <c r="X18" s="0" t="n">
        <v>30</v>
      </c>
    </row>
    <row r="19" customFormat="false" ht="32.25" hidden="false" customHeight="true" outlineLevel="0" collapsed="false">
      <c r="O19" s="189" t="s">
        <v>448</v>
      </c>
      <c r="P19" s="190" t="n">
        <v>93</v>
      </c>
      <c r="S19" s="191" t="n">
        <v>88.5</v>
      </c>
      <c r="T19" s="190" t="n">
        <v>11</v>
      </c>
      <c r="U19" s="192"/>
      <c r="W19" s="192" t="n">
        <f aca="false">S37</f>
        <v>97.6</v>
      </c>
      <c r="X19" s="0" t="n">
        <v>29</v>
      </c>
    </row>
    <row r="20" customFormat="false" ht="32.25" hidden="false" customHeight="true" outlineLevel="0" collapsed="false">
      <c r="O20" s="189" t="s">
        <v>449</v>
      </c>
      <c r="P20" s="190" t="n">
        <v>93</v>
      </c>
      <c r="S20" s="191" t="n">
        <v>89.5</v>
      </c>
      <c r="T20" s="190" t="n">
        <v>12</v>
      </c>
      <c r="U20" s="192"/>
      <c r="W20" s="192" t="n">
        <f aca="false">S36</f>
        <v>97.4</v>
      </c>
      <c r="X20" s="0" t="n">
        <v>28</v>
      </c>
    </row>
    <row r="21" customFormat="false" ht="32.25" hidden="false" customHeight="true" outlineLevel="0" collapsed="false">
      <c r="O21" s="193" t="s">
        <v>450</v>
      </c>
      <c r="P21" s="190" t="n">
        <v>91.7</v>
      </c>
      <c r="S21" s="191" t="n">
        <v>90.2</v>
      </c>
      <c r="T21" s="190" t="n">
        <v>13</v>
      </c>
      <c r="U21" s="192"/>
      <c r="W21" s="192" t="n">
        <f aca="false">S35</f>
        <v>97.1</v>
      </c>
      <c r="X21" s="0" t="n">
        <v>27</v>
      </c>
    </row>
    <row r="22" customFormat="false" ht="32.25" hidden="false" customHeight="true" outlineLevel="0" collapsed="false">
      <c r="O22" s="189" t="s">
        <v>451</v>
      </c>
      <c r="P22" s="190" t="n">
        <v>91</v>
      </c>
      <c r="S22" s="191" t="n">
        <v>91</v>
      </c>
      <c r="T22" s="190" t="n">
        <v>14</v>
      </c>
      <c r="U22" s="192"/>
      <c r="W22" s="192" t="n">
        <f aca="false">S34</f>
        <v>96.8</v>
      </c>
      <c r="X22" s="0" t="n">
        <v>26</v>
      </c>
    </row>
    <row r="23" customFormat="false" ht="32.25" hidden="false" customHeight="true" outlineLevel="0" collapsed="false">
      <c r="O23" s="193" t="s">
        <v>452</v>
      </c>
      <c r="P23" s="190" t="n">
        <v>89.5</v>
      </c>
      <c r="S23" s="191" t="n">
        <v>91.7</v>
      </c>
      <c r="T23" s="190" t="n">
        <v>15</v>
      </c>
      <c r="U23" s="192"/>
      <c r="W23" s="192" t="n">
        <f aca="false">S33</f>
        <v>96.5</v>
      </c>
      <c r="X23" s="0" t="n">
        <v>25</v>
      </c>
    </row>
    <row r="24" customFormat="false" ht="32.25" hidden="false" customHeight="true" outlineLevel="0" collapsed="false">
      <c r="O24" s="193" t="s">
        <v>453</v>
      </c>
      <c r="P24" s="190" t="n">
        <v>89.5</v>
      </c>
      <c r="S24" s="191" t="n">
        <v>92.4</v>
      </c>
      <c r="T24" s="190" t="n">
        <v>16</v>
      </c>
      <c r="U24" s="192"/>
      <c r="W24" s="192" t="n">
        <f aca="false">S32</f>
        <v>96.2</v>
      </c>
      <c r="X24" s="0" t="n">
        <v>24</v>
      </c>
    </row>
    <row r="25" customFormat="false" ht="32.25" hidden="false" customHeight="true" outlineLevel="0" collapsed="false">
      <c r="O25" s="193" t="s">
        <v>454</v>
      </c>
      <c r="P25" s="190" t="n">
        <v>86.5</v>
      </c>
      <c r="S25" s="191" t="n">
        <v>93</v>
      </c>
      <c r="T25" s="190" t="n">
        <v>17</v>
      </c>
      <c r="U25" s="192"/>
      <c r="W25" s="192" t="n">
        <f aca="false">S31</f>
        <v>95.8</v>
      </c>
      <c r="X25" s="0" t="n">
        <v>23</v>
      </c>
    </row>
    <row r="26" customFormat="false" ht="32.25" hidden="false" customHeight="true" outlineLevel="0" collapsed="false">
      <c r="E26" s="194" t="n">
        <v>77</v>
      </c>
      <c r="F26" s="194" t="n">
        <v>85.5</v>
      </c>
      <c r="O26" s="193" t="s">
        <v>455</v>
      </c>
      <c r="P26" s="190" t="n">
        <v>86.5</v>
      </c>
      <c r="S26" s="191" t="n">
        <v>93.6</v>
      </c>
      <c r="T26" s="190" t="n">
        <v>18</v>
      </c>
      <c r="U26" s="192"/>
      <c r="W26" s="192" t="n">
        <f aca="false">S30</f>
        <v>95.4</v>
      </c>
      <c r="X26" s="0" t="n">
        <v>22</v>
      </c>
    </row>
    <row r="27" customFormat="false" ht="32.25" hidden="false" customHeight="true" outlineLevel="0" collapsed="false">
      <c r="E27" s="194" t="n">
        <v>84</v>
      </c>
      <c r="F27" s="194" t="n">
        <v>86.5</v>
      </c>
      <c r="O27" s="193" t="s">
        <v>456</v>
      </c>
      <c r="P27" s="190" t="n">
        <v>85.5</v>
      </c>
      <c r="S27" s="191" t="n">
        <v>94.1</v>
      </c>
      <c r="T27" s="190" t="n">
        <v>19</v>
      </c>
      <c r="U27" s="192"/>
      <c r="W27" s="192" t="n">
        <f aca="false">S29</f>
        <v>95</v>
      </c>
      <c r="X27" s="0" t="n">
        <v>21</v>
      </c>
    </row>
    <row r="28" customFormat="false" ht="48" hidden="false" customHeight="true" outlineLevel="0" collapsed="false">
      <c r="E28" s="194" t="n">
        <v>85.5</v>
      </c>
      <c r="F28" s="194" t="n">
        <v>86.5</v>
      </c>
      <c r="O28" s="189" t="s">
        <v>457</v>
      </c>
      <c r="P28" s="190" t="n">
        <v>95</v>
      </c>
      <c r="S28" s="191" t="n">
        <v>94.5</v>
      </c>
      <c r="T28" s="190" t="n">
        <v>20</v>
      </c>
      <c r="U28" s="192"/>
      <c r="W28" s="192" t="n">
        <f aca="false">S28</f>
        <v>94.5</v>
      </c>
      <c r="X28" s="0" t="n">
        <v>20</v>
      </c>
    </row>
    <row r="29" customFormat="false" ht="48" hidden="false" customHeight="true" outlineLevel="0" collapsed="false">
      <c r="E29" s="194" t="n">
        <v>85.5</v>
      </c>
      <c r="F29" s="194" t="n">
        <v>89.5</v>
      </c>
      <c r="O29" s="189" t="s">
        <v>458</v>
      </c>
      <c r="P29" s="190" t="n">
        <v>95</v>
      </c>
      <c r="S29" s="191" t="n">
        <v>95</v>
      </c>
      <c r="T29" s="190" t="n">
        <v>21</v>
      </c>
      <c r="U29" s="192"/>
      <c r="W29" s="192" t="n">
        <f aca="false">S27</f>
        <v>94.1</v>
      </c>
      <c r="X29" s="0" t="n">
        <v>19</v>
      </c>
    </row>
    <row r="30" customFormat="false" ht="48" hidden="false" customHeight="true" outlineLevel="0" collapsed="false">
      <c r="E30" s="194" t="n">
        <v>86.5</v>
      </c>
      <c r="F30" s="194" t="n">
        <v>89.5</v>
      </c>
      <c r="O30" s="189" t="s">
        <v>459</v>
      </c>
      <c r="P30" s="190" t="n">
        <v>94.1</v>
      </c>
      <c r="S30" s="191" t="n">
        <v>95.4</v>
      </c>
      <c r="T30" s="190" t="n">
        <v>22</v>
      </c>
      <c r="U30" s="192"/>
      <c r="W30" s="192" t="n">
        <f aca="false">S26</f>
        <v>93.6</v>
      </c>
      <c r="X30" s="0" t="n">
        <v>18</v>
      </c>
    </row>
    <row r="31" customFormat="false" ht="48" hidden="false" customHeight="true" outlineLevel="0" collapsed="false">
      <c r="E31" s="194" t="n">
        <v>88.5</v>
      </c>
      <c r="F31" s="194" t="n">
        <v>91</v>
      </c>
      <c r="O31" s="189" t="s">
        <v>460</v>
      </c>
      <c r="P31" s="190" t="n">
        <v>94.1</v>
      </c>
      <c r="S31" s="191" t="n">
        <v>95.8</v>
      </c>
      <c r="T31" s="190" t="n">
        <v>23</v>
      </c>
      <c r="U31" s="192"/>
      <c r="W31" s="192" t="n">
        <f aca="false">S25</f>
        <v>93</v>
      </c>
      <c r="X31" s="0" t="n">
        <v>17</v>
      </c>
    </row>
    <row r="32" customFormat="false" ht="48" hidden="false" customHeight="true" outlineLevel="0" collapsed="false">
      <c r="E32" s="194" t="n">
        <v>89.5</v>
      </c>
      <c r="F32" s="194" t="n">
        <v>91.7</v>
      </c>
      <c r="O32" s="189" t="s">
        <v>461</v>
      </c>
      <c r="P32" s="190" t="n">
        <v>93.6</v>
      </c>
      <c r="S32" s="191" t="n">
        <v>96.2</v>
      </c>
      <c r="T32" s="190" t="n">
        <v>24</v>
      </c>
      <c r="U32" s="192"/>
      <c r="W32" s="192" t="n">
        <f aca="false">S24</f>
        <v>92.4</v>
      </c>
      <c r="X32" s="0" t="n">
        <v>16</v>
      </c>
    </row>
    <row r="33" customFormat="false" ht="32.25" hidden="false" customHeight="true" outlineLevel="0" collapsed="false">
      <c r="E33" s="194" t="n">
        <v>90.2</v>
      </c>
      <c r="F33" s="194" t="n">
        <v>93</v>
      </c>
      <c r="O33" s="189" t="s">
        <v>462</v>
      </c>
      <c r="P33" s="190" t="n">
        <v>93.6</v>
      </c>
      <c r="S33" s="191" t="n">
        <v>96.5</v>
      </c>
      <c r="T33" s="190" t="n">
        <v>25</v>
      </c>
      <c r="U33" s="192"/>
      <c r="W33" s="192" t="n">
        <f aca="false">S23</f>
        <v>91.7</v>
      </c>
      <c r="X33" s="0" t="n">
        <v>15</v>
      </c>
    </row>
    <row r="34" customFormat="false" ht="32.25" hidden="false" customHeight="true" outlineLevel="0" collapsed="false">
      <c r="E34" s="194" t="n">
        <v>91</v>
      </c>
      <c r="F34" s="194" t="n">
        <v>93</v>
      </c>
      <c r="O34" s="189" t="s">
        <v>463</v>
      </c>
      <c r="P34" s="190" t="n">
        <v>93.6</v>
      </c>
      <c r="S34" s="191" t="n">
        <v>96.8</v>
      </c>
      <c r="T34" s="190" t="n">
        <v>26</v>
      </c>
      <c r="U34" s="192"/>
      <c r="W34" s="192" t="n">
        <f aca="false">S22</f>
        <v>91</v>
      </c>
      <c r="X34" s="0" t="n">
        <v>14</v>
      </c>
    </row>
    <row r="35" customFormat="false" ht="32.25" hidden="false" customHeight="true" outlineLevel="0" collapsed="false">
      <c r="E35" s="194" t="n">
        <v>91.7</v>
      </c>
      <c r="F35" s="194" t="n">
        <v>93.6</v>
      </c>
      <c r="O35" s="189" t="s">
        <v>464</v>
      </c>
      <c r="P35" s="190" t="n">
        <v>93</v>
      </c>
      <c r="S35" s="191" t="n">
        <v>97.1</v>
      </c>
      <c r="T35" s="190" t="n">
        <v>27</v>
      </c>
      <c r="U35" s="192"/>
      <c r="W35" s="192" t="n">
        <f aca="false">S21</f>
        <v>90.2</v>
      </c>
      <c r="X35" s="0" t="n">
        <v>13</v>
      </c>
    </row>
    <row r="36" customFormat="false" ht="32.25" hidden="false" customHeight="true" outlineLevel="0" collapsed="false">
      <c r="E36" s="194" t="n">
        <v>91.7</v>
      </c>
      <c r="F36" s="194" t="n">
        <v>94.1</v>
      </c>
      <c r="O36" s="189" t="s">
        <v>465</v>
      </c>
      <c r="P36" s="190" t="n">
        <v>92.4</v>
      </c>
      <c r="S36" s="191" t="n">
        <v>97.4</v>
      </c>
      <c r="T36" s="190" t="n">
        <v>28</v>
      </c>
      <c r="U36" s="192"/>
      <c r="W36" s="192" t="n">
        <f aca="false">S20</f>
        <v>89.5</v>
      </c>
      <c r="X36" s="0" t="n">
        <v>12</v>
      </c>
    </row>
    <row r="37" customFormat="false" ht="32.25" hidden="false" customHeight="true" outlineLevel="0" collapsed="false">
      <c r="E37" s="194" t="n">
        <v>92.4</v>
      </c>
      <c r="F37" s="194" t="n">
        <v>94.1</v>
      </c>
      <c r="O37" s="189" t="s">
        <v>466</v>
      </c>
      <c r="P37" s="190" t="n">
        <v>91.7</v>
      </c>
      <c r="S37" s="191" t="n">
        <v>97.6</v>
      </c>
      <c r="T37" s="190" t="n">
        <v>29</v>
      </c>
      <c r="U37" s="192"/>
      <c r="W37" s="192" t="n">
        <f aca="false">S19</f>
        <v>88.5</v>
      </c>
      <c r="X37" s="0" t="n">
        <v>11</v>
      </c>
    </row>
    <row r="38" customFormat="false" ht="32.25" hidden="false" customHeight="true" outlineLevel="0" collapsed="false">
      <c r="E38" s="194" t="n">
        <v>93</v>
      </c>
      <c r="F38" s="194" t="n">
        <v>94.5</v>
      </c>
      <c r="O38" s="189" t="s">
        <v>467</v>
      </c>
      <c r="P38" s="190" t="n">
        <v>91.7</v>
      </c>
      <c r="S38" s="191" t="n">
        <v>97.8</v>
      </c>
      <c r="T38" s="190" t="n">
        <v>30</v>
      </c>
      <c r="U38" s="192"/>
      <c r="W38" s="192" t="n">
        <f aca="false">S18</f>
        <v>87.5</v>
      </c>
      <c r="X38" s="0" t="n">
        <v>10</v>
      </c>
    </row>
    <row r="39" customFormat="false" ht="32.25" hidden="false" customHeight="true" outlineLevel="0" collapsed="false">
      <c r="E39" s="194" t="n">
        <v>93.6</v>
      </c>
      <c r="F39" s="194" t="n">
        <v>95</v>
      </c>
      <c r="O39" s="189" t="s">
        <v>468</v>
      </c>
      <c r="P39" s="190" t="n">
        <v>91</v>
      </c>
      <c r="S39" s="191" t="n">
        <v>98</v>
      </c>
      <c r="T39" s="190" t="n">
        <v>31</v>
      </c>
      <c r="U39" s="192"/>
      <c r="W39" s="192" t="n">
        <f aca="false">S17</f>
        <v>86.5</v>
      </c>
      <c r="X39" s="0" t="n">
        <v>9</v>
      </c>
    </row>
    <row r="40" customFormat="false" ht="32.25" hidden="false" customHeight="true" outlineLevel="0" collapsed="false">
      <c r="E40" s="194" t="n">
        <v>93.6</v>
      </c>
      <c r="F40" s="194" t="n">
        <v>95</v>
      </c>
      <c r="O40" s="189" t="s">
        <v>469</v>
      </c>
      <c r="P40" s="190" t="n">
        <v>90.2</v>
      </c>
      <c r="S40" s="191" t="n">
        <v>98.2</v>
      </c>
      <c r="T40" s="190" t="n">
        <v>32</v>
      </c>
      <c r="U40" s="192"/>
      <c r="W40" s="192" t="n">
        <f aca="false">S16</f>
        <v>85.5</v>
      </c>
      <c r="X40" s="0" t="n">
        <v>8</v>
      </c>
    </row>
    <row r="41" customFormat="false" ht="32.25" hidden="false" customHeight="true" outlineLevel="0" collapsed="false">
      <c r="E41" s="194" t="n">
        <v>93.6</v>
      </c>
      <c r="F41" s="194" t="n">
        <v>95.4</v>
      </c>
      <c r="O41" s="193" t="s">
        <v>470</v>
      </c>
      <c r="P41" s="190" t="n">
        <v>89.5</v>
      </c>
      <c r="S41" s="191" t="n">
        <v>98.4</v>
      </c>
      <c r="T41" s="190" t="n">
        <v>33</v>
      </c>
      <c r="U41" s="192"/>
      <c r="W41" s="192" t="n">
        <f aca="false">S15</f>
        <v>84</v>
      </c>
      <c r="X41" s="0" t="n">
        <v>7</v>
      </c>
    </row>
    <row r="42" customFormat="false" ht="32.25" hidden="false" customHeight="true" outlineLevel="0" collapsed="false">
      <c r="E42" s="194" t="n">
        <v>94.1</v>
      </c>
      <c r="F42" s="194" t="n">
        <v>95.4</v>
      </c>
      <c r="O42" s="189" t="s">
        <v>471</v>
      </c>
      <c r="P42" s="190" t="n">
        <v>88.5</v>
      </c>
      <c r="S42" s="191" t="n">
        <v>98.5</v>
      </c>
      <c r="T42" s="190" t="n">
        <v>34</v>
      </c>
      <c r="U42" s="192"/>
      <c r="W42" s="192" t="n">
        <f aca="false">S14</f>
        <v>82.5</v>
      </c>
      <c r="X42" s="0" t="n">
        <v>6</v>
      </c>
    </row>
    <row r="43" customFormat="false" ht="32.25" hidden="false" customHeight="true" outlineLevel="0" collapsed="false">
      <c r="E43" s="194" t="n">
        <v>94.1</v>
      </c>
      <c r="F43" s="194" t="n">
        <v>95.8</v>
      </c>
      <c r="O43" s="193" t="s">
        <v>472</v>
      </c>
      <c r="P43" s="190" t="n">
        <v>86.5</v>
      </c>
      <c r="S43" s="191" t="n">
        <v>98.6</v>
      </c>
      <c r="T43" s="190" t="n">
        <v>35</v>
      </c>
      <c r="U43" s="192"/>
      <c r="W43" s="192" t="n">
        <f aca="false">S13</f>
        <v>81.5</v>
      </c>
      <c r="X43" s="0" t="n">
        <v>5</v>
      </c>
    </row>
    <row r="44" customFormat="false" ht="32.25" hidden="false" customHeight="true" outlineLevel="0" collapsed="false">
      <c r="E44" s="194" t="n">
        <v>95</v>
      </c>
      <c r="F44" s="194" t="n">
        <v>95.8</v>
      </c>
      <c r="O44" s="193" t="s">
        <v>473</v>
      </c>
      <c r="P44" s="190" t="n">
        <v>85.5</v>
      </c>
      <c r="S44" s="191" t="n">
        <v>98.7</v>
      </c>
      <c r="T44" s="190" t="n">
        <v>36</v>
      </c>
      <c r="U44" s="192"/>
      <c r="W44" s="192" t="n">
        <f aca="false">S12</f>
        <v>80</v>
      </c>
      <c r="X44" s="0" t="n">
        <v>4</v>
      </c>
    </row>
    <row r="45" customFormat="false" ht="32.25" hidden="false" customHeight="true" outlineLevel="0" collapsed="false">
      <c r="E45" s="194" t="n">
        <v>95</v>
      </c>
      <c r="F45" s="194" t="n">
        <v>95.8</v>
      </c>
      <c r="O45" s="193" t="s">
        <v>474</v>
      </c>
      <c r="P45" s="190" t="n">
        <v>85.5</v>
      </c>
      <c r="S45" s="191" t="n">
        <v>98.8</v>
      </c>
      <c r="T45" s="190" t="n">
        <v>37</v>
      </c>
      <c r="U45" s="192"/>
      <c r="W45" s="192" t="n">
        <f aca="false">S11</f>
        <v>78.5</v>
      </c>
      <c r="X45" s="0" t="n">
        <v>3</v>
      </c>
    </row>
    <row r="46" customFormat="false" ht="32.25" hidden="false" customHeight="true" outlineLevel="0" collapsed="false">
      <c r="O46" s="193" t="s">
        <v>475</v>
      </c>
      <c r="P46" s="190" t="n">
        <v>84</v>
      </c>
      <c r="S46" s="191" t="n">
        <v>98.9</v>
      </c>
      <c r="T46" s="190" t="n">
        <v>38</v>
      </c>
      <c r="U46" s="192"/>
      <c r="W46" s="192" t="n">
        <f aca="false">S10</f>
        <v>77</v>
      </c>
      <c r="X46" s="0" t="n">
        <v>2</v>
      </c>
    </row>
    <row r="47" customFormat="false" ht="32.25" hidden="false" customHeight="true" outlineLevel="0" collapsed="false">
      <c r="O47" s="193" t="s">
        <v>476</v>
      </c>
      <c r="P47" s="190" t="n">
        <v>77</v>
      </c>
      <c r="S47" s="191" t="n">
        <v>99</v>
      </c>
      <c r="T47" s="190" t="n">
        <v>39</v>
      </c>
      <c r="W47" s="192" t="n">
        <f aca="false">S9</f>
        <v>75.5</v>
      </c>
      <c r="X47" s="0" t="n">
        <v>1</v>
      </c>
    </row>
    <row r="48" customFormat="false" ht="48" hidden="false" customHeight="true" outlineLevel="0" collapsed="false">
      <c r="O48" s="189" t="s">
        <v>477</v>
      </c>
      <c r="P48" s="190" t="n">
        <v>95.8</v>
      </c>
    </row>
    <row r="49" customFormat="false" ht="48" hidden="false" customHeight="true" outlineLevel="0" collapsed="false">
      <c r="O49" s="189" t="s">
        <v>478</v>
      </c>
      <c r="P49" s="190" t="n">
        <v>95.8</v>
      </c>
    </row>
    <row r="50" customFormat="false" ht="48" hidden="false" customHeight="true" outlineLevel="0" collapsed="false">
      <c r="O50" s="189" t="s">
        <v>479</v>
      </c>
      <c r="P50" s="190" t="n">
        <v>95.8</v>
      </c>
    </row>
    <row r="51" customFormat="false" ht="48" hidden="false" customHeight="true" outlineLevel="0" collapsed="false">
      <c r="O51" s="189" t="s">
        <v>480</v>
      </c>
      <c r="P51" s="190" t="n">
        <v>95.4</v>
      </c>
    </row>
    <row r="52" customFormat="false" ht="48" hidden="false" customHeight="true" outlineLevel="0" collapsed="false">
      <c r="O52" s="189" t="s">
        <v>481</v>
      </c>
      <c r="P52" s="190" t="n">
        <v>95.4</v>
      </c>
    </row>
    <row r="53" customFormat="false" ht="32.25" hidden="false" customHeight="true" outlineLevel="0" collapsed="false">
      <c r="O53" s="189" t="s">
        <v>482</v>
      </c>
      <c r="P53" s="190" t="n">
        <v>95</v>
      </c>
    </row>
    <row r="54" customFormat="false" ht="32.25" hidden="false" customHeight="true" outlineLevel="0" collapsed="false">
      <c r="O54" s="189" t="s">
        <v>483</v>
      </c>
      <c r="P54" s="190" t="n">
        <v>95</v>
      </c>
    </row>
    <row r="55" customFormat="false" ht="32.25" hidden="false" customHeight="true" outlineLevel="0" collapsed="false">
      <c r="O55" s="189" t="s">
        <v>484</v>
      </c>
      <c r="P55" s="190" t="n">
        <v>94.5</v>
      </c>
    </row>
    <row r="56" customFormat="false" ht="32.25" hidden="false" customHeight="true" outlineLevel="0" collapsed="false">
      <c r="O56" s="189" t="s">
        <v>485</v>
      </c>
      <c r="P56" s="190" t="n">
        <v>94.1</v>
      </c>
    </row>
    <row r="57" customFormat="false" ht="32.25" hidden="false" customHeight="true" outlineLevel="0" collapsed="false">
      <c r="O57" s="189" t="s">
        <v>486</v>
      </c>
      <c r="P57" s="190" t="n">
        <v>94.1</v>
      </c>
    </row>
    <row r="58" customFormat="false" ht="32.25" hidden="false" customHeight="true" outlineLevel="0" collapsed="false">
      <c r="O58" s="189" t="s">
        <v>487</v>
      </c>
      <c r="P58" s="190" t="n">
        <v>93.6</v>
      </c>
    </row>
    <row r="59" customFormat="false" ht="32.25" hidden="false" customHeight="true" outlineLevel="0" collapsed="false">
      <c r="O59" s="189" t="s">
        <v>488</v>
      </c>
      <c r="P59" s="190" t="n">
        <v>93</v>
      </c>
    </row>
    <row r="60" customFormat="false" ht="32.25" hidden="false" customHeight="true" outlineLevel="0" collapsed="false">
      <c r="O60" s="189" t="s">
        <v>489</v>
      </c>
      <c r="P60" s="190" t="n">
        <v>93</v>
      </c>
    </row>
    <row r="61" customFormat="false" ht="32.25" hidden="false" customHeight="true" outlineLevel="0" collapsed="false">
      <c r="O61" s="193" t="s">
        <v>490</v>
      </c>
      <c r="P61" s="190" t="n">
        <v>91.7</v>
      </c>
    </row>
    <row r="62" customFormat="false" ht="32.25" hidden="false" customHeight="false" outlineLevel="0" collapsed="false">
      <c r="O62" s="189" t="s">
        <v>491</v>
      </c>
      <c r="P62" s="190" t="n">
        <v>91</v>
      </c>
    </row>
    <row r="63" customFormat="false" ht="32.25" hidden="false" customHeight="true" outlineLevel="0" collapsed="false">
      <c r="O63" s="193" t="s">
        <v>492</v>
      </c>
      <c r="P63" s="190" t="n">
        <v>89.5</v>
      </c>
    </row>
    <row r="64" customFormat="false" ht="32.25" hidden="false" customHeight="true" outlineLevel="0" collapsed="false">
      <c r="O64" s="193" t="s">
        <v>493</v>
      </c>
      <c r="P64" s="190" t="n">
        <v>89.5</v>
      </c>
    </row>
    <row r="65" customFormat="false" ht="32.25" hidden="false" customHeight="true" outlineLevel="0" collapsed="false">
      <c r="O65" s="193" t="s">
        <v>494</v>
      </c>
      <c r="P65" s="190" t="n">
        <v>86.5</v>
      </c>
    </row>
    <row r="66" customFormat="false" ht="32.25" hidden="false" customHeight="false" outlineLevel="0" collapsed="false">
      <c r="O66" s="193" t="s">
        <v>495</v>
      </c>
      <c r="P66" s="190" t="n">
        <v>86.5</v>
      </c>
    </row>
    <row r="67" customFormat="false" ht="32.25" hidden="false" customHeight="true" outlineLevel="0" collapsed="false">
      <c r="O67" s="193" t="s">
        <v>496</v>
      </c>
      <c r="P67" s="190" t="n">
        <v>85.5</v>
      </c>
    </row>
    <row r="68" customFormat="false" ht="48" hidden="false" customHeight="true" outlineLevel="0" collapsed="false">
      <c r="O68" s="189" t="s">
        <v>497</v>
      </c>
      <c r="P68" s="190" t="n">
        <v>95</v>
      </c>
    </row>
    <row r="69" customFormat="false" ht="48" hidden="false" customHeight="true" outlineLevel="0" collapsed="false">
      <c r="O69" s="189" t="s">
        <v>498</v>
      </c>
      <c r="P69" s="190" t="n">
        <v>95</v>
      </c>
    </row>
    <row r="70" customFormat="false" ht="48" hidden="false" customHeight="true" outlineLevel="0" collapsed="false">
      <c r="O70" s="189" t="s">
        <v>499</v>
      </c>
      <c r="P70" s="190" t="n">
        <v>94.1</v>
      </c>
    </row>
    <row r="71" customFormat="false" ht="48" hidden="false" customHeight="true" outlineLevel="0" collapsed="false">
      <c r="O71" s="189" t="s">
        <v>500</v>
      </c>
      <c r="P71" s="190" t="n">
        <v>94.1</v>
      </c>
    </row>
    <row r="72" customFormat="false" ht="48" hidden="false" customHeight="true" outlineLevel="0" collapsed="false">
      <c r="O72" s="189" t="s">
        <v>501</v>
      </c>
      <c r="P72" s="190" t="n">
        <v>93.6</v>
      </c>
    </row>
    <row r="73" customFormat="false" ht="32.25" hidden="false" customHeight="true" outlineLevel="0" collapsed="false">
      <c r="O73" s="189" t="s">
        <v>502</v>
      </c>
      <c r="P73" s="190" t="n">
        <v>93.6</v>
      </c>
    </row>
    <row r="74" customFormat="false" ht="32.25" hidden="false" customHeight="true" outlineLevel="0" collapsed="false">
      <c r="O74" s="189" t="s">
        <v>503</v>
      </c>
      <c r="P74" s="190" t="n">
        <v>93.6</v>
      </c>
    </row>
    <row r="75" customFormat="false" ht="32.25" hidden="false" customHeight="true" outlineLevel="0" collapsed="false">
      <c r="O75" s="189" t="s">
        <v>504</v>
      </c>
      <c r="P75" s="190" t="n">
        <v>93</v>
      </c>
    </row>
    <row r="76" customFormat="false" ht="32.25" hidden="false" customHeight="true" outlineLevel="0" collapsed="false">
      <c r="O76" s="189" t="s">
        <v>505</v>
      </c>
      <c r="P76" s="190" t="n">
        <v>92.4</v>
      </c>
    </row>
    <row r="77" customFormat="false" ht="32.25" hidden="false" customHeight="true" outlineLevel="0" collapsed="false">
      <c r="O77" s="189" t="s">
        <v>506</v>
      </c>
      <c r="P77" s="190" t="n">
        <v>91.7</v>
      </c>
    </row>
    <row r="78" customFormat="false" ht="32.25" hidden="false" customHeight="true" outlineLevel="0" collapsed="false">
      <c r="O78" s="189" t="s">
        <v>507</v>
      </c>
      <c r="P78" s="190" t="n">
        <v>91.7</v>
      </c>
    </row>
    <row r="79" customFormat="false" ht="32.25" hidden="false" customHeight="true" outlineLevel="0" collapsed="false">
      <c r="O79" s="189" t="s">
        <v>508</v>
      </c>
      <c r="P79" s="190" t="n">
        <v>91</v>
      </c>
    </row>
    <row r="80" customFormat="false" ht="32.25" hidden="false" customHeight="true" outlineLevel="0" collapsed="false">
      <c r="O80" s="189" t="s">
        <v>509</v>
      </c>
      <c r="P80" s="190" t="n">
        <v>90.2</v>
      </c>
    </row>
    <row r="81" customFormat="false" ht="32.25" hidden="false" customHeight="true" outlineLevel="0" collapsed="false">
      <c r="O81" s="193" t="s">
        <v>510</v>
      </c>
      <c r="P81" s="190" t="n">
        <v>89.5</v>
      </c>
    </row>
    <row r="82" customFormat="false" ht="32.25" hidden="false" customHeight="false" outlineLevel="0" collapsed="false">
      <c r="O82" s="189" t="s">
        <v>511</v>
      </c>
      <c r="P82" s="190" t="n">
        <v>88.5</v>
      </c>
    </row>
    <row r="83" customFormat="false" ht="32.25" hidden="false" customHeight="true" outlineLevel="0" collapsed="false">
      <c r="O83" s="193" t="s">
        <v>512</v>
      </c>
      <c r="P83" s="190" t="n">
        <v>86.5</v>
      </c>
    </row>
    <row r="84" customFormat="false" ht="32.25" hidden="false" customHeight="true" outlineLevel="0" collapsed="false">
      <c r="O84" s="193" t="s">
        <v>513</v>
      </c>
      <c r="P84" s="190" t="n">
        <v>85.5</v>
      </c>
    </row>
    <row r="85" customFormat="false" ht="32.25" hidden="false" customHeight="true" outlineLevel="0" collapsed="false">
      <c r="O85" s="193" t="s">
        <v>514</v>
      </c>
      <c r="P85" s="190" t="n">
        <v>85.5</v>
      </c>
    </row>
    <row r="86" customFormat="false" ht="32.25" hidden="false" customHeight="false" outlineLevel="0" collapsed="false">
      <c r="O86" s="193" t="s">
        <v>515</v>
      </c>
      <c r="P86" s="190" t="n">
        <v>84</v>
      </c>
    </row>
    <row r="87" customFormat="false" ht="32.25" hidden="false" customHeight="true" outlineLevel="0" collapsed="false">
      <c r="O87" s="193" t="s">
        <v>516</v>
      </c>
      <c r="P87" s="190" t="n">
        <v>77</v>
      </c>
    </row>
    <row r="88" customFormat="false" ht="32.25" hidden="false" customHeight="true" outlineLevel="0" collapsed="false">
      <c r="O88" s="189" t="s">
        <v>517</v>
      </c>
      <c r="P88" s="190" t="n">
        <v>95.8</v>
      </c>
    </row>
    <row r="89" customFormat="false" ht="32.25" hidden="false" customHeight="true" outlineLevel="0" collapsed="false">
      <c r="O89" s="189" t="s">
        <v>518</v>
      </c>
      <c r="P89" s="190" t="n">
        <v>95.8</v>
      </c>
    </row>
    <row r="90" customFormat="false" ht="32.25" hidden="false" customHeight="true" outlineLevel="0" collapsed="false">
      <c r="O90" s="189" t="s">
        <v>519</v>
      </c>
      <c r="P90" s="190" t="n">
        <v>95.8</v>
      </c>
    </row>
    <row r="91" customFormat="false" ht="32.25" hidden="false" customHeight="true" outlineLevel="0" collapsed="false">
      <c r="O91" s="189" t="s">
        <v>520</v>
      </c>
      <c r="P91" s="190" t="n">
        <v>95.4</v>
      </c>
    </row>
    <row r="92" customFormat="false" ht="32.25" hidden="false" customHeight="true" outlineLevel="0" collapsed="false">
      <c r="O92" s="189" t="s">
        <v>521</v>
      </c>
      <c r="P92" s="190" t="n">
        <v>95.4</v>
      </c>
    </row>
    <row r="93" customFormat="false" ht="32.25" hidden="false" customHeight="true" outlineLevel="0" collapsed="false">
      <c r="O93" s="189" t="s">
        <v>522</v>
      </c>
      <c r="P93" s="190" t="n">
        <v>95</v>
      </c>
    </row>
    <row r="94" customFormat="false" ht="32.25" hidden="false" customHeight="true" outlineLevel="0" collapsed="false">
      <c r="O94" s="189" t="s">
        <v>523</v>
      </c>
      <c r="P94" s="190" t="n">
        <v>95</v>
      </c>
    </row>
    <row r="95" customFormat="false" ht="32.25" hidden="false" customHeight="true" outlineLevel="0" collapsed="false">
      <c r="O95" s="189" t="s">
        <v>524</v>
      </c>
      <c r="P95" s="190" t="n">
        <v>94.5</v>
      </c>
    </row>
    <row r="96" customFormat="false" ht="32.25" hidden="false" customHeight="true" outlineLevel="0" collapsed="false">
      <c r="O96" s="189" t="s">
        <v>525</v>
      </c>
      <c r="P96" s="190" t="n">
        <v>94.1</v>
      </c>
    </row>
    <row r="97" customFormat="false" ht="32.25" hidden="false" customHeight="true" outlineLevel="0" collapsed="false">
      <c r="O97" s="189" t="s">
        <v>526</v>
      </c>
      <c r="P97" s="190" t="n">
        <v>94.1</v>
      </c>
    </row>
    <row r="98" customFormat="false" ht="32.25" hidden="false" customHeight="true" outlineLevel="0" collapsed="false">
      <c r="O98" s="189" t="s">
        <v>527</v>
      </c>
      <c r="P98" s="190" t="n">
        <v>93.6</v>
      </c>
    </row>
    <row r="99" customFormat="false" ht="32.25" hidden="false" customHeight="true" outlineLevel="0" collapsed="false">
      <c r="O99" s="189" t="s">
        <v>528</v>
      </c>
      <c r="P99" s="190" t="n">
        <v>93</v>
      </c>
    </row>
    <row r="100" customFormat="false" ht="32.25" hidden="false" customHeight="true" outlineLevel="0" collapsed="false">
      <c r="O100" s="189" t="s">
        <v>529</v>
      </c>
      <c r="P100" s="190" t="n">
        <v>93</v>
      </c>
    </row>
    <row r="101" customFormat="false" ht="32.25" hidden="false" customHeight="true" outlineLevel="0" collapsed="false">
      <c r="O101" s="193" t="s">
        <v>530</v>
      </c>
      <c r="P101" s="190" t="n">
        <v>91.7</v>
      </c>
    </row>
    <row r="102" customFormat="false" ht="32.25" hidden="false" customHeight="true" outlineLevel="0" collapsed="false">
      <c r="O102" s="189" t="s">
        <v>531</v>
      </c>
      <c r="P102" s="190" t="n">
        <v>91</v>
      </c>
    </row>
    <row r="103" customFormat="false" ht="32.25" hidden="false" customHeight="true" outlineLevel="0" collapsed="false">
      <c r="O103" s="193" t="s">
        <v>532</v>
      </c>
      <c r="P103" s="190" t="n">
        <v>89.5</v>
      </c>
    </row>
    <row r="104" customFormat="false" ht="32.25" hidden="false" customHeight="true" outlineLevel="0" collapsed="false">
      <c r="O104" s="193" t="s">
        <v>533</v>
      </c>
      <c r="P104" s="190" t="n">
        <v>89.5</v>
      </c>
    </row>
    <row r="105" customFormat="false" ht="32.25" hidden="false" customHeight="true" outlineLevel="0" collapsed="false">
      <c r="O105" s="193" t="s">
        <v>534</v>
      </c>
      <c r="P105" s="190" t="n">
        <v>86.5</v>
      </c>
    </row>
    <row r="106" customFormat="false" ht="32.25" hidden="false" customHeight="true" outlineLevel="0" collapsed="false">
      <c r="O106" s="193" t="s">
        <v>535</v>
      </c>
      <c r="P106" s="190" t="n">
        <v>86.5</v>
      </c>
    </row>
    <row r="107" customFormat="false" ht="32.25" hidden="false" customHeight="true" outlineLevel="0" collapsed="false">
      <c r="O107" s="193" t="s">
        <v>536</v>
      </c>
      <c r="P107" s="190" t="n">
        <v>85.5</v>
      </c>
    </row>
    <row r="108" customFormat="false" ht="32.25" hidden="false" customHeight="true" outlineLevel="0" collapsed="false">
      <c r="O108" s="189" t="s">
        <v>537</v>
      </c>
      <c r="P108" s="190" t="n">
        <v>95</v>
      </c>
    </row>
    <row r="109" customFormat="false" ht="32.25" hidden="false" customHeight="true" outlineLevel="0" collapsed="false">
      <c r="O109" s="189" t="s">
        <v>538</v>
      </c>
      <c r="P109" s="190" t="n">
        <v>95</v>
      </c>
    </row>
    <row r="110" customFormat="false" ht="32.25" hidden="false" customHeight="true" outlineLevel="0" collapsed="false">
      <c r="O110" s="189" t="s">
        <v>539</v>
      </c>
      <c r="P110" s="190" t="n">
        <v>94.1</v>
      </c>
    </row>
    <row r="111" customFormat="false" ht="32.25" hidden="false" customHeight="true" outlineLevel="0" collapsed="false">
      <c r="O111" s="189" t="s">
        <v>540</v>
      </c>
      <c r="P111" s="190" t="n">
        <v>94.1</v>
      </c>
    </row>
    <row r="112" customFormat="false" ht="32.25" hidden="false" customHeight="true" outlineLevel="0" collapsed="false">
      <c r="O112" s="189" t="s">
        <v>541</v>
      </c>
      <c r="P112" s="190" t="n">
        <v>93.6</v>
      </c>
    </row>
    <row r="113" customFormat="false" ht="32.25" hidden="false" customHeight="true" outlineLevel="0" collapsed="false">
      <c r="O113" s="189" t="s">
        <v>542</v>
      </c>
      <c r="P113" s="190" t="n">
        <v>93.6</v>
      </c>
    </row>
    <row r="114" customFormat="false" ht="32.25" hidden="false" customHeight="true" outlineLevel="0" collapsed="false">
      <c r="O114" s="189" t="s">
        <v>543</v>
      </c>
      <c r="P114" s="190" t="n">
        <v>93.6</v>
      </c>
    </row>
    <row r="115" customFormat="false" ht="32.25" hidden="false" customHeight="true" outlineLevel="0" collapsed="false">
      <c r="O115" s="189" t="s">
        <v>544</v>
      </c>
      <c r="P115" s="190" t="n">
        <v>93</v>
      </c>
    </row>
    <row r="116" customFormat="false" ht="32.25" hidden="false" customHeight="true" outlineLevel="0" collapsed="false">
      <c r="O116" s="189" t="s">
        <v>545</v>
      </c>
      <c r="P116" s="190" t="n">
        <v>92.4</v>
      </c>
    </row>
    <row r="117" customFormat="false" ht="32.25" hidden="false" customHeight="true" outlineLevel="0" collapsed="false">
      <c r="O117" s="189" t="s">
        <v>546</v>
      </c>
      <c r="P117" s="190" t="n">
        <v>91.7</v>
      </c>
    </row>
    <row r="118" customFormat="false" ht="32.25" hidden="false" customHeight="true" outlineLevel="0" collapsed="false">
      <c r="O118" s="189" t="s">
        <v>547</v>
      </c>
      <c r="P118" s="190" t="n">
        <v>91.7</v>
      </c>
    </row>
    <row r="119" customFormat="false" ht="32.25" hidden="false" customHeight="true" outlineLevel="0" collapsed="false">
      <c r="O119" s="189" t="s">
        <v>548</v>
      </c>
      <c r="P119" s="190" t="n">
        <v>91</v>
      </c>
    </row>
    <row r="120" customFormat="false" ht="32.25" hidden="false" customHeight="true" outlineLevel="0" collapsed="false">
      <c r="O120" s="189" t="s">
        <v>549</v>
      </c>
      <c r="P120" s="190" t="n">
        <v>90.2</v>
      </c>
    </row>
    <row r="121" customFormat="false" ht="32.25" hidden="false" customHeight="true" outlineLevel="0" collapsed="false">
      <c r="O121" s="193" t="s">
        <v>550</v>
      </c>
      <c r="P121" s="190" t="n">
        <v>89.5</v>
      </c>
    </row>
    <row r="122" customFormat="false" ht="32.25" hidden="false" customHeight="true" outlineLevel="0" collapsed="false">
      <c r="O122" s="189" t="s">
        <v>551</v>
      </c>
      <c r="P122" s="190" t="n">
        <v>88.5</v>
      </c>
    </row>
    <row r="123" customFormat="false" ht="32.25" hidden="false" customHeight="true" outlineLevel="0" collapsed="false">
      <c r="O123" s="193" t="s">
        <v>552</v>
      </c>
      <c r="P123" s="190" t="n">
        <v>86.5</v>
      </c>
    </row>
    <row r="124" customFormat="false" ht="32.25" hidden="false" customHeight="true" outlineLevel="0" collapsed="false">
      <c r="O124" s="193" t="s">
        <v>553</v>
      </c>
      <c r="P124" s="190" t="n">
        <v>85.5</v>
      </c>
    </row>
    <row r="125" customFormat="false" ht="32.25" hidden="false" customHeight="true" outlineLevel="0" collapsed="false">
      <c r="O125" s="193" t="s">
        <v>554</v>
      </c>
      <c r="P125" s="190" t="n">
        <v>85.5</v>
      </c>
    </row>
    <row r="126" customFormat="false" ht="32.25" hidden="false" customHeight="true" outlineLevel="0" collapsed="false">
      <c r="O126" s="193" t="s">
        <v>555</v>
      </c>
      <c r="P126" s="190" t="n">
        <v>84</v>
      </c>
    </row>
    <row r="127" customFormat="false" ht="32.25" hidden="false" customHeight="true" outlineLevel="0" collapsed="false">
      <c r="O127" s="193" t="s">
        <v>556</v>
      </c>
      <c r="P127" s="190" t="n">
        <v>77</v>
      </c>
    </row>
    <row r="128" customFormat="false" ht="32.25" hidden="false" customHeight="true" outlineLevel="0" collapsed="false">
      <c r="O128" s="189" t="s">
        <v>557</v>
      </c>
      <c r="P128" s="190" t="n">
        <v>95.8</v>
      </c>
    </row>
    <row r="129" customFormat="false" ht="32.25" hidden="false" customHeight="true" outlineLevel="0" collapsed="false">
      <c r="O129" s="189" t="s">
        <v>558</v>
      </c>
      <c r="P129" s="190" t="n">
        <v>95.8</v>
      </c>
    </row>
    <row r="130" customFormat="false" ht="32.25" hidden="false" customHeight="true" outlineLevel="0" collapsed="false">
      <c r="O130" s="189" t="s">
        <v>559</v>
      </c>
      <c r="P130" s="190" t="n">
        <v>95.8</v>
      </c>
    </row>
    <row r="131" customFormat="false" ht="32.25" hidden="false" customHeight="true" outlineLevel="0" collapsed="false">
      <c r="O131" s="189" t="s">
        <v>560</v>
      </c>
      <c r="P131" s="190" t="n">
        <v>95.4</v>
      </c>
    </row>
    <row r="132" customFormat="false" ht="32.25" hidden="false" customHeight="true" outlineLevel="0" collapsed="false">
      <c r="O132" s="189" t="s">
        <v>561</v>
      </c>
      <c r="P132" s="190" t="n">
        <v>95.4</v>
      </c>
    </row>
    <row r="133" customFormat="false" ht="32.25" hidden="false" customHeight="true" outlineLevel="0" collapsed="false">
      <c r="O133" s="189" t="s">
        <v>562</v>
      </c>
      <c r="P133" s="190" t="n">
        <v>95</v>
      </c>
    </row>
    <row r="134" customFormat="false" ht="32.25" hidden="false" customHeight="true" outlineLevel="0" collapsed="false">
      <c r="O134" s="189" t="s">
        <v>563</v>
      </c>
      <c r="P134" s="190" t="n">
        <v>95</v>
      </c>
    </row>
    <row r="135" customFormat="false" ht="32.25" hidden="false" customHeight="true" outlineLevel="0" collapsed="false">
      <c r="O135" s="189" t="s">
        <v>564</v>
      </c>
      <c r="P135" s="190" t="n">
        <v>94.5</v>
      </c>
    </row>
    <row r="136" customFormat="false" ht="32.25" hidden="false" customHeight="true" outlineLevel="0" collapsed="false">
      <c r="O136" s="189" t="s">
        <v>565</v>
      </c>
      <c r="P136" s="190" t="n">
        <v>94.1</v>
      </c>
    </row>
    <row r="137" customFormat="false" ht="32.25" hidden="false" customHeight="true" outlineLevel="0" collapsed="false">
      <c r="O137" s="189" t="s">
        <v>566</v>
      </c>
      <c r="P137" s="190" t="n">
        <v>94.1</v>
      </c>
    </row>
    <row r="138" customFormat="false" ht="32.25" hidden="false" customHeight="true" outlineLevel="0" collapsed="false">
      <c r="O138" s="189" t="s">
        <v>567</v>
      </c>
      <c r="P138" s="190" t="n">
        <v>93.6</v>
      </c>
    </row>
    <row r="139" customFormat="false" ht="32.25" hidden="false" customHeight="true" outlineLevel="0" collapsed="false">
      <c r="O139" s="189" t="s">
        <v>568</v>
      </c>
      <c r="P139" s="190" t="n">
        <v>93</v>
      </c>
    </row>
    <row r="140" customFormat="false" ht="32.25" hidden="false" customHeight="true" outlineLevel="0" collapsed="false">
      <c r="O140" s="189" t="s">
        <v>569</v>
      </c>
      <c r="P140" s="190" t="n">
        <v>93</v>
      </c>
    </row>
    <row r="141" customFormat="false" ht="32.25" hidden="false" customHeight="true" outlineLevel="0" collapsed="false">
      <c r="O141" s="193" t="s">
        <v>570</v>
      </c>
      <c r="P141" s="190" t="n">
        <v>91.7</v>
      </c>
    </row>
    <row r="142" customFormat="false" ht="32.25" hidden="false" customHeight="true" outlineLevel="0" collapsed="false">
      <c r="O142" s="189" t="s">
        <v>571</v>
      </c>
      <c r="P142" s="190" t="n">
        <v>91</v>
      </c>
    </row>
    <row r="143" customFormat="false" ht="32.25" hidden="false" customHeight="true" outlineLevel="0" collapsed="false">
      <c r="O143" s="193" t="s">
        <v>572</v>
      </c>
      <c r="P143" s="190" t="n">
        <v>89.5</v>
      </c>
    </row>
    <row r="144" customFormat="false" ht="32.25" hidden="false" customHeight="true" outlineLevel="0" collapsed="false">
      <c r="O144" s="193" t="s">
        <v>573</v>
      </c>
      <c r="P144" s="190" t="n">
        <v>89.5</v>
      </c>
    </row>
    <row r="145" customFormat="false" ht="32.25" hidden="false" customHeight="true" outlineLevel="0" collapsed="false">
      <c r="O145" s="193" t="s">
        <v>574</v>
      </c>
      <c r="P145" s="190" t="n">
        <v>86.5</v>
      </c>
    </row>
    <row r="146" customFormat="false" ht="32.25" hidden="false" customHeight="true" outlineLevel="0" collapsed="false">
      <c r="O146" s="193" t="s">
        <v>575</v>
      </c>
      <c r="P146" s="190" t="n">
        <v>86.5</v>
      </c>
    </row>
    <row r="147" customFormat="false" ht="32.25" hidden="false" customHeight="true" outlineLevel="0" collapsed="false">
      <c r="O147" s="193" t="s">
        <v>576</v>
      </c>
      <c r="P147" s="190" t="n">
        <v>85.5</v>
      </c>
    </row>
    <row r="148" customFormat="false" ht="32.25" hidden="false" customHeight="true" outlineLevel="0" collapsed="false">
      <c r="O148" s="189" t="s">
        <v>577</v>
      </c>
      <c r="P148" s="190" t="n">
        <v>95</v>
      </c>
    </row>
    <row r="149" customFormat="false" ht="32.25" hidden="false" customHeight="true" outlineLevel="0" collapsed="false">
      <c r="O149" s="189" t="s">
        <v>578</v>
      </c>
      <c r="P149" s="190" t="n">
        <v>95</v>
      </c>
    </row>
    <row r="150" customFormat="false" ht="32.25" hidden="false" customHeight="true" outlineLevel="0" collapsed="false">
      <c r="O150" s="189" t="s">
        <v>579</v>
      </c>
      <c r="P150" s="190" t="n">
        <v>94.1</v>
      </c>
    </row>
    <row r="151" customFormat="false" ht="32.25" hidden="false" customHeight="true" outlineLevel="0" collapsed="false">
      <c r="O151" s="189" t="s">
        <v>580</v>
      </c>
      <c r="P151" s="190" t="n">
        <v>94.1</v>
      </c>
    </row>
    <row r="152" customFormat="false" ht="32.25" hidden="false" customHeight="true" outlineLevel="0" collapsed="false">
      <c r="O152" s="189" t="s">
        <v>581</v>
      </c>
      <c r="P152" s="190" t="n">
        <v>93.6</v>
      </c>
    </row>
    <row r="153" customFormat="false" ht="32.25" hidden="false" customHeight="true" outlineLevel="0" collapsed="false">
      <c r="O153" s="189" t="s">
        <v>582</v>
      </c>
      <c r="P153" s="190" t="n">
        <v>93.6</v>
      </c>
    </row>
    <row r="154" customFormat="false" ht="32.25" hidden="false" customHeight="true" outlineLevel="0" collapsed="false">
      <c r="O154" s="189" t="s">
        <v>583</v>
      </c>
      <c r="P154" s="190" t="n">
        <v>93.6</v>
      </c>
    </row>
    <row r="155" customFormat="false" ht="32.25" hidden="false" customHeight="true" outlineLevel="0" collapsed="false">
      <c r="O155" s="189" t="s">
        <v>584</v>
      </c>
      <c r="P155" s="190" t="n">
        <v>93</v>
      </c>
    </row>
    <row r="156" customFormat="false" ht="32.25" hidden="false" customHeight="true" outlineLevel="0" collapsed="false">
      <c r="O156" s="189" t="s">
        <v>585</v>
      </c>
      <c r="P156" s="190" t="n">
        <v>92.4</v>
      </c>
    </row>
    <row r="157" customFormat="false" ht="32.25" hidden="false" customHeight="true" outlineLevel="0" collapsed="false">
      <c r="O157" s="189" t="s">
        <v>586</v>
      </c>
      <c r="P157" s="190" t="n">
        <v>91.7</v>
      </c>
    </row>
    <row r="158" customFormat="false" ht="32.25" hidden="false" customHeight="true" outlineLevel="0" collapsed="false">
      <c r="O158" s="189" t="s">
        <v>587</v>
      </c>
      <c r="P158" s="190" t="n">
        <v>91.7</v>
      </c>
    </row>
    <row r="159" customFormat="false" ht="32.25" hidden="false" customHeight="true" outlineLevel="0" collapsed="false">
      <c r="O159" s="189" t="s">
        <v>588</v>
      </c>
      <c r="P159" s="190" t="n">
        <v>91</v>
      </c>
    </row>
    <row r="160" customFormat="false" ht="32.25" hidden="false" customHeight="true" outlineLevel="0" collapsed="false">
      <c r="O160" s="189" t="s">
        <v>589</v>
      </c>
      <c r="P160" s="190" t="n">
        <v>90.2</v>
      </c>
    </row>
    <row r="161" customFormat="false" ht="32.25" hidden="false" customHeight="true" outlineLevel="0" collapsed="false">
      <c r="O161" s="193" t="s">
        <v>590</v>
      </c>
      <c r="P161" s="190" t="n">
        <v>89.5</v>
      </c>
    </row>
    <row r="162" customFormat="false" ht="32.25" hidden="false" customHeight="true" outlineLevel="0" collapsed="false">
      <c r="O162" s="189" t="s">
        <v>591</v>
      </c>
      <c r="P162" s="190" t="n">
        <v>88.5</v>
      </c>
    </row>
    <row r="163" customFormat="false" ht="32.25" hidden="false" customHeight="true" outlineLevel="0" collapsed="false">
      <c r="O163" s="193" t="s">
        <v>592</v>
      </c>
      <c r="P163" s="190" t="n">
        <v>86.5</v>
      </c>
    </row>
    <row r="164" customFormat="false" ht="32.25" hidden="false" customHeight="true" outlineLevel="0" collapsed="false">
      <c r="O164" s="193" t="s">
        <v>593</v>
      </c>
      <c r="P164" s="190" t="n">
        <v>85.5</v>
      </c>
    </row>
    <row r="165" customFormat="false" ht="32.25" hidden="false" customHeight="true" outlineLevel="0" collapsed="false">
      <c r="O165" s="193" t="s">
        <v>594</v>
      </c>
      <c r="P165" s="190" t="n">
        <v>85.5</v>
      </c>
    </row>
    <row r="166" customFormat="false" ht="32.25" hidden="false" customHeight="true" outlineLevel="0" collapsed="false">
      <c r="O166" s="193" t="s">
        <v>595</v>
      </c>
      <c r="P166" s="190" t="n">
        <v>84</v>
      </c>
    </row>
    <row r="167" customFormat="false" ht="32.25" hidden="false" customHeight="true" outlineLevel="0" collapsed="false">
      <c r="O167" s="193" t="s">
        <v>596</v>
      </c>
      <c r="P167" s="190" t="n">
        <v>77</v>
      </c>
    </row>
    <row r="168" customFormat="false" ht="32.25" hidden="false" customHeight="true" outlineLevel="0" collapsed="false">
      <c r="O168" s="189" t="s">
        <v>597</v>
      </c>
      <c r="P168" s="190" t="n">
        <v>96.2</v>
      </c>
    </row>
    <row r="169" customFormat="false" ht="32.25" hidden="false" customHeight="true" outlineLevel="0" collapsed="false">
      <c r="O169" s="189" t="s">
        <v>598</v>
      </c>
      <c r="P169" s="190" t="n">
        <v>96.2</v>
      </c>
    </row>
    <row r="170" customFormat="false" ht="32.25" hidden="false" customHeight="true" outlineLevel="0" collapsed="false">
      <c r="O170" s="189" t="s">
        <v>599</v>
      </c>
      <c r="P170" s="190" t="n">
        <v>95.8</v>
      </c>
    </row>
    <row r="171" customFormat="false" ht="32.25" hidden="false" customHeight="true" outlineLevel="0" collapsed="false">
      <c r="O171" s="189" t="s">
        <v>600</v>
      </c>
      <c r="P171" s="190" t="n">
        <v>95.4</v>
      </c>
    </row>
    <row r="172" customFormat="false" ht="32.25" hidden="false" customHeight="true" outlineLevel="0" collapsed="false">
      <c r="O172" s="189" t="s">
        <v>601</v>
      </c>
      <c r="P172" s="190" t="n">
        <v>95.4</v>
      </c>
    </row>
    <row r="173" customFormat="false" ht="32.25" hidden="false" customHeight="true" outlineLevel="0" collapsed="false">
      <c r="O173" s="189" t="s">
        <v>602</v>
      </c>
      <c r="P173" s="190" t="n">
        <v>95.4</v>
      </c>
    </row>
    <row r="174" customFormat="false" ht="32.25" hidden="false" customHeight="true" outlineLevel="0" collapsed="false">
      <c r="O174" s="189" t="s">
        <v>603</v>
      </c>
      <c r="P174" s="190" t="n">
        <v>95</v>
      </c>
    </row>
    <row r="175" customFormat="false" ht="32.25" hidden="false" customHeight="true" outlineLevel="0" collapsed="false">
      <c r="O175" s="189" t="s">
        <v>604</v>
      </c>
      <c r="P175" s="190" t="n">
        <v>94.5</v>
      </c>
    </row>
    <row r="176" customFormat="false" ht="32.25" hidden="false" customHeight="true" outlineLevel="0" collapsed="false">
      <c r="O176" s="189" t="s">
        <v>605</v>
      </c>
      <c r="P176" s="190" t="n">
        <v>94.1</v>
      </c>
    </row>
    <row r="177" customFormat="false" ht="32.25" hidden="false" customHeight="true" outlineLevel="0" collapsed="false">
      <c r="O177" s="189" t="s">
        <v>606</v>
      </c>
      <c r="P177" s="190" t="n">
        <v>93.6</v>
      </c>
    </row>
    <row r="178" customFormat="false" ht="32.25" hidden="false" customHeight="true" outlineLevel="0" collapsed="false">
      <c r="O178" s="189" t="s">
        <v>607</v>
      </c>
      <c r="P178" s="190" t="n">
        <v>93.6</v>
      </c>
    </row>
    <row r="179" customFormat="false" ht="32.25" hidden="false" customHeight="true" outlineLevel="0" collapsed="false">
      <c r="O179" s="189" t="s">
        <v>608</v>
      </c>
      <c r="P179" s="190" t="n">
        <v>93</v>
      </c>
    </row>
    <row r="180" customFormat="false" ht="32.25" hidden="false" customHeight="true" outlineLevel="0" collapsed="false">
      <c r="O180" s="189" t="s">
        <v>609</v>
      </c>
      <c r="P180" s="190" t="n">
        <v>92.4</v>
      </c>
    </row>
    <row r="181" customFormat="false" ht="32.25" hidden="false" customHeight="true" outlineLevel="0" collapsed="false">
      <c r="O181" s="193" t="s">
        <v>610</v>
      </c>
      <c r="P181" s="190" t="n">
        <v>91.7</v>
      </c>
    </row>
    <row r="182" customFormat="false" ht="32.25" hidden="false" customHeight="true" outlineLevel="0" collapsed="false">
      <c r="O182" s="189" t="s">
        <v>611</v>
      </c>
      <c r="P182" s="190" t="n">
        <v>91.7</v>
      </c>
    </row>
    <row r="183" customFormat="false" ht="32.25" hidden="false" customHeight="true" outlineLevel="0" collapsed="false">
      <c r="O183" s="193" t="s">
        <v>612</v>
      </c>
      <c r="P183" s="190" t="n">
        <v>89.5</v>
      </c>
    </row>
    <row r="184" customFormat="false" ht="32.25" hidden="false" customHeight="true" outlineLevel="0" collapsed="false">
      <c r="O184" s="193" t="s">
        <v>613</v>
      </c>
      <c r="P184" s="190" t="n">
        <v>89.5</v>
      </c>
    </row>
    <row r="185" customFormat="false" ht="32.25" hidden="false" customHeight="true" outlineLevel="0" collapsed="false">
      <c r="O185" s="193" t="s">
        <v>614</v>
      </c>
      <c r="P185" s="190" t="n">
        <v>86.5</v>
      </c>
    </row>
    <row r="186" customFormat="false" ht="32.25" hidden="false" customHeight="true" outlineLevel="0" collapsed="false">
      <c r="O186" s="193" t="s">
        <v>615</v>
      </c>
      <c r="P186" s="190" t="n">
        <v>86.5</v>
      </c>
    </row>
    <row r="187" customFormat="false" ht="32.25" hidden="false" customHeight="true" outlineLevel="0" collapsed="false">
      <c r="O187" s="193" t="s">
        <v>616</v>
      </c>
      <c r="P187" s="190" t="n">
        <v>85.5</v>
      </c>
    </row>
    <row r="188" customFormat="false" ht="32.25" hidden="false" customHeight="true" outlineLevel="0" collapsed="false">
      <c r="L188" s="195" t="s">
        <v>617</v>
      </c>
      <c r="M188" s="194" t="n">
        <v>77</v>
      </c>
      <c r="N188" s="194" t="n">
        <v>85.5</v>
      </c>
      <c r="O188" s="189" t="s">
        <v>618</v>
      </c>
      <c r="P188" s="190" t="n">
        <v>95.8</v>
      </c>
    </row>
    <row r="189" customFormat="false" ht="32.25" hidden="false" customHeight="true" outlineLevel="0" collapsed="false">
      <c r="L189" s="195" t="s">
        <v>619</v>
      </c>
      <c r="M189" s="194" t="n">
        <v>84</v>
      </c>
      <c r="N189" s="194" t="n">
        <v>86.5</v>
      </c>
      <c r="O189" s="189" t="s">
        <v>620</v>
      </c>
      <c r="P189" s="190" t="n">
        <v>95.4</v>
      </c>
    </row>
    <row r="190" customFormat="false" ht="32.25" hidden="false" customHeight="true" outlineLevel="0" collapsed="false">
      <c r="L190" s="195" t="s">
        <v>621</v>
      </c>
      <c r="M190" s="194" t="n">
        <v>85.5</v>
      </c>
      <c r="N190" s="194" t="n">
        <v>86.5</v>
      </c>
      <c r="O190" s="189" t="s">
        <v>622</v>
      </c>
      <c r="P190" s="190" t="n">
        <v>95</v>
      </c>
    </row>
    <row r="191" customFormat="false" ht="32.25" hidden="false" customHeight="true" outlineLevel="0" collapsed="false">
      <c r="L191" s="195" t="s">
        <v>623</v>
      </c>
      <c r="M191" s="196" t="n">
        <v>86.5</v>
      </c>
      <c r="N191" s="194" t="n">
        <v>89.5</v>
      </c>
      <c r="O191" s="189" t="s">
        <v>624</v>
      </c>
      <c r="P191" s="190" t="n">
        <v>95</v>
      </c>
    </row>
    <row r="192" customFormat="false" ht="32.25" hidden="false" customHeight="true" outlineLevel="0" collapsed="false">
      <c r="L192" s="195" t="s">
        <v>625</v>
      </c>
      <c r="M192" s="196" t="n">
        <v>88.5</v>
      </c>
      <c r="N192" s="194" t="n">
        <v>89.5</v>
      </c>
      <c r="O192" s="189" t="s">
        <v>626</v>
      </c>
      <c r="P192" s="190" t="n">
        <v>94.1</v>
      </c>
    </row>
    <row r="193" customFormat="false" ht="32.25" hidden="false" customHeight="true" outlineLevel="0" collapsed="false">
      <c r="L193" s="195" t="s">
        <v>627</v>
      </c>
      <c r="M193" s="196" t="n">
        <v>89.5</v>
      </c>
      <c r="N193" s="196" t="n">
        <v>91.7</v>
      </c>
      <c r="O193" s="189" t="s">
        <v>628</v>
      </c>
      <c r="P193" s="190" t="n">
        <v>93.6</v>
      </c>
    </row>
    <row r="194" customFormat="false" ht="32.25" hidden="false" customHeight="true" outlineLevel="0" collapsed="false">
      <c r="L194" s="195" t="s">
        <v>629</v>
      </c>
      <c r="M194" s="196" t="n">
        <v>90.2</v>
      </c>
      <c r="N194" s="194" t="n">
        <v>91.7</v>
      </c>
      <c r="O194" s="189" t="s">
        <v>630</v>
      </c>
      <c r="P194" s="190" t="n">
        <v>93.6</v>
      </c>
    </row>
    <row r="195" customFormat="false" ht="32.25" hidden="false" customHeight="true" outlineLevel="0" collapsed="false">
      <c r="L195" s="195" t="s">
        <v>631</v>
      </c>
      <c r="M195" s="196" t="n">
        <v>91</v>
      </c>
      <c r="N195" s="196" t="n">
        <v>92.4</v>
      </c>
      <c r="O195" s="189" t="s">
        <v>632</v>
      </c>
      <c r="P195" s="190" t="n">
        <v>93</v>
      </c>
    </row>
    <row r="196" customFormat="false" ht="32.25" hidden="false" customHeight="true" outlineLevel="0" collapsed="false">
      <c r="L196" s="195" t="s">
        <v>633</v>
      </c>
      <c r="M196" s="194" t="n">
        <v>91</v>
      </c>
      <c r="N196" s="194" t="n">
        <v>93</v>
      </c>
      <c r="O196" s="189" t="s">
        <v>634</v>
      </c>
      <c r="P196" s="190" t="n">
        <v>92.4</v>
      </c>
    </row>
    <row r="197" customFormat="false" ht="32.25" hidden="false" customHeight="true" outlineLevel="0" collapsed="false">
      <c r="L197" s="195" t="s">
        <v>635</v>
      </c>
      <c r="M197" s="194" t="n">
        <v>91.7</v>
      </c>
      <c r="N197" s="194" t="n">
        <v>93.6</v>
      </c>
      <c r="O197" s="189" t="s">
        <v>636</v>
      </c>
      <c r="P197" s="190" t="n">
        <v>91.7</v>
      </c>
    </row>
    <row r="198" customFormat="false" ht="32.25" hidden="false" customHeight="true" outlineLevel="0" collapsed="false">
      <c r="L198" s="195" t="s">
        <v>637</v>
      </c>
      <c r="M198" s="194" t="n">
        <v>91.7</v>
      </c>
      <c r="N198" s="196" t="n">
        <v>93.6</v>
      </c>
      <c r="O198" s="189" t="s">
        <v>638</v>
      </c>
      <c r="P198" s="190" t="n">
        <v>91.7</v>
      </c>
    </row>
    <row r="199" customFormat="false" ht="32.25" hidden="false" customHeight="true" outlineLevel="0" collapsed="false">
      <c r="L199" s="195" t="s">
        <v>639</v>
      </c>
      <c r="M199" s="194" t="n">
        <v>92.4</v>
      </c>
      <c r="N199" s="194" t="n">
        <v>94.1</v>
      </c>
      <c r="O199" s="189" t="s">
        <v>640</v>
      </c>
      <c r="P199" s="190" t="n">
        <v>91</v>
      </c>
    </row>
    <row r="200" customFormat="false" ht="32.25" hidden="false" customHeight="true" outlineLevel="0" collapsed="false">
      <c r="L200" s="195" t="s">
        <v>641</v>
      </c>
      <c r="M200" s="194" t="n">
        <v>93</v>
      </c>
      <c r="N200" s="194" t="n">
        <v>94.5</v>
      </c>
      <c r="O200" s="189" t="s">
        <v>642</v>
      </c>
      <c r="P200" s="190" t="n">
        <v>91</v>
      </c>
    </row>
    <row r="201" customFormat="false" ht="32.25" hidden="false" customHeight="true" outlineLevel="0" collapsed="false">
      <c r="L201" s="195" t="s">
        <v>643</v>
      </c>
      <c r="M201" s="194" t="n">
        <v>93.6</v>
      </c>
      <c r="N201" s="194" t="n">
        <v>95</v>
      </c>
      <c r="O201" s="193" t="s">
        <v>644</v>
      </c>
      <c r="P201" s="190" t="n">
        <v>90.8</v>
      </c>
    </row>
    <row r="202" customFormat="false" ht="32.25" hidden="false" customHeight="true" outlineLevel="0" collapsed="false">
      <c r="L202" s="195" t="s">
        <v>645</v>
      </c>
      <c r="M202" s="194" t="n">
        <v>93.6</v>
      </c>
      <c r="N202" s="196" t="n">
        <v>95.4</v>
      </c>
      <c r="O202" s="189" t="s">
        <v>646</v>
      </c>
      <c r="P202" s="190" t="n">
        <v>89.5</v>
      </c>
    </row>
    <row r="203" customFormat="false" ht="32.25" hidden="false" customHeight="true" outlineLevel="0" collapsed="false">
      <c r="L203" s="195" t="s">
        <v>647</v>
      </c>
      <c r="M203" s="196" t="n">
        <v>94.1</v>
      </c>
      <c r="N203" s="194" t="n">
        <v>95.4</v>
      </c>
      <c r="O203" s="193" t="s">
        <v>648</v>
      </c>
      <c r="P203" s="190" t="n">
        <v>88.5</v>
      </c>
    </row>
    <row r="204" customFormat="false" ht="32.25" hidden="false" customHeight="true" outlineLevel="0" collapsed="false">
      <c r="L204" s="195" t="s">
        <v>649</v>
      </c>
      <c r="M204" s="196" t="n">
        <v>95</v>
      </c>
      <c r="N204" s="194" t="n">
        <v>95.4</v>
      </c>
      <c r="O204" s="193" t="s">
        <v>650</v>
      </c>
      <c r="P204" s="190" t="n">
        <v>86.5</v>
      </c>
    </row>
    <row r="205" customFormat="false" ht="32.25" hidden="false" customHeight="true" outlineLevel="0" collapsed="false">
      <c r="L205" s="195" t="s">
        <v>651</v>
      </c>
      <c r="M205" s="196" t="n">
        <v>95</v>
      </c>
      <c r="N205" s="194" t="n">
        <v>95.8</v>
      </c>
      <c r="O205" s="193" t="s">
        <v>652</v>
      </c>
      <c r="P205" s="190" t="n">
        <v>85.5</v>
      </c>
    </row>
    <row r="206" customFormat="false" ht="32.25" hidden="false" customHeight="true" outlineLevel="0" collapsed="false">
      <c r="L206" s="195" t="s">
        <v>653</v>
      </c>
      <c r="M206" s="196" t="n">
        <v>95.4</v>
      </c>
      <c r="N206" s="196" t="n">
        <v>96.2</v>
      </c>
      <c r="O206" s="193" t="s">
        <v>654</v>
      </c>
      <c r="P206" s="190" t="n">
        <v>84</v>
      </c>
    </row>
    <row r="207" customFormat="false" ht="32.25" hidden="false" customHeight="true" outlineLevel="0" collapsed="false">
      <c r="L207" s="195" t="s">
        <v>655</v>
      </c>
      <c r="M207" s="196" t="n">
        <v>95.8</v>
      </c>
      <c r="N207" s="196" t="n">
        <v>96.2</v>
      </c>
      <c r="O207" s="193" t="s">
        <v>656</v>
      </c>
      <c r="P207" s="190" t="n">
        <v>77</v>
      </c>
    </row>
    <row r="208" customFormat="false" ht="32.25" hidden="false" customHeight="false" outlineLevel="0" collapsed="false">
      <c r="O208" s="189" t="s">
        <v>657</v>
      </c>
      <c r="P208" s="190" t="n">
        <v>96.2</v>
      </c>
    </row>
    <row r="209" customFormat="false" ht="32.25" hidden="false" customHeight="false" outlineLevel="0" collapsed="false">
      <c r="O209" s="189" t="s">
        <v>658</v>
      </c>
      <c r="P209" s="190" t="n">
        <v>96.2</v>
      </c>
    </row>
    <row r="210" customFormat="false" ht="32.25" hidden="false" customHeight="false" outlineLevel="0" collapsed="false">
      <c r="O210" s="189" t="s">
        <v>659</v>
      </c>
      <c r="P210" s="190" t="n">
        <v>95.8</v>
      </c>
    </row>
    <row r="211" customFormat="false" ht="32.25" hidden="false" customHeight="false" outlineLevel="0" collapsed="false">
      <c r="O211" s="189" t="s">
        <v>660</v>
      </c>
      <c r="P211" s="190" t="n">
        <v>95.4</v>
      </c>
    </row>
    <row r="212" customFormat="false" ht="32.25" hidden="false" customHeight="false" outlineLevel="0" collapsed="false">
      <c r="O212" s="189" t="s">
        <v>661</v>
      </c>
      <c r="P212" s="190" t="n">
        <v>95.4</v>
      </c>
    </row>
    <row r="213" customFormat="false" ht="32.25" hidden="false" customHeight="false" outlineLevel="0" collapsed="false">
      <c r="O213" s="189" t="s">
        <v>662</v>
      </c>
      <c r="P213" s="190" t="n">
        <v>95.4</v>
      </c>
    </row>
    <row r="214" customFormat="false" ht="32.25" hidden="false" customHeight="false" outlineLevel="0" collapsed="false">
      <c r="O214" s="189" t="s">
        <v>663</v>
      </c>
      <c r="P214" s="190" t="n">
        <v>95</v>
      </c>
    </row>
    <row r="215" customFormat="false" ht="32.25" hidden="false" customHeight="false" outlineLevel="0" collapsed="false">
      <c r="O215" s="189" t="s">
        <v>664</v>
      </c>
      <c r="P215" s="190" t="n">
        <v>94.5</v>
      </c>
    </row>
    <row r="216" customFormat="false" ht="32.25" hidden="false" customHeight="false" outlineLevel="0" collapsed="false">
      <c r="O216" s="189" t="s">
        <v>665</v>
      </c>
      <c r="P216" s="190" t="n">
        <v>94.1</v>
      </c>
    </row>
    <row r="217" customFormat="false" ht="32.25" hidden="false" customHeight="false" outlineLevel="0" collapsed="false">
      <c r="O217" s="189" t="s">
        <v>666</v>
      </c>
      <c r="P217" s="190" t="n">
        <v>93.6</v>
      </c>
    </row>
    <row r="218" customFormat="false" ht="32.25" hidden="false" customHeight="false" outlineLevel="0" collapsed="false">
      <c r="O218" s="189" t="s">
        <v>667</v>
      </c>
      <c r="P218" s="190" t="n">
        <v>93.6</v>
      </c>
    </row>
    <row r="219" customFormat="false" ht="32.25" hidden="false" customHeight="false" outlineLevel="0" collapsed="false">
      <c r="O219" s="189" t="s">
        <v>668</v>
      </c>
      <c r="P219" s="190" t="n">
        <v>93</v>
      </c>
    </row>
    <row r="220" customFormat="false" ht="32.25" hidden="false" customHeight="false" outlineLevel="0" collapsed="false">
      <c r="O220" s="189" t="s">
        <v>669</v>
      </c>
      <c r="P220" s="190" t="n">
        <v>92.4</v>
      </c>
    </row>
    <row r="221" customFormat="false" ht="32.25" hidden="false" customHeight="false" outlineLevel="0" collapsed="false">
      <c r="O221" s="193" t="s">
        <v>670</v>
      </c>
      <c r="P221" s="190" t="n">
        <v>91.7</v>
      </c>
    </row>
    <row r="222" customFormat="false" ht="32.25" hidden="false" customHeight="false" outlineLevel="0" collapsed="false">
      <c r="O222" s="189" t="s">
        <v>671</v>
      </c>
      <c r="P222" s="190" t="n">
        <v>91.7</v>
      </c>
    </row>
    <row r="223" customFormat="false" ht="32.25" hidden="false" customHeight="false" outlineLevel="0" collapsed="false">
      <c r="O223" s="193" t="s">
        <v>672</v>
      </c>
      <c r="P223" s="190" t="n">
        <v>89.5</v>
      </c>
    </row>
    <row r="224" customFormat="false" ht="32.25" hidden="false" customHeight="false" outlineLevel="0" collapsed="false">
      <c r="O224" s="193" t="s">
        <v>673</v>
      </c>
      <c r="P224" s="190" t="n">
        <v>89.5</v>
      </c>
    </row>
    <row r="225" customFormat="false" ht="32.25" hidden="false" customHeight="false" outlineLevel="0" collapsed="false">
      <c r="O225" s="193" t="s">
        <v>674</v>
      </c>
      <c r="P225" s="190" t="n">
        <v>86.5</v>
      </c>
    </row>
    <row r="226" customFormat="false" ht="32.25" hidden="false" customHeight="false" outlineLevel="0" collapsed="false">
      <c r="O226" s="193" t="s">
        <v>675</v>
      </c>
      <c r="P226" s="190" t="n">
        <v>86.5</v>
      </c>
    </row>
    <row r="227" customFormat="false" ht="32.25" hidden="false" customHeight="false" outlineLevel="0" collapsed="false">
      <c r="O227" s="193" t="s">
        <v>676</v>
      </c>
      <c r="P227" s="190" t="n">
        <v>85.5</v>
      </c>
    </row>
    <row r="228" customFormat="false" ht="32.25" hidden="false" customHeight="false" outlineLevel="0" collapsed="false">
      <c r="O228" s="189" t="s">
        <v>677</v>
      </c>
      <c r="P228" s="190" t="n">
        <v>95.8</v>
      </c>
    </row>
    <row r="229" customFormat="false" ht="32.25" hidden="false" customHeight="false" outlineLevel="0" collapsed="false">
      <c r="O229" s="189" t="s">
        <v>678</v>
      </c>
      <c r="P229" s="190" t="n">
        <v>95.4</v>
      </c>
    </row>
    <row r="230" customFormat="false" ht="32.25" hidden="false" customHeight="false" outlineLevel="0" collapsed="false">
      <c r="O230" s="189" t="s">
        <v>679</v>
      </c>
      <c r="P230" s="190" t="n">
        <v>95</v>
      </c>
    </row>
    <row r="231" customFormat="false" ht="32.25" hidden="false" customHeight="false" outlineLevel="0" collapsed="false">
      <c r="O231" s="189" t="s">
        <v>680</v>
      </c>
      <c r="P231" s="190" t="n">
        <v>95</v>
      </c>
    </row>
    <row r="232" customFormat="false" ht="32.25" hidden="false" customHeight="false" outlineLevel="0" collapsed="false">
      <c r="O232" s="189" t="s">
        <v>681</v>
      </c>
      <c r="P232" s="190" t="n">
        <v>94.1</v>
      </c>
    </row>
    <row r="233" customFormat="false" ht="32.25" hidden="false" customHeight="false" outlineLevel="0" collapsed="false">
      <c r="O233" s="189" t="s">
        <v>682</v>
      </c>
      <c r="P233" s="190" t="n">
        <v>93.6</v>
      </c>
    </row>
    <row r="234" customFormat="false" ht="32.25" hidden="false" customHeight="false" outlineLevel="0" collapsed="false">
      <c r="O234" s="189" t="s">
        <v>683</v>
      </c>
      <c r="P234" s="190" t="n">
        <v>93.6</v>
      </c>
    </row>
    <row r="235" customFormat="false" ht="32.25" hidden="false" customHeight="false" outlineLevel="0" collapsed="false">
      <c r="O235" s="189" t="s">
        <v>684</v>
      </c>
      <c r="P235" s="190" t="n">
        <v>93</v>
      </c>
    </row>
    <row r="236" customFormat="false" ht="32.25" hidden="false" customHeight="false" outlineLevel="0" collapsed="false">
      <c r="O236" s="189" t="s">
        <v>685</v>
      </c>
      <c r="P236" s="190" t="n">
        <v>92.4</v>
      </c>
    </row>
    <row r="237" customFormat="false" ht="32.25" hidden="false" customHeight="false" outlineLevel="0" collapsed="false">
      <c r="O237" s="189" t="s">
        <v>686</v>
      </c>
      <c r="P237" s="190" t="n">
        <v>91.7</v>
      </c>
    </row>
    <row r="238" customFormat="false" ht="32.25" hidden="false" customHeight="false" outlineLevel="0" collapsed="false">
      <c r="O238" s="189" t="s">
        <v>687</v>
      </c>
      <c r="P238" s="190" t="n">
        <v>91.7</v>
      </c>
    </row>
    <row r="239" customFormat="false" ht="32.25" hidden="false" customHeight="false" outlineLevel="0" collapsed="false">
      <c r="O239" s="189" t="s">
        <v>688</v>
      </c>
      <c r="P239" s="190" t="n">
        <v>91</v>
      </c>
    </row>
    <row r="240" customFormat="false" ht="32.25" hidden="false" customHeight="false" outlineLevel="0" collapsed="false">
      <c r="O240" s="189" t="s">
        <v>689</v>
      </c>
      <c r="P240" s="190" t="n">
        <v>91</v>
      </c>
    </row>
    <row r="241" customFormat="false" ht="32.25" hidden="false" customHeight="false" outlineLevel="0" collapsed="false">
      <c r="O241" s="193" t="s">
        <v>690</v>
      </c>
      <c r="P241" s="190" t="n">
        <v>90.8</v>
      </c>
    </row>
    <row r="242" customFormat="false" ht="32.25" hidden="false" customHeight="false" outlineLevel="0" collapsed="false">
      <c r="O242" s="189" t="s">
        <v>691</v>
      </c>
      <c r="P242" s="190" t="n">
        <v>89.5</v>
      </c>
    </row>
    <row r="243" customFormat="false" ht="32.25" hidden="false" customHeight="false" outlineLevel="0" collapsed="false">
      <c r="O243" s="193" t="s">
        <v>692</v>
      </c>
      <c r="P243" s="190" t="n">
        <v>88.5</v>
      </c>
    </row>
    <row r="244" customFormat="false" ht="32.25" hidden="false" customHeight="false" outlineLevel="0" collapsed="false">
      <c r="O244" s="193" t="s">
        <v>693</v>
      </c>
      <c r="P244" s="190" t="n">
        <v>86.5</v>
      </c>
    </row>
    <row r="245" customFormat="false" ht="32.25" hidden="false" customHeight="false" outlineLevel="0" collapsed="false">
      <c r="O245" s="193" t="s">
        <v>694</v>
      </c>
      <c r="P245" s="190" t="n">
        <v>85.5</v>
      </c>
    </row>
    <row r="246" customFormat="false" ht="32.25" hidden="false" customHeight="false" outlineLevel="0" collapsed="false">
      <c r="O246" s="193" t="s">
        <v>695</v>
      </c>
      <c r="P246" s="190" t="n">
        <v>84</v>
      </c>
    </row>
    <row r="247" customFormat="false" ht="32.25" hidden="false" customHeight="false" outlineLevel="0" collapsed="false">
      <c r="O247" s="193" t="s">
        <v>696</v>
      </c>
      <c r="P247" s="190" t="n">
        <v>77</v>
      </c>
    </row>
    <row r="248" customFormat="false" ht="32.25" hidden="false" customHeight="false" outlineLevel="0" collapsed="false">
      <c r="O248" s="189" t="s">
        <v>697</v>
      </c>
      <c r="P248" s="190" t="n">
        <v>96.2</v>
      </c>
    </row>
    <row r="249" customFormat="false" ht="32.25" hidden="false" customHeight="false" outlineLevel="0" collapsed="false">
      <c r="O249" s="189" t="s">
        <v>698</v>
      </c>
      <c r="P249" s="190" t="n">
        <v>96.2</v>
      </c>
    </row>
    <row r="250" customFormat="false" ht="32.25" hidden="false" customHeight="false" outlineLevel="0" collapsed="false">
      <c r="O250" s="189" t="s">
        <v>699</v>
      </c>
      <c r="P250" s="190" t="n">
        <v>95.8</v>
      </c>
    </row>
    <row r="251" customFormat="false" ht="32.25" hidden="false" customHeight="false" outlineLevel="0" collapsed="false">
      <c r="O251" s="189" t="s">
        <v>700</v>
      </c>
      <c r="P251" s="190" t="n">
        <v>95.4</v>
      </c>
    </row>
    <row r="252" customFormat="false" ht="32.25" hidden="false" customHeight="false" outlineLevel="0" collapsed="false">
      <c r="O252" s="189" t="s">
        <v>701</v>
      </c>
      <c r="P252" s="190" t="n">
        <v>95.4</v>
      </c>
    </row>
    <row r="253" customFormat="false" ht="32.25" hidden="false" customHeight="false" outlineLevel="0" collapsed="false">
      <c r="O253" s="189" t="s">
        <v>702</v>
      </c>
      <c r="P253" s="190" t="n">
        <v>95.4</v>
      </c>
    </row>
    <row r="254" customFormat="false" ht="32.25" hidden="false" customHeight="false" outlineLevel="0" collapsed="false">
      <c r="O254" s="189" t="s">
        <v>703</v>
      </c>
      <c r="P254" s="190" t="n">
        <v>95</v>
      </c>
    </row>
    <row r="255" customFormat="false" ht="32.25" hidden="false" customHeight="false" outlineLevel="0" collapsed="false">
      <c r="O255" s="189" t="s">
        <v>704</v>
      </c>
      <c r="P255" s="190" t="n">
        <v>94.5</v>
      </c>
    </row>
    <row r="256" customFormat="false" ht="32.25" hidden="false" customHeight="false" outlineLevel="0" collapsed="false">
      <c r="O256" s="189" t="s">
        <v>705</v>
      </c>
      <c r="P256" s="190" t="n">
        <v>94.1</v>
      </c>
    </row>
    <row r="257" customFormat="false" ht="32.25" hidden="false" customHeight="false" outlineLevel="0" collapsed="false">
      <c r="O257" s="189" t="s">
        <v>706</v>
      </c>
      <c r="P257" s="190" t="n">
        <v>93.6</v>
      </c>
    </row>
    <row r="258" customFormat="false" ht="32.25" hidden="false" customHeight="false" outlineLevel="0" collapsed="false">
      <c r="O258" s="189" t="s">
        <v>707</v>
      </c>
      <c r="P258" s="190" t="n">
        <v>93.6</v>
      </c>
    </row>
    <row r="259" customFormat="false" ht="32.25" hidden="false" customHeight="false" outlineLevel="0" collapsed="false">
      <c r="O259" s="189" t="s">
        <v>708</v>
      </c>
      <c r="P259" s="190" t="n">
        <v>93</v>
      </c>
    </row>
    <row r="260" customFormat="false" ht="32.25" hidden="false" customHeight="false" outlineLevel="0" collapsed="false">
      <c r="O260" s="189" t="s">
        <v>709</v>
      </c>
      <c r="P260" s="190" t="n">
        <v>92.4</v>
      </c>
    </row>
    <row r="261" customFormat="false" ht="32.25" hidden="false" customHeight="false" outlineLevel="0" collapsed="false">
      <c r="O261" s="193" t="s">
        <v>710</v>
      </c>
      <c r="P261" s="190" t="n">
        <v>91.7</v>
      </c>
    </row>
    <row r="262" customFormat="false" ht="32.25" hidden="false" customHeight="false" outlineLevel="0" collapsed="false">
      <c r="O262" s="189" t="s">
        <v>711</v>
      </c>
      <c r="P262" s="190" t="n">
        <v>91.7</v>
      </c>
    </row>
    <row r="263" customFormat="false" ht="32.25" hidden="false" customHeight="false" outlineLevel="0" collapsed="false">
      <c r="O263" s="193" t="s">
        <v>712</v>
      </c>
      <c r="P263" s="190" t="n">
        <v>89.5</v>
      </c>
    </row>
    <row r="264" customFormat="false" ht="32.25" hidden="false" customHeight="false" outlineLevel="0" collapsed="false">
      <c r="O264" s="193" t="s">
        <v>713</v>
      </c>
      <c r="P264" s="190" t="n">
        <v>89.5</v>
      </c>
    </row>
    <row r="265" customFormat="false" ht="32.25" hidden="false" customHeight="false" outlineLevel="0" collapsed="false">
      <c r="O265" s="193" t="s">
        <v>714</v>
      </c>
      <c r="P265" s="190" t="n">
        <v>86.5</v>
      </c>
    </row>
    <row r="266" customFormat="false" ht="32.25" hidden="false" customHeight="false" outlineLevel="0" collapsed="false">
      <c r="O266" s="193" t="s">
        <v>715</v>
      </c>
      <c r="P266" s="190" t="n">
        <v>86.5</v>
      </c>
    </row>
    <row r="267" customFormat="false" ht="32.25" hidden="false" customHeight="false" outlineLevel="0" collapsed="false">
      <c r="O267" s="193" t="s">
        <v>716</v>
      </c>
      <c r="P267" s="190" t="n">
        <v>85.5</v>
      </c>
    </row>
    <row r="268" customFormat="false" ht="32.25" hidden="false" customHeight="false" outlineLevel="0" collapsed="false">
      <c r="O268" s="189" t="s">
        <v>717</v>
      </c>
      <c r="P268" s="190" t="n">
        <v>95.8</v>
      </c>
    </row>
    <row r="269" customFormat="false" ht="32.25" hidden="false" customHeight="false" outlineLevel="0" collapsed="false">
      <c r="O269" s="189" t="s">
        <v>718</v>
      </c>
      <c r="P269" s="190" t="n">
        <v>95.4</v>
      </c>
    </row>
    <row r="270" customFormat="false" ht="32.25" hidden="false" customHeight="false" outlineLevel="0" collapsed="false">
      <c r="O270" s="189" t="s">
        <v>719</v>
      </c>
      <c r="P270" s="190" t="n">
        <v>95</v>
      </c>
    </row>
    <row r="271" customFormat="false" ht="32.25" hidden="false" customHeight="false" outlineLevel="0" collapsed="false">
      <c r="O271" s="189" t="s">
        <v>720</v>
      </c>
      <c r="P271" s="190" t="n">
        <v>95</v>
      </c>
    </row>
    <row r="272" customFormat="false" ht="32.25" hidden="false" customHeight="false" outlineLevel="0" collapsed="false">
      <c r="O272" s="189" t="s">
        <v>721</v>
      </c>
      <c r="P272" s="190" t="n">
        <v>94.1</v>
      </c>
    </row>
    <row r="273" customFormat="false" ht="32.25" hidden="false" customHeight="false" outlineLevel="0" collapsed="false">
      <c r="O273" s="189" t="s">
        <v>722</v>
      </c>
      <c r="P273" s="190" t="n">
        <v>93.6</v>
      </c>
    </row>
    <row r="274" customFormat="false" ht="32.25" hidden="false" customHeight="false" outlineLevel="0" collapsed="false">
      <c r="O274" s="189" t="s">
        <v>723</v>
      </c>
      <c r="P274" s="190" t="n">
        <v>93.6</v>
      </c>
    </row>
    <row r="275" customFormat="false" ht="32.25" hidden="false" customHeight="false" outlineLevel="0" collapsed="false">
      <c r="O275" s="189" t="s">
        <v>724</v>
      </c>
      <c r="P275" s="190" t="n">
        <v>93</v>
      </c>
    </row>
    <row r="276" customFormat="false" ht="32.25" hidden="false" customHeight="false" outlineLevel="0" collapsed="false">
      <c r="O276" s="189" t="s">
        <v>725</v>
      </c>
      <c r="P276" s="190" t="n">
        <v>92.4</v>
      </c>
    </row>
    <row r="277" customFormat="false" ht="32.25" hidden="false" customHeight="false" outlineLevel="0" collapsed="false">
      <c r="O277" s="189" t="s">
        <v>726</v>
      </c>
      <c r="P277" s="190" t="n">
        <v>91.7</v>
      </c>
    </row>
    <row r="278" customFormat="false" ht="32.25" hidden="false" customHeight="false" outlineLevel="0" collapsed="false">
      <c r="O278" s="189" t="s">
        <v>727</v>
      </c>
      <c r="P278" s="190" t="n">
        <v>91.7</v>
      </c>
    </row>
    <row r="279" customFormat="false" ht="32.25" hidden="false" customHeight="false" outlineLevel="0" collapsed="false">
      <c r="O279" s="189" t="s">
        <v>728</v>
      </c>
      <c r="P279" s="190" t="n">
        <v>91</v>
      </c>
    </row>
    <row r="280" customFormat="false" ht="32.25" hidden="false" customHeight="false" outlineLevel="0" collapsed="false">
      <c r="O280" s="189" t="s">
        <v>729</v>
      </c>
      <c r="P280" s="190" t="n">
        <v>91</v>
      </c>
    </row>
    <row r="281" customFormat="false" ht="32.25" hidden="false" customHeight="false" outlineLevel="0" collapsed="false">
      <c r="O281" s="193" t="s">
        <v>730</v>
      </c>
      <c r="P281" s="190" t="n">
        <v>90.8</v>
      </c>
    </row>
    <row r="282" customFormat="false" ht="32.25" hidden="false" customHeight="false" outlineLevel="0" collapsed="false">
      <c r="O282" s="189" t="s">
        <v>731</v>
      </c>
      <c r="P282" s="190" t="n">
        <v>89.5</v>
      </c>
    </row>
    <row r="283" customFormat="false" ht="32.25" hidden="false" customHeight="false" outlineLevel="0" collapsed="false">
      <c r="O283" s="193" t="s">
        <v>732</v>
      </c>
      <c r="P283" s="190" t="n">
        <v>88.5</v>
      </c>
    </row>
    <row r="284" customFormat="false" ht="32.25" hidden="false" customHeight="false" outlineLevel="0" collapsed="false">
      <c r="O284" s="193" t="s">
        <v>733</v>
      </c>
      <c r="P284" s="190" t="n">
        <v>86.5</v>
      </c>
    </row>
    <row r="285" customFormat="false" ht="32.25" hidden="false" customHeight="false" outlineLevel="0" collapsed="false">
      <c r="O285" s="193" t="s">
        <v>734</v>
      </c>
      <c r="P285" s="190" t="n">
        <v>85.5</v>
      </c>
    </row>
    <row r="286" customFormat="false" ht="32.25" hidden="false" customHeight="false" outlineLevel="0" collapsed="false">
      <c r="O286" s="193" t="s">
        <v>735</v>
      </c>
      <c r="P286" s="190" t="n">
        <v>84</v>
      </c>
    </row>
    <row r="287" customFormat="false" ht="32.25" hidden="false" customHeight="false" outlineLevel="0" collapsed="false">
      <c r="O287" s="193" t="s">
        <v>736</v>
      </c>
      <c r="P287" s="190" t="n">
        <v>77</v>
      </c>
    </row>
    <row r="288" customFormat="false" ht="32.25" hidden="false" customHeight="false" outlineLevel="0" collapsed="false">
      <c r="O288" s="189" t="s">
        <v>737</v>
      </c>
      <c r="P288" s="190" t="n">
        <v>96.2</v>
      </c>
    </row>
    <row r="289" customFormat="false" ht="32.25" hidden="false" customHeight="false" outlineLevel="0" collapsed="false">
      <c r="O289" s="189" t="s">
        <v>738</v>
      </c>
      <c r="P289" s="190" t="n">
        <v>96.2</v>
      </c>
    </row>
    <row r="290" customFormat="false" ht="32.25" hidden="false" customHeight="false" outlineLevel="0" collapsed="false">
      <c r="O290" s="189" t="s">
        <v>739</v>
      </c>
      <c r="P290" s="190" t="n">
        <v>95.8</v>
      </c>
    </row>
    <row r="291" customFormat="false" ht="32.25" hidden="false" customHeight="false" outlineLevel="0" collapsed="false">
      <c r="O291" s="189" t="s">
        <v>740</v>
      </c>
      <c r="P291" s="190" t="n">
        <v>95.4</v>
      </c>
    </row>
    <row r="292" customFormat="false" ht="32.25" hidden="false" customHeight="false" outlineLevel="0" collapsed="false">
      <c r="O292" s="189" t="s">
        <v>741</v>
      </c>
      <c r="P292" s="190" t="n">
        <v>95.4</v>
      </c>
    </row>
    <row r="293" customFormat="false" ht="32.25" hidden="false" customHeight="false" outlineLevel="0" collapsed="false">
      <c r="O293" s="189" t="s">
        <v>742</v>
      </c>
      <c r="P293" s="190" t="n">
        <v>95.4</v>
      </c>
    </row>
    <row r="294" customFormat="false" ht="32.25" hidden="false" customHeight="false" outlineLevel="0" collapsed="false">
      <c r="O294" s="189" t="s">
        <v>743</v>
      </c>
      <c r="P294" s="190" t="n">
        <v>95</v>
      </c>
    </row>
    <row r="295" customFormat="false" ht="32.25" hidden="false" customHeight="false" outlineLevel="0" collapsed="false">
      <c r="O295" s="189" t="s">
        <v>744</v>
      </c>
      <c r="P295" s="190" t="n">
        <v>94.5</v>
      </c>
    </row>
    <row r="296" customFormat="false" ht="32.25" hidden="false" customHeight="false" outlineLevel="0" collapsed="false">
      <c r="O296" s="189" t="s">
        <v>745</v>
      </c>
      <c r="P296" s="190" t="n">
        <v>94.1</v>
      </c>
    </row>
    <row r="297" customFormat="false" ht="32.25" hidden="false" customHeight="false" outlineLevel="0" collapsed="false">
      <c r="O297" s="189" t="s">
        <v>746</v>
      </c>
      <c r="P297" s="190" t="n">
        <v>93.6</v>
      </c>
    </row>
    <row r="298" customFormat="false" ht="32.25" hidden="false" customHeight="false" outlineLevel="0" collapsed="false">
      <c r="O298" s="189" t="s">
        <v>747</v>
      </c>
      <c r="P298" s="190" t="n">
        <v>93.6</v>
      </c>
    </row>
    <row r="299" customFormat="false" ht="32.25" hidden="false" customHeight="false" outlineLevel="0" collapsed="false">
      <c r="O299" s="189" t="s">
        <v>748</v>
      </c>
      <c r="P299" s="190" t="n">
        <v>93</v>
      </c>
    </row>
    <row r="300" customFormat="false" ht="32.25" hidden="false" customHeight="false" outlineLevel="0" collapsed="false">
      <c r="O300" s="189" t="s">
        <v>749</v>
      </c>
      <c r="P300" s="190" t="n">
        <v>92.4</v>
      </c>
    </row>
    <row r="301" customFormat="false" ht="32.25" hidden="false" customHeight="false" outlineLevel="0" collapsed="false">
      <c r="O301" s="193" t="s">
        <v>750</v>
      </c>
      <c r="P301" s="190" t="n">
        <v>91.7</v>
      </c>
    </row>
    <row r="302" customFormat="false" ht="32.25" hidden="false" customHeight="false" outlineLevel="0" collapsed="false">
      <c r="O302" s="189" t="s">
        <v>751</v>
      </c>
      <c r="P302" s="190" t="n">
        <v>91.7</v>
      </c>
    </row>
    <row r="303" customFormat="false" ht="32.25" hidden="false" customHeight="false" outlineLevel="0" collapsed="false">
      <c r="O303" s="193" t="s">
        <v>752</v>
      </c>
      <c r="P303" s="190" t="n">
        <v>89.5</v>
      </c>
    </row>
    <row r="304" customFormat="false" ht="32.25" hidden="false" customHeight="false" outlineLevel="0" collapsed="false">
      <c r="O304" s="193" t="s">
        <v>753</v>
      </c>
      <c r="P304" s="190" t="n">
        <v>89.5</v>
      </c>
    </row>
    <row r="305" customFormat="false" ht="32.25" hidden="false" customHeight="false" outlineLevel="0" collapsed="false">
      <c r="O305" s="193" t="s">
        <v>754</v>
      </c>
      <c r="P305" s="190" t="n">
        <v>86.5</v>
      </c>
    </row>
    <row r="306" customFormat="false" ht="32.25" hidden="false" customHeight="false" outlineLevel="0" collapsed="false">
      <c r="O306" s="193" t="s">
        <v>755</v>
      </c>
      <c r="P306" s="190" t="n">
        <v>86.5</v>
      </c>
    </row>
    <row r="307" customFormat="false" ht="32.25" hidden="false" customHeight="false" outlineLevel="0" collapsed="false">
      <c r="O307" s="193" t="s">
        <v>756</v>
      </c>
      <c r="P307" s="190" t="n">
        <v>85.5</v>
      </c>
    </row>
    <row r="308" customFormat="false" ht="32.25" hidden="false" customHeight="false" outlineLevel="0" collapsed="false">
      <c r="O308" s="189" t="s">
        <v>757</v>
      </c>
      <c r="P308" s="190" t="n">
        <v>95.8</v>
      </c>
    </row>
    <row r="309" customFormat="false" ht="32.25" hidden="false" customHeight="false" outlineLevel="0" collapsed="false">
      <c r="O309" s="189" t="s">
        <v>758</v>
      </c>
      <c r="P309" s="190" t="n">
        <v>95.4</v>
      </c>
    </row>
    <row r="310" customFormat="false" ht="32.25" hidden="false" customHeight="false" outlineLevel="0" collapsed="false">
      <c r="O310" s="189" t="s">
        <v>759</v>
      </c>
      <c r="P310" s="190" t="n">
        <v>95</v>
      </c>
    </row>
    <row r="311" customFormat="false" ht="32.25" hidden="false" customHeight="false" outlineLevel="0" collapsed="false">
      <c r="O311" s="189" t="s">
        <v>760</v>
      </c>
      <c r="P311" s="190" t="n">
        <v>95</v>
      </c>
    </row>
    <row r="312" customFormat="false" ht="32.25" hidden="false" customHeight="false" outlineLevel="0" collapsed="false">
      <c r="O312" s="189" t="s">
        <v>761</v>
      </c>
      <c r="P312" s="190" t="n">
        <v>94.1</v>
      </c>
    </row>
    <row r="313" customFormat="false" ht="32.25" hidden="false" customHeight="false" outlineLevel="0" collapsed="false">
      <c r="O313" s="189" t="s">
        <v>762</v>
      </c>
      <c r="P313" s="190" t="n">
        <v>93.6</v>
      </c>
    </row>
    <row r="314" customFormat="false" ht="32.25" hidden="false" customHeight="false" outlineLevel="0" collapsed="false">
      <c r="O314" s="189" t="s">
        <v>763</v>
      </c>
      <c r="P314" s="190" t="n">
        <v>93.6</v>
      </c>
    </row>
    <row r="315" customFormat="false" ht="32.25" hidden="false" customHeight="false" outlineLevel="0" collapsed="false">
      <c r="O315" s="189" t="s">
        <v>764</v>
      </c>
      <c r="P315" s="190" t="n">
        <v>93</v>
      </c>
    </row>
    <row r="316" customFormat="false" ht="32.25" hidden="false" customHeight="false" outlineLevel="0" collapsed="false">
      <c r="O316" s="189" t="s">
        <v>765</v>
      </c>
      <c r="P316" s="190" t="n">
        <v>92.4</v>
      </c>
    </row>
    <row r="317" customFormat="false" ht="32.25" hidden="false" customHeight="false" outlineLevel="0" collapsed="false">
      <c r="O317" s="189" t="s">
        <v>766</v>
      </c>
      <c r="P317" s="190" t="n">
        <v>91.7</v>
      </c>
    </row>
    <row r="318" customFormat="false" ht="32.25" hidden="false" customHeight="false" outlineLevel="0" collapsed="false">
      <c r="O318" s="189" t="s">
        <v>767</v>
      </c>
      <c r="P318" s="190" t="n">
        <v>91.7</v>
      </c>
    </row>
    <row r="319" customFormat="false" ht="32.25" hidden="false" customHeight="false" outlineLevel="0" collapsed="false">
      <c r="O319" s="189" t="s">
        <v>768</v>
      </c>
      <c r="P319" s="190" t="n">
        <v>91</v>
      </c>
    </row>
    <row r="320" customFormat="false" ht="32.25" hidden="false" customHeight="false" outlineLevel="0" collapsed="false">
      <c r="O320" s="189" t="s">
        <v>769</v>
      </c>
      <c r="P320" s="190" t="n">
        <v>91</v>
      </c>
    </row>
    <row r="321" customFormat="false" ht="32.25" hidden="false" customHeight="false" outlineLevel="0" collapsed="false">
      <c r="O321" s="193" t="s">
        <v>770</v>
      </c>
      <c r="P321" s="190" t="n">
        <v>90.8</v>
      </c>
    </row>
    <row r="322" customFormat="false" ht="32.25" hidden="false" customHeight="false" outlineLevel="0" collapsed="false">
      <c r="O322" s="189" t="s">
        <v>771</v>
      </c>
      <c r="P322" s="190" t="n">
        <v>89.5</v>
      </c>
    </row>
    <row r="323" customFormat="false" ht="32.25" hidden="false" customHeight="false" outlineLevel="0" collapsed="false">
      <c r="O323" s="193" t="s">
        <v>772</v>
      </c>
      <c r="P323" s="190" t="n">
        <v>88.5</v>
      </c>
    </row>
    <row r="324" customFormat="false" ht="32.25" hidden="false" customHeight="false" outlineLevel="0" collapsed="false">
      <c r="O324" s="193" t="s">
        <v>773</v>
      </c>
      <c r="P324" s="190" t="n">
        <v>86.5</v>
      </c>
    </row>
    <row r="325" customFormat="false" ht="32.25" hidden="false" customHeight="false" outlineLevel="0" collapsed="false">
      <c r="O325" s="193" t="s">
        <v>774</v>
      </c>
      <c r="P325" s="190" t="n">
        <v>85.5</v>
      </c>
    </row>
    <row r="326" customFormat="false" ht="32.25" hidden="false" customHeight="false" outlineLevel="0" collapsed="false">
      <c r="O326" s="193" t="s">
        <v>775</v>
      </c>
      <c r="P326" s="190" t="n">
        <v>84</v>
      </c>
    </row>
    <row r="327" customFormat="false" ht="32.25" hidden="false" customHeight="false" outlineLevel="0" collapsed="false">
      <c r="O327" s="193" t="s">
        <v>776</v>
      </c>
      <c r="P327" s="190" t="n">
        <v>77</v>
      </c>
    </row>
    <row r="333" customFormat="false" ht="16.5" hidden="false" customHeight="false" outlineLevel="0" collapsed="false">
      <c r="O333" s="191" t="n">
        <v>75.5</v>
      </c>
      <c r="P333" s="190" t="n">
        <v>1</v>
      </c>
    </row>
    <row r="334" customFormat="false" ht="16.5" hidden="false" customHeight="false" outlineLevel="0" collapsed="false">
      <c r="O334" s="191" t="n">
        <v>77</v>
      </c>
      <c r="P334" s="190" t="n">
        <v>2</v>
      </c>
    </row>
    <row r="335" customFormat="false" ht="16.5" hidden="false" customHeight="false" outlineLevel="0" collapsed="false">
      <c r="O335" s="191" t="n">
        <v>78.5</v>
      </c>
      <c r="P335" s="190" t="n">
        <v>3</v>
      </c>
    </row>
    <row r="336" customFormat="false" ht="16.5" hidden="false" customHeight="false" outlineLevel="0" collapsed="false">
      <c r="O336" s="191" t="n">
        <v>80</v>
      </c>
      <c r="P336" s="190" t="n">
        <v>4</v>
      </c>
    </row>
    <row r="337" customFormat="false" ht="16.5" hidden="false" customHeight="false" outlineLevel="0" collapsed="false">
      <c r="O337" s="191" t="n">
        <v>81.5</v>
      </c>
      <c r="P337" s="190" t="n">
        <v>5</v>
      </c>
    </row>
    <row r="338" customFormat="false" ht="16.5" hidden="false" customHeight="false" outlineLevel="0" collapsed="false">
      <c r="O338" s="191" t="n">
        <v>82.5</v>
      </c>
      <c r="P338" s="190" t="n">
        <v>6</v>
      </c>
    </row>
    <row r="339" customFormat="false" ht="16.5" hidden="false" customHeight="false" outlineLevel="0" collapsed="false">
      <c r="O339" s="191" t="n">
        <v>84</v>
      </c>
      <c r="P339" s="190" t="n">
        <v>7</v>
      </c>
    </row>
    <row r="340" customFormat="false" ht="16.5" hidden="false" customHeight="false" outlineLevel="0" collapsed="false">
      <c r="O340" s="191" t="n">
        <v>85.5</v>
      </c>
      <c r="P340" s="190" t="n">
        <v>8</v>
      </c>
    </row>
    <row r="341" customFormat="false" ht="16.5" hidden="false" customHeight="false" outlineLevel="0" collapsed="false">
      <c r="O341" s="191" t="n">
        <v>86.5</v>
      </c>
      <c r="P341" s="190" t="n">
        <v>9</v>
      </c>
    </row>
    <row r="342" customFormat="false" ht="16.5" hidden="false" customHeight="false" outlineLevel="0" collapsed="false">
      <c r="O342" s="191" t="n">
        <v>87.5</v>
      </c>
      <c r="P342" s="190" t="n">
        <v>10</v>
      </c>
    </row>
    <row r="343" customFormat="false" ht="16.5" hidden="false" customHeight="false" outlineLevel="0" collapsed="false">
      <c r="O343" s="191" t="n">
        <v>88.5</v>
      </c>
      <c r="P343" s="190" t="n">
        <v>11</v>
      </c>
    </row>
    <row r="344" customFormat="false" ht="16.5" hidden="false" customHeight="false" outlineLevel="0" collapsed="false">
      <c r="O344" s="191" t="n">
        <v>89.5</v>
      </c>
      <c r="P344" s="190" t="n">
        <v>12</v>
      </c>
    </row>
    <row r="345" customFormat="false" ht="16.5" hidden="false" customHeight="false" outlineLevel="0" collapsed="false">
      <c r="O345" s="191" t="n">
        <v>90.2</v>
      </c>
      <c r="P345" s="190" t="n">
        <v>13</v>
      </c>
    </row>
    <row r="346" customFormat="false" ht="16.5" hidden="false" customHeight="false" outlineLevel="0" collapsed="false">
      <c r="O346" s="191" t="n">
        <v>91</v>
      </c>
      <c r="P346" s="190" t="n">
        <v>14</v>
      </c>
    </row>
    <row r="347" customFormat="false" ht="16.5" hidden="false" customHeight="false" outlineLevel="0" collapsed="false">
      <c r="O347" s="191" t="n">
        <v>91.7</v>
      </c>
      <c r="P347" s="190" t="n">
        <v>15</v>
      </c>
    </row>
    <row r="348" customFormat="false" ht="16.5" hidden="false" customHeight="false" outlineLevel="0" collapsed="false">
      <c r="O348" s="191" t="n">
        <v>92.4</v>
      </c>
      <c r="P348" s="190" t="n">
        <v>16</v>
      </c>
    </row>
    <row r="349" customFormat="false" ht="16.5" hidden="false" customHeight="false" outlineLevel="0" collapsed="false">
      <c r="O349" s="191" t="n">
        <v>93</v>
      </c>
      <c r="P349" s="190" t="n">
        <v>17</v>
      </c>
    </row>
    <row r="350" customFormat="false" ht="16.5" hidden="false" customHeight="false" outlineLevel="0" collapsed="false">
      <c r="O350" s="191" t="n">
        <v>93.6</v>
      </c>
      <c r="P350" s="190" t="n">
        <v>18</v>
      </c>
    </row>
    <row r="351" customFormat="false" ht="16.5" hidden="false" customHeight="false" outlineLevel="0" collapsed="false">
      <c r="O351" s="191" t="n">
        <v>94.1</v>
      </c>
      <c r="P351" s="190" t="n">
        <v>19</v>
      </c>
    </row>
    <row r="352" customFormat="false" ht="16.5" hidden="false" customHeight="false" outlineLevel="0" collapsed="false">
      <c r="O352" s="191" t="n">
        <v>94.5</v>
      </c>
      <c r="P352" s="190" t="n">
        <v>20</v>
      </c>
    </row>
    <row r="353" customFormat="false" ht="16.5" hidden="false" customHeight="false" outlineLevel="0" collapsed="false">
      <c r="O353" s="191" t="n">
        <v>95</v>
      </c>
      <c r="P353" s="190" t="n">
        <v>21</v>
      </c>
    </row>
    <row r="354" customFormat="false" ht="16.5" hidden="false" customHeight="false" outlineLevel="0" collapsed="false">
      <c r="O354" s="191" t="n">
        <v>95.4</v>
      </c>
      <c r="P354" s="190" t="n">
        <v>22</v>
      </c>
    </row>
    <row r="355" customFormat="false" ht="16.5" hidden="false" customHeight="false" outlineLevel="0" collapsed="false">
      <c r="O355" s="191" t="n">
        <v>95.8</v>
      </c>
      <c r="P355" s="190" t="n">
        <v>23</v>
      </c>
    </row>
    <row r="356" customFormat="false" ht="16.5" hidden="false" customHeight="false" outlineLevel="0" collapsed="false">
      <c r="O356" s="191" t="n">
        <v>96.2</v>
      </c>
      <c r="P356" s="190" t="n">
        <v>24</v>
      </c>
    </row>
    <row r="357" customFormat="false" ht="16.5" hidden="false" customHeight="false" outlineLevel="0" collapsed="false">
      <c r="O357" s="191" t="n">
        <v>96.5</v>
      </c>
      <c r="P357" s="190" t="n">
        <v>25</v>
      </c>
    </row>
    <row r="358" customFormat="false" ht="16.5" hidden="false" customHeight="false" outlineLevel="0" collapsed="false">
      <c r="O358" s="191" t="n">
        <v>96.8</v>
      </c>
      <c r="P358" s="190" t="n">
        <v>26</v>
      </c>
    </row>
    <row r="359" customFormat="false" ht="16.5" hidden="false" customHeight="false" outlineLevel="0" collapsed="false">
      <c r="O359" s="191" t="n">
        <v>97.1</v>
      </c>
      <c r="P359" s="190" t="n">
        <v>27</v>
      </c>
    </row>
    <row r="360" customFormat="false" ht="16.5" hidden="false" customHeight="false" outlineLevel="0" collapsed="false">
      <c r="O360" s="191" t="n">
        <v>97.4</v>
      </c>
      <c r="P360" s="190" t="n">
        <v>28</v>
      </c>
    </row>
    <row r="361" customFormat="false" ht="16.5" hidden="false" customHeight="false" outlineLevel="0" collapsed="false">
      <c r="O361" s="191" t="n">
        <v>97.6</v>
      </c>
      <c r="P361" s="190" t="n">
        <v>29</v>
      </c>
    </row>
    <row r="362" customFormat="false" ht="16.5" hidden="false" customHeight="false" outlineLevel="0" collapsed="false">
      <c r="O362" s="191" t="n">
        <v>97.8</v>
      </c>
      <c r="P362" s="190" t="n">
        <v>30</v>
      </c>
    </row>
    <row r="363" customFormat="false" ht="16.5" hidden="false" customHeight="false" outlineLevel="0" collapsed="false">
      <c r="O363" s="191" t="n">
        <v>98</v>
      </c>
      <c r="P363" s="190" t="n">
        <v>31</v>
      </c>
    </row>
    <row r="364" customFormat="false" ht="16.5" hidden="false" customHeight="false" outlineLevel="0" collapsed="false">
      <c r="O364" s="191" t="n">
        <v>98.2</v>
      </c>
      <c r="P364" s="190" t="n">
        <v>32</v>
      </c>
    </row>
    <row r="365" customFormat="false" ht="16.5" hidden="false" customHeight="false" outlineLevel="0" collapsed="false">
      <c r="O365" s="191" t="n">
        <v>98.4</v>
      </c>
      <c r="P365" s="190" t="n">
        <v>33</v>
      </c>
    </row>
    <row r="366" customFormat="false" ht="16.5" hidden="false" customHeight="false" outlineLevel="0" collapsed="false">
      <c r="O366" s="191" t="n">
        <v>98.5</v>
      </c>
      <c r="P366" s="190" t="n">
        <v>34</v>
      </c>
    </row>
    <row r="367" customFormat="false" ht="16.5" hidden="false" customHeight="false" outlineLevel="0" collapsed="false">
      <c r="O367" s="191" t="n">
        <v>98.6</v>
      </c>
      <c r="P367" s="190" t="n">
        <v>35</v>
      </c>
    </row>
    <row r="368" customFormat="false" ht="16.5" hidden="false" customHeight="false" outlineLevel="0" collapsed="false">
      <c r="O368" s="191" t="n">
        <v>98.7</v>
      </c>
      <c r="P368" s="190" t="n">
        <v>36</v>
      </c>
    </row>
    <row r="369" customFormat="false" ht="16.5" hidden="false" customHeight="false" outlineLevel="0" collapsed="false">
      <c r="O369" s="191" t="n">
        <v>98.8</v>
      </c>
      <c r="P369" s="190" t="n">
        <v>37</v>
      </c>
    </row>
    <row r="370" customFormat="false" ht="16.5" hidden="false" customHeight="false" outlineLevel="0" collapsed="false">
      <c r="O370" s="191" t="n">
        <v>98.9</v>
      </c>
      <c r="P370" s="190" t="n">
        <v>38</v>
      </c>
    </row>
    <row r="371" customFormat="false" ht="16.5" hidden="false" customHeight="false" outlineLevel="0" collapsed="false">
      <c r="O371" s="191" t="n">
        <v>99</v>
      </c>
      <c r="P371" s="190" t="n">
        <v>39</v>
      </c>
    </row>
  </sheetData>
  <mergeCells count="3">
    <mergeCell ref="O4:P4"/>
    <mergeCell ref="O5:P5"/>
    <mergeCell ref="O6:O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184</TotalTime>
  <Application>LibreOffice/6.0.6.2$Linux_X86_64 LibreOffice_project/00m0$Build-2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2017-06-23T16:07:23Z</dcterms:created>
  <dc:creator>Matthew Grasso</dc:creator>
  <dc:description/>
  <dc:language>en-US</dc:language>
  <cp:lastModifiedBy/>
  <dcterms:modified xsi:type="dcterms:W3CDTF">2018-10-10T16:58:47Z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