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120" yWindow="240" windowWidth="28800" windowHeight="15940" tabRatio="969" activeTab="4"/>
  </bookViews>
  <sheets>
    <sheet name="Database Input Tab all Sections" sheetId="11" r:id="rId1"/>
    <sheet name="Section III database " sheetId="22" r:id="rId2"/>
    <sheet name="Section IV database" sheetId="24" r:id="rId3"/>
    <sheet name="Section V database" sheetId="26" r:id="rId4"/>
    <sheet name="Section VI database" sheetId="25" r:id="rId5"/>
    <sheet name="Section VII database" sheetId="27" r:id="rId6"/>
    <sheet name="ER cert A.1 to B.1" sheetId="20" r:id="rId7"/>
    <sheet name="ER cert A.1_B.1_C.1" sheetId="28" r:id="rId8"/>
    <sheet name="ER cert A.1_C.1" sheetId="29" r:id="rId9"/>
    <sheet name="ER cert B.1_C.1" sheetId="30" r:id="rId10"/>
    <sheet name="ER cert B.2_C.1" sheetId="31" r:id="rId11"/>
    <sheet name="Lookup" sheetId="5" r:id="rId12"/>
    <sheet name="HI 40.5 database fields" sheetId="1" r:id="rId1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25" l="1"/>
  <c r="S8" i="25"/>
  <c r="Q8" i="25"/>
  <c r="O8" i="25"/>
  <c r="R8" i="25"/>
  <c r="P8" i="25"/>
  <c r="N8" i="25"/>
  <c r="D16" i="25"/>
  <c r="C16" i="25"/>
  <c r="B16" i="25"/>
  <c r="A16" i="25"/>
  <c r="L8" i="25"/>
  <c r="G8" i="25"/>
  <c r="I7" i="22"/>
  <c r="B24" i="22"/>
  <c r="A26" i="22"/>
  <c r="G26" i="22"/>
  <c r="A24" i="22"/>
  <c r="F24" i="22"/>
  <c r="J26" i="22"/>
  <c r="M26" i="22"/>
  <c r="P26" i="22"/>
  <c r="C24" i="22"/>
  <c r="D24" i="22"/>
  <c r="E24" i="22"/>
  <c r="S26" i="22"/>
  <c r="H26" i="22"/>
  <c r="K26" i="22"/>
  <c r="N26" i="22"/>
  <c r="Q26" i="22"/>
  <c r="T26" i="22"/>
  <c r="I26" i="22"/>
  <c r="L26" i="22"/>
  <c r="O26" i="22"/>
  <c r="R26" i="22"/>
  <c r="U26" i="22"/>
  <c r="Y26" i="22"/>
  <c r="D18" i="22"/>
  <c r="E18" i="22"/>
  <c r="AT26" i="22"/>
  <c r="Z24" i="22"/>
  <c r="AA24" i="22"/>
  <c r="AB26" i="22"/>
  <c r="AE26" i="22"/>
  <c r="AH26" i="22"/>
  <c r="AK26" i="22"/>
  <c r="AC26" i="22"/>
  <c r="AF26" i="22"/>
  <c r="AI26" i="22"/>
  <c r="AL26" i="22"/>
  <c r="AD26" i="22"/>
  <c r="AG26" i="22"/>
  <c r="AJ26" i="22"/>
  <c r="AM26" i="22"/>
  <c r="AQ26" i="22"/>
  <c r="AR26" i="22"/>
  <c r="AS26" i="22"/>
  <c r="AP26" i="22"/>
  <c r="AO26" i="22"/>
  <c r="AN26" i="22"/>
  <c r="Z26" i="22"/>
  <c r="AA26" i="22"/>
  <c r="X26" i="22"/>
  <c r="W26" i="22"/>
  <c r="V26" i="22"/>
  <c r="B26" i="22"/>
  <c r="F26" i="22"/>
  <c r="D26" i="22"/>
  <c r="E26" i="22"/>
  <c r="C26" i="22"/>
  <c r="I9" i="22"/>
  <c r="A25" i="22"/>
  <c r="G25" i="22"/>
  <c r="J25" i="22"/>
  <c r="M25" i="22"/>
  <c r="P25" i="22"/>
  <c r="S25" i="22"/>
  <c r="H25" i="22"/>
  <c r="K25" i="22"/>
  <c r="N25" i="22"/>
  <c r="Q25" i="22"/>
  <c r="T25" i="22"/>
  <c r="I25" i="22"/>
  <c r="L25" i="22"/>
  <c r="O25" i="22"/>
  <c r="R25" i="22"/>
  <c r="U25" i="22"/>
  <c r="Y25" i="22"/>
  <c r="D17" i="22"/>
  <c r="E17" i="22"/>
  <c r="AT25" i="22"/>
  <c r="AB25" i="22"/>
  <c r="AE25" i="22"/>
  <c r="AH25" i="22"/>
  <c r="AK25" i="22"/>
  <c r="AC25" i="22"/>
  <c r="AF25" i="22"/>
  <c r="AI25" i="22"/>
  <c r="AL25" i="22"/>
  <c r="AD25" i="22"/>
  <c r="AG25" i="22"/>
  <c r="AJ25" i="22"/>
  <c r="AM25" i="22"/>
  <c r="AQ25" i="22"/>
  <c r="AR25" i="22"/>
  <c r="AS25" i="22"/>
  <c r="AP25" i="22"/>
  <c r="AO25" i="22"/>
  <c r="AN25" i="22"/>
  <c r="Z25" i="22"/>
  <c r="AA25" i="22"/>
  <c r="X25" i="22"/>
  <c r="W25" i="22"/>
  <c r="V25" i="22"/>
  <c r="B25" i="22"/>
  <c r="F25" i="22"/>
  <c r="D25" i="22"/>
  <c r="E25" i="22"/>
  <c r="C25" i="22"/>
  <c r="I8" i="22"/>
  <c r="H7" i="26"/>
  <c r="N7" i="26"/>
  <c r="O7" i="26"/>
  <c r="U7" i="26"/>
  <c r="A20" i="26"/>
  <c r="E24" i="26"/>
  <c r="F7" i="26"/>
  <c r="K7" i="26"/>
  <c r="B20" i="26"/>
  <c r="E23" i="26"/>
  <c r="E25" i="26"/>
  <c r="E26" i="26"/>
  <c r="E27" i="26"/>
  <c r="E28" i="26"/>
  <c r="E22" i="26"/>
  <c r="D22" i="26"/>
  <c r="F23" i="26"/>
  <c r="F22" i="26"/>
  <c r="H7" i="24"/>
  <c r="N7" i="24"/>
  <c r="O7" i="24"/>
  <c r="U7" i="24"/>
  <c r="A20" i="24"/>
  <c r="F23" i="24"/>
  <c r="F22" i="24"/>
  <c r="F20" i="26"/>
  <c r="W7" i="24"/>
  <c r="D16" i="22"/>
  <c r="G24" i="22"/>
  <c r="J24" i="22"/>
  <c r="M24" i="22"/>
  <c r="P24" i="22"/>
  <c r="S24" i="22"/>
  <c r="H24" i="22"/>
  <c r="K24" i="22"/>
  <c r="N24" i="22"/>
  <c r="Q24" i="22"/>
  <c r="T24" i="22"/>
  <c r="I24" i="22"/>
  <c r="L24" i="22"/>
  <c r="O24" i="22"/>
  <c r="R24" i="22"/>
  <c r="U24" i="22"/>
  <c r="Y24" i="22"/>
  <c r="F33" i="22"/>
  <c r="F32" i="22"/>
  <c r="F31" i="22"/>
  <c r="F30" i="22"/>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8" i="5"/>
  <c r="E16" i="22"/>
  <c r="J7" i="24"/>
  <c r="A14" i="26"/>
  <c r="B14" i="26"/>
  <c r="C14" i="26"/>
  <c r="D14" i="26"/>
  <c r="AD24" i="22"/>
  <c r="BG7" i="20"/>
  <c r="AB24" i="22"/>
  <c r="BF7" i="20"/>
  <c r="AC24" i="22"/>
  <c r="BE7" i="20"/>
  <c r="A14" i="27"/>
  <c r="B14" i="27"/>
  <c r="C14" i="27"/>
  <c r="D14" i="27"/>
  <c r="E14" i="27"/>
  <c r="W7" i="27"/>
  <c r="F14" i="27"/>
  <c r="N7" i="27"/>
  <c r="O7" i="27"/>
  <c r="G20" i="27"/>
  <c r="H7" i="27"/>
  <c r="U7" i="27"/>
  <c r="A20" i="27"/>
  <c r="F7" i="27"/>
  <c r="K7" i="27"/>
  <c r="B20" i="27"/>
  <c r="F20" i="27"/>
  <c r="J20" i="27"/>
  <c r="L7" i="27"/>
  <c r="M20" i="27"/>
  <c r="P20" i="27"/>
  <c r="C20" i="27"/>
  <c r="D20" i="27"/>
  <c r="E20" i="27"/>
  <c r="S20" i="27"/>
  <c r="P7" i="27"/>
  <c r="Q7" i="27"/>
  <c r="H20" i="27"/>
  <c r="K20" i="27"/>
  <c r="N20" i="27"/>
  <c r="Q20" i="27"/>
  <c r="T20" i="27"/>
  <c r="R7" i="27"/>
  <c r="S7" i="27"/>
  <c r="I20" i="27"/>
  <c r="L20" i="27"/>
  <c r="O20" i="27"/>
  <c r="R20" i="27"/>
  <c r="U20" i="27"/>
  <c r="Y20" i="27"/>
  <c r="Z20" i="27"/>
  <c r="AA20" i="27"/>
  <c r="AB20" i="27"/>
  <c r="AE20" i="27"/>
  <c r="AH20" i="27"/>
  <c r="AK20" i="27"/>
  <c r="AC20" i="27"/>
  <c r="AF20" i="27"/>
  <c r="AI20" i="27"/>
  <c r="AL20" i="27"/>
  <c r="AD20" i="27"/>
  <c r="AG20" i="27"/>
  <c r="AJ20" i="27"/>
  <c r="AM20" i="27"/>
  <c r="AQ20" i="27"/>
  <c r="AR20" i="27"/>
  <c r="AS20" i="27"/>
  <c r="A15" i="25"/>
  <c r="B15" i="25"/>
  <c r="C15" i="25"/>
  <c r="D15" i="25"/>
  <c r="W7" i="25"/>
  <c r="F15" i="25"/>
  <c r="N7" i="25"/>
  <c r="O7" i="25"/>
  <c r="G21" i="25"/>
  <c r="H7" i="25"/>
  <c r="U7" i="25"/>
  <c r="A21" i="25"/>
  <c r="F7" i="25"/>
  <c r="K7" i="25"/>
  <c r="B21" i="25"/>
  <c r="F21" i="25"/>
  <c r="J21" i="25"/>
  <c r="L7" i="25"/>
  <c r="M21" i="25"/>
  <c r="P21" i="25"/>
  <c r="C21" i="25"/>
  <c r="D21" i="25"/>
  <c r="E21" i="25"/>
  <c r="S21" i="25"/>
  <c r="P7" i="25"/>
  <c r="Q7" i="25"/>
  <c r="H21" i="25"/>
  <c r="K21" i="25"/>
  <c r="N21" i="25"/>
  <c r="Q21" i="25"/>
  <c r="T21" i="25"/>
  <c r="R7" i="25"/>
  <c r="S7" i="25"/>
  <c r="I21" i="25"/>
  <c r="L21" i="25"/>
  <c r="O21" i="25"/>
  <c r="R21" i="25"/>
  <c r="U21" i="25"/>
  <c r="Y21" i="25"/>
  <c r="Z21" i="25"/>
  <c r="AA21" i="25"/>
  <c r="AB21" i="25"/>
  <c r="AE21" i="25"/>
  <c r="AH21" i="25"/>
  <c r="AK21" i="25"/>
  <c r="AC21" i="25"/>
  <c r="AF21" i="25"/>
  <c r="AI21" i="25"/>
  <c r="AL21" i="25"/>
  <c r="AD21" i="25"/>
  <c r="AG21" i="25"/>
  <c r="AJ21" i="25"/>
  <c r="AM21" i="25"/>
  <c r="AQ21" i="25"/>
  <c r="AR21" i="25"/>
  <c r="AS21" i="25"/>
  <c r="A14" i="24"/>
  <c r="B14" i="24"/>
  <c r="C14" i="24"/>
  <c r="D14" i="24"/>
  <c r="E14" i="24"/>
  <c r="G20" i="24"/>
  <c r="F7" i="24"/>
  <c r="K7" i="24"/>
  <c r="B20" i="24"/>
  <c r="F20" i="24"/>
  <c r="J20" i="24"/>
  <c r="L7" i="24"/>
  <c r="M20" i="24"/>
  <c r="P20" i="24"/>
  <c r="C20" i="24"/>
  <c r="D20" i="24"/>
  <c r="E20" i="24"/>
  <c r="S20" i="24"/>
  <c r="P7" i="24"/>
  <c r="Q7" i="24"/>
  <c r="H20" i="24"/>
  <c r="K20" i="24"/>
  <c r="N20" i="24"/>
  <c r="Q20" i="24"/>
  <c r="T20" i="24"/>
  <c r="R7" i="24"/>
  <c r="S7" i="24"/>
  <c r="I20" i="24"/>
  <c r="L20" i="24"/>
  <c r="O20" i="24"/>
  <c r="R20" i="24"/>
  <c r="U20" i="24"/>
  <c r="Y20" i="24"/>
  <c r="Z20" i="24"/>
  <c r="AA20" i="24"/>
  <c r="AB20" i="24"/>
  <c r="AE20" i="24"/>
  <c r="AH20" i="24"/>
  <c r="AK20" i="24"/>
  <c r="AC20" i="24"/>
  <c r="AF20" i="24"/>
  <c r="AI20" i="24"/>
  <c r="AL20" i="24"/>
  <c r="AD20" i="24"/>
  <c r="AG20" i="24"/>
  <c r="AJ20" i="24"/>
  <c r="AM20" i="24"/>
  <c r="AQ20" i="24"/>
  <c r="AR20" i="24"/>
  <c r="AS20" i="24"/>
  <c r="AE24" i="22"/>
  <c r="AH24" i="22"/>
  <c r="AK24" i="22"/>
  <c r="AF24" i="22"/>
  <c r="AI24" i="22"/>
  <c r="AL24" i="22"/>
  <c r="AG24" i="22"/>
  <c r="AJ24" i="22"/>
  <c r="AM24" i="22"/>
  <c r="AQ24" i="22"/>
  <c r="AR24" i="22"/>
  <c r="AS24" i="22"/>
  <c r="AW7" i="31"/>
  <c r="I7" i="31"/>
  <c r="J7" i="31"/>
  <c r="K7" i="31"/>
  <c r="L7" i="31"/>
  <c r="S7" i="31"/>
  <c r="R7" i="31"/>
  <c r="Q7" i="31"/>
  <c r="P7" i="31"/>
  <c r="O7" i="31"/>
  <c r="N7" i="31"/>
  <c r="M6" i="31"/>
  <c r="M7" i="31"/>
  <c r="E7" i="24"/>
  <c r="C7" i="31"/>
  <c r="T7" i="31"/>
  <c r="U7" i="31"/>
  <c r="V7" i="31"/>
  <c r="W7" i="31"/>
  <c r="X7" i="31"/>
  <c r="AL7" i="31"/>
  <c r="AG7" i="31"/>
  <c r="AE7" i="31"/>
  <c r="AF7" i="31"/>
  <c r="G20" i="26"/>
  <c r="Z20" i="26"/>
  <c r="AA20" i="26"/>
  <c r="AB20" i="26"/>
  <c r="L7" i="26"/>
  <c r="AE20" i="26"/>
  <c r="AH20" i="26"/>
  <c r="C20" i="26"/>
  <c r="D20" i="26"/>
  <c r="E20" i="26"/>
  <c r="AK20" i="26"/>
  <c r="P7" i="26"/>
  <c r="Q7" i="26"/>
  <c r="H20" i="26"/>
  <c r="AC20" i="26"/>
  <c r="AF20" i="26"/>
  <c r="AI20" i="26"/>
  <c r="AL20" i="26"/>
  <c r="R7" i="26"/>
  <c r="S7" i="26"/>
  <c r="I20" i="26"/>
  <c r="AD20" i="26"/>
  <c r="AG20" i="26"/>
  <c r="AJ20" i="26"/>
  <c r="AM20" i="26"/>
  <c r="AQ20" i="26"/>
  <c r="J20" i="26"/>
  <c r="M20" i="26"/>
  <c r="P20" i="26"/>
  <c r="S20" i="26"/>
  <c r="K20" i="26"/>
  <c r="N20" i="26"/>
  <c r="Q20" i="26"/>
  <c r="T20" i="26"/>
  <c r="L20" i="26"/>
  <c r="O20" i="26"/>
  <c r="R20" i="26"/>
  <c r="U20" i="26"/>
  <c r="Y20" i="26"/>
  <c r="AR20" i="26"/>
  <c r="AW7" i="30"/>
  <c r="J7" i="26"/>
  <c r="M7" i="30"/>
  <c r="S7" i="30"/>
  <c r="Q7" i="30"/>
  <c r="P7" i="30"/>
  <c r="O7" i="30"/>
  <c r="N7" i="30"/>
  <c r="L7" i="30"/>
  <c r="AE7" i="30"/>
  <c r="W7" i="26"/>
  <c r="K7" i="30"/>
  <c r="E7" i="26"/>
  <c r="C7" i="30"/>
  <c r="J7" i="30"/>
  <c r="I7" i="30"/>
  <c r="AB7" i="31"/>
  <c r="AI7" i="31"/>
  <c r="AN7" i="31"/>
  <c r="AR7" i="31"/>
  <c r="AA7" i="31"/>
  <c r="AH7" i="31"/>
  <c r="AM7" i="31"/>
  <c r="AQ7" i="31"/>
  <c r="Y7" i="31"/>
  <c r="Z7" i="31"/>
  <c r="AL7" i="30"/>
  <c r="AF7" i="30"/>
  <c r="AG7" i="30"/>
  <c r="T7" i="30"/>
  <c r="U7" i="30"/>
  <c r="V7" i="30"/>
  <c r="W7" i="30"/>
  <c r="AA7" i="30"/>
  <c r="M7" i="29"/>
  <c r="L7" i="29"/>
  <c r="Q7" i="29"/>
  <c r="R7" i="29"/>
  <c r="AQ7" i="29"/>
  <c r="C7" i="29"/>
  <c r="C7" i="28"/>
  <c r="C7" i="20"/>
  <c r="BD7" i="29"/>
  <c r="BG7" i="29"/>
  <c r="BJ7" i="29"/>
  <c r="BC7" i="29"/>
  <c r="BF7" i="29"/>
  <c r="BI7" i="29"/>
  <c r="BB7" i="29"/>
  <c r="BE7" i="29"/>
  <c r="BH7" i="29"/>
  <c r="AL7" i="29"/>
  <c r="AK7" i="29"/>
  <c r="AJ7" i="29"/>
  <c r="X7" i="29"/>
  <c r="W7" i="29"/>
  <c r="V7" i="29"/>
  <c r="U7" i="29"/>
  <c r="T7" i="29"/>
  <c r="S7" i="29"/>
  <c r="P7" i="29"/>
  <c r="O7" i="29"/>
  <c r="N7" i="29"/>
  <c r="BD7" i="28"/>
  <c r="BE7" i="28"/>
  <c r="BC7" i="28"/>
  <c r="BF7" i="28"/>
  <c r="AM7" i="28"/>
  <c r="AL7" i="28"/>
  <c r="AK7" i="28"/>
  <c r="AD7" i="31"/>
  <c r="AK7" i="31"/>
  <c r="AP7" i="31"/>
  <c r="AT7" i="31"/>
  <c r="AC7" i="31"/>
  <c r="AJ7" i="31"/>
  <c r="AO7" i="31"/>
  <c r="AS7" i="31"/>
  <c r="AU7" i="31"/>
  <c r="AV7" i="31"/>
  <c r="AX7" i="31"/>
  <c r="AH7" i="30"/>
  <c r="X7" i="30"/>
  <c r="AB7" i="30"/>
  <c r="Z7" i="30"/>
  <c r="AD7" i="30"/>
  <c r="Y7" i="30"/>
  <c r="AC7" i="30"/>
  <c r="Y7" i="29"/>
  <c r="Z7" i="29"/>
  <c r="AA7" i="29"/>
  <c r="AB7" i="29"/>
  <c r="AM7" i="30"/>
  <c r="AQ7" i="30"/>
  <c r="AI7" i="30"/>
  <c r="AN7" i="30"/>
  <c r="AR7" i="30"/>
  <c r="AK7" i="30"/>
  <c r="AP7" i="30"/>
  <c r="AT7" i="30"/>
  <c r="AJ7" i="30"/>
  <c r="AO7" i="30"/>
  <c r="AS7" i="30"/>
  <c r="BK7" i="29"/>
  <c r="BM7" i="29"/>
  <c r="BP7" i="29"/>
  <c r="AF7" i="29"/>
  <c r="AM7" i="29"/>
  <c r="AC7" i="29"/>
  <c r="AD7" i="29"/>
  <c r="AE7" i="29"/>
  <c r="AU7" i="30"/>
  <c r="AR7" i="29"/>
  <c r="AV7" i="29"/>
  <c r="BL7" i="29"/>
  <c r="BO7" i="29"/>
  <c r="BN7" i="29"/>
  <c r="BQ7" i="29"/>
  <c r="AG7" i="29"/>
  <c r="AN7" i="29"/>
  <c r="AS7" i="29"/>
  <c r="AW7" i="29"/>
  <c r="AI7" i="29"/>
  <c r="AP7" i="29"/>
  <c r="AU7" i="29"/>
  <c r="AY7" i="29"/>
  <c r="AH7" i="29"/>
  <c r="AO7" i="29"/>
  <c r="AT7" i="29"/>
  <c r="AX7" i="29"/>
  <c r="BR7" i="29"/>
  <c r="BS7" i="29"/>
  <c r="AZ7" i="29"/>
  <c r="BA7" i="29"/>
  <c r="BT7" i="29"/>
  <c r="AR7" i="28"/>
  <c r="Y7" i="28"/>
  <c r="X7" i="28"/>
  <c r="W7" i="28"/>
  <c r="V7" i="28"/>
  <c r="U7" i="28"/>
  <c r="T7" i="28"/>
  <c r="Q7" i="28"/>
  <c r="P7" i="28"/>
  <c r="O7" i="28"/>
  <c r="N7" i="28"/>
  <c r="M7" i="28"/>
  <c r="Y7" i="20"/>
  <c r="X7" i="20"/>
  <c r="AC7" i="20"/>
  <c r="AB7" i="20"/>
  <c r="AA7" i="20"/>
  <c r="R7" i="20"/>
  <c r="S7" i="20"/>
  <c r="T7" i="20"/>
  <c r="U7" i="20"/>
  <c r="V7" i="20"/>
  <c r="W7" i="20"/>
  <c r="L7" i="20"/>
  <c r="G7" i="25"/>
  <c r="V7" i="27"/>
  <c r="T7" i="27"/>
  <c r="J7" i="27"/>
  <c r="I7" i="27"/>
  <c r="G7" i="27"/>
  <c r="E7" i="27"/>
  <c r="D7" i="27"/>
  <c r="C7" i="27"/>
  <c r="B7" i="27"/>
  <c r="X28" i="27"/>
  <c r="A7" i="27"/>
  <c r="V7" i="26"/>
  <c r="T7" i="26"/>
  <c r="I7" i="26"/>
  <c r="D7" i="26"/>
  <c r="C7" i="26"/>
  <c r="B7" i="26"/>
  <c r="V7" i="25"/>
  <c r="T7" i="25"/>
  <c r="J7" i="25"/>
  <c r="I7" i="25"/>
  <c r="E7" i="25"/>
  <c r="D7" i="25"/>
  <c r="C7" i="25"/>
  <c r="B7" i="25"/>
  <c r="A7" i="25"/>
  <c r="X28" i="26"/>
  <c r="G7" i="26"/>
  <c r="A7" i="26"/>
  <c r="X29" i="25"/>
  <c r="V7" i="24"/>
  <c r="T7" i="24"/>
  <c r="D7" i="24"/>
  <c r="C7" i="24"/>
  <c r="B7" i="24"/>
  <c r="X28" i="24"/>
  <c r="G7" i="24"/>
  <c r="A7" i="24"/>
  <c r="R7" i="28"/>
  <c r="S7" i="28"/>
  <c r="BL7" i="28"/>
  <c r="BI7" i="28"/>
  <c r="BG7" i="28"/>
  <c r="BJ7" i="28"/>
  <c r="BH7" i="28"/>
  <c r="BK7" i="28"/>
  <c r="Z7" i="28"/>
  <c r="AA7" i="28"/>
  <c r="AB7" i="28"/>
  <c r="AC7" i="28"/>
  <c r="M7" i="27"/>
  <c r="E14" i="26"/>
  <c r="M7" i="25"/>
  <c r="M7" i="26"/>
  <c r="M7" i="24"/>
  <c r="AS20" i="26"/>
  <c r="R7" i="30"/>
  <c r="AV7" i="30"/>
  <c r="AX7" i="30"/>
  <c r="AG7" i="28"/>
  <c r="AN7" i="28"/>
  <c r="AS7" i="28"/>
  <c r="AW7" i="28"/>
  <c r="BO7" i="28"/>
  <c r="BR7" i="28"/>
  <c r="AD7" i="28"/>
  <c r="AE7" i="28"/>
  <c r="AF7" i="28"/>
  <c r="BN7" i="28"/>
  <c r="BQ7" i="28"/>
  <c r="BM7" i="28"/>
  <c r="BP7" i="28"/>
  <c r="X20" i="27"/>
  <c r="W20" i="27"/>
  <c r="AP20" i="27"/>
  <c r="AO20" i="27"/>
  <c r="AH7" i="28"/>
  <c r="AO7" i="28"/>
  <c r="AT7" i="28"/>
  <c r="AX7" i="28"/>
  <c r="AJ7" i="28"/>
  <c r="AQ7" i="28"/>
  <c r="AV7" i="28"/>
  <c r="AZ7" i="28"/>
  <c r="AI7" i="28"/>
  <c r="AP7" i="28"/>
  <c r="AU7" i="28"/>
  <c r="AY7" i="28"/>
  <c r="BS7" i="28"/>
  <c r="BT7" i="28"/>
  <c r="AN20" i="27"/>
  <c r="V20" i="27"/>
  <c r="AP20" i="26"/>
  <c r="AO20" i="26"/>
  <c r="W20" i="26"/>
  <c r="X20" i="26"/>
  <c r="AP21" i="25"/>
  <c r="AO21" i="25"/>
  <c r="V21" i="25"/>
  <c r="X21" i="25"/>
  <c r="W21" i="25"/>
  <c r="V20" i="24"/>
  <c r="W20" i="24"/>
  <c r="X20" i="24"/>
  <c r="AP20" i="24"/>
  <c r="AO20" i="24"/>
  <c r="Z7" i="20"/>
  <c r="M7" i="20"/>
  <c r="K7" i="20"/>
  <c r="X34" i="22"/>
  <c r="BA7" i="28"/>
  <c r="BB7" i="28"/>
  <c r="BU7" i="28"/>
  <c r="V20" i="26"/>
  <c r="AN20" i="26"/>
  <c r="AN21" i="25"/>
  <c r="AN20" i="24"/>
  <c r="O7" i="20"/>
  <c r="AD7" i="20"/>
  <c r="P7" i="20"/>
  <c r="Q7" i="20"/>
  <c r="BN7" i="20"/>
  <c r="AV7" i="20"/>
  <c r="AE7" i="20"/>
  <c r="AT20" i="27"/>
  <c r="AT21" i="25"/>
  <c r="AT20" i="24"/>
  <c r="AT20" i="26"/>
  <c r="AO24" i="22"/>
  <c r="V24" i="22"/>
  <c r="AN24" i="22"/>
  <c r="AP24" i="22"/>
  <c r="W24" i="22"/>
  <c r="X24" i="22"/>
  <c r="BI7" i="20"/>
  <c r="BH7" i="20"/>
  <c r="BJ7" i="20"/>
  <c r="X41" i="1"/>
  <c r="A33" i="1"/>
  <c r="AH7" i="20"/>
  <c r="AK7" i="20"/>
  <c r="AN7" i="20"/>
  <c r="AG7" i="20"/>
  <c r="AJ7" i="20"/>
  <c r="AM7" i="20"/>
  <c r="AF7" i="20"/>
  <c r="AI7" i="20"/>
  <c r="D33" i="1"/>
  <c r="E33" i="1"/>
  <c r="F33" i="1"/>
  <c r="H7" i="1"/>
  <c r="C33" i="1"/>
  <c r="AP7" i="20"/>
  <c r="AS7" i="20"/>
  <c r="AW7" i="20"/>
  <c r="AZ7" i="20"/>
  <c r="AQ7" i="20"/>
  <c r="AT7" i="20"/>
  <c r="AX7" i="20"/>
  <c r="BA7" i="20"/>
  <c r="AL7" i="20"/>
  <c r="AO7" i="20"/>
  <c r="B33" i="1"/>
  <c r="J7" i="1"/>
  <c r="K33" i="1"/>
  <c r="J33" i="1"/>
  <c r="I33" i="1"/>
  <c r="AR7" i="20"/>
  <c r="AU7" i="20"/>
  <c r="AY7" i="20"/>
  <c r="BB7" i="20"/>
  <c r="BC7" i="20"/>
  <c r="G33" i="1"/>
  <c r="L33" i="1"/>
  <c r="H33" i="1"/>
  <c r="R33" i="1"/>
  <c r="X33" i="1"/>
  <c r="AD33" i="1"/>
  <c r="AJ33" i="1"/>
  <c r="P33" i="1"/>
  <c r="V33" i="1"/>
  <c r="AB33" i="1"/>
  <c r="AH33" i="1"/>
  <c r="AN33" i="1"/>
  <c r="O33" i="1"/>
  <c r="Q33" i="1"/>
  <c r="W33" i="1"/>
  <c r="AC33" i="1"/>
  <c r="AI33" i="1"/>
  <c r="AO33" i="1"/>
  <c r="M33" i="1"/>
  <c r="N33" i="1"/>
  <c r="T33" i="1"/>
  <c r="Z33" i="1"/>
  <c r="AF33" i="1"/>
  <c r="AL33" i="1"/>
  <c r="U33" i="1"/>
  <c r="AA33" i="1"/>
  <c r="AG33" i="1"/>
  <c r="AM33" i="1"/>
  <c r="S33" i="1"/>
  <c r="AQ33" i="1"/>
  <c r="Y33" i="1"/>
  <c r="AE33" i="1"/>
  <c r="AP33" i="1"/>
  <c r="AR33" i="1"/>
  <c r="AS33" i="1"/>
  <c r="AK33" i="1"/>
  <c r="BL7" i="20"/>
  <c r="BP7" i="20"/>
  <c r="BR7" i="20"/>
  <c r="BM7" i="20"/>
  <c r="BK7" i="20"/>
  <c r="BO7" i="20"/>
  <c r="BS7" i="20"/>
  <c r="BQ7" i="20"/>
  <c r="BT7" i="20"/>
  <c r="BU7" i="20"/>
  <c r="N7" i="20"/>
  <c r="BV7" i="20"/>
  <c r="BD7" i="20"/>
  <c r="AT24" i="22"/>
  <c r="BW7" i="20"/>
</calcChain>
</file>

<file path=xl/comments1.xml><?xml version="1.0" encoding="utf-8"?>
<comments xmlns="http://schemas.openxmlformats.org/spreadsheetml/2006/main">
  <authors>
    <author>Pete</author>
  </authors>
  <commentList>
    <comment ref="A7" authorId="0">
      <text>
        <r>
          <rPr>
            <b/>
            <sz val="9"/>
            <color indexed="81"/>
            <rFont val="Tahoma"/>
            <family val="2"/>
          </rPr>
          <t>Pete:</t>
        </r>
        <r>
          <rPr>
            <sz val="9"/>
            <color indexed="81"/>
            <rFont val="Tahoma"/>
            <family val="2"/>
          </rPr>
          <t xml:space="preserve">
Need to update this input sheet to be only what will be entered by the participant.</t>
        </r>
      </text>
    </comment>
  </commentList>
</comments>
</file>

<file path=xl/comments2.xml><?xml version="1.0" encoding="utf-8"?>
<comments xmlns="http://schemas.openxmlformats.org/spreadsheetml/2006/main">
  <authors>
    <author>Scott Frees</author>
  </authors>
  <commentList>
    <comment ref="D14" authorId="0">
      <text>
        <r>
          <rPr>
            <b/>
            <sz val="9"/>
            <color indexed="81"/>
            <rFont val="Calibri"/>
            <family val="2"/>
          </rPr>
          <t>Scott Frees:</t>
        </r>
        <r>
          <rPr>
            <sz val="9"/>
            <color indexed="81"/>
            <rFont val="Calibri"/>
            <family val="2"/>
          </rPr>
          <t xml:space="preserve">
Divided by 3, instead of multiplying by 0.3333 to avoid rounding errors
</t>
        </r>
      </text>
    </comment>
  </commentList>
</comments>
</file>

<file path=xl/sharedStrings.xml><?xml version="1.0" encoding="utf-8"?>
<sst xmlns="http://schemas.openxmlformats.org/spreadsheetml/2006/main" count="2673" uniqueCount="624">
  <si>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</si>
  <si>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</si>
  <si>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</si>
  <si>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</si>
  <si>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</si>
  <si>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</si>
  <si>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</si>
  <si>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</si>
  <si>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</si>
  <si>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</si>
  <si>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</si>
  <si>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</si>
  <si>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</si>
  <si>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</si>
  <si>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</si>
  <si>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</si>
  <si>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</si>
  <si>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</si>
  <si>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</si>
  <si>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</si>
  <si>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</si>
  <si>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</si>
  <si>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</si>
  <si>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</si>
  <si>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</si>
  <si>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</si>
  <si>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</si>
  <si>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</si>
  <si>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</si>
  <si>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</si>
  <si>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</si>
  <si>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</si>
  <si>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</si>
  <si>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</si>
  <si>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</si>
  <si>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</si>
  <si>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</si>
  <si>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</si>
  <si>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</si>
  <si>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</si>
  <si>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</si>
  <si>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</si>
  <si>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</si>
  <si>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</si>
  <si>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</si>
  <si>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</si>
  <si>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</si>
  <si>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</si>
  <si>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</si>
  <si>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</si>
  <si>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</si>
  <si>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</si>
  <si>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</si>
  <si>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</si>
  <si>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</si>
  <si>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</si>
  <si>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</si>
  <si>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</si>
  <si>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</si>
  <si>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</si>
  <si>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</si>
  <si>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</si>
  <si>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</si>
  <si>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</si>
  <si>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</si>
  <si>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</si>
  <si>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</si>
  <si>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</si>
  <si>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</si>
  <si>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</si>
  <si>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</si>
  <si>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</si>
  <si>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</si>
  <si>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</si>
  <si>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</si>
  <si>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</si>
  <si>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</si>
  <si>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</si>
  <si>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</si>
  <si>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</si>
  <si>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</si>
  <si>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</si>
  <si>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</si>
  <si>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</si>
  <si>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</si>
  <si>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</si>
  <si>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</si>
  <si>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</si>
  <si>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</si>
  <si>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</si>
  <si>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</si>
  <si>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</si>
  <si>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</si>
  <si>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</si>
  <si>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</si>
  <si>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</si>
  <si>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</si>
  <si>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</si>
  <si>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</si>
  <si>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</si>
  <si>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</si>
  <si>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</si>
  <si>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</si>
  <si>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</si>
  <si>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</si>
  <si>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</si>
  <si>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</si>
  <si>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</si>
  <si>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</si>
  <si>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</si>
  <si>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</si>
  <si>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</si>
  <si>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</si>
  <si>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</si>
  <si>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</si>
  <si>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</si>
  <si>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</si>
  <si>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</si>
  <si>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</si>
  <si>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</si>
  <si>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</si>
  <si>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</si>
  <si>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</si>
  <si>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</si>
  <si>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</si>
  <si>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</si>
  <si>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</si>
  <si>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</si>
  <si>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</si>
  <si>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</si>
  <si>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</si>
  <si>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</si>
  <si>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</si>
  <si>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</si>
  <si>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</si>
  <si>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</si>
  <si>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</si>
  <si>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</si>
  <si>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</si>
  <si>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</si>
  <si>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</si>
  <si>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</si>
  <si>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</si>
  <si>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</si>
  <si>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</si>
  <si>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</si>
  <si>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</si>
  <si>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</si>
  <si>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</si>
  <si>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</si>
  <si>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</si>
  <si>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</si>
  <si>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</si>
  <si>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</si>
  <si>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</si>
  <si>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</si>
  <si>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</si>
  <si>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</si>
  <si>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</si>
  <si>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</si>
  <si>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</si>
  <si>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</si>
  <si>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</si>
  <si>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</si>
  <si>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</si>
  <si>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</si>
  <si>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</si>
  <si>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</si>
  <si>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</si>
  <si>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</si>
  <si>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</si>
  <si>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</si>
  <si>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</si>
  <si>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</si>
  <si>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</si>
  <si>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</si>
  <si>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</si>
  <si>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</si>
  <si>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</si>
  <si>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</si>
  <si>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</si>
  <si>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</si>
  <si>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</si>
  <si>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</si>
  <si>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</si>
  <si>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</si>
  <si>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</si>
  <si>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</si>
  <si>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</si>
  <si>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</si>
  <si>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</si>
  <si>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</si>
  <si>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</si>
  <si>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</si>
  <si>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</si>
  <si>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</si>
  <si>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</si>
  <si>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</si>
  <si>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</si>
  <si>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</si>
  <si>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</si>
  <si>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</si>
  <si>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</si>
  <si>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</si>
  <si>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</si>
  <si>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</si>
  <si>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</si>
  <si>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</si>
  <si>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</si>
  <si>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</si>
  <si>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</si>
  <si>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</si>
  <si>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</si>
  <si>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</si>
  <si>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</si>
  <si>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</si>
  <si>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</si>
  <si>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</si>
  <si>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</si>
  <si>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</si>
  <si>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</si>
  <si>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</si>
  <si>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</si>
  <si>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</si>
  <si>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</si>
  <si>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</si>
  <si>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</si>
  <si>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</si>
  <si>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</si>
  <si>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</si>
  <si>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</si>
  <si>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</si>
  <si>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</si>
  <si>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</si>
  <si>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</si>
  <si>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</si>
  <si>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</si>
  <si>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</si>
  <si>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</si>
  <si>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</si>
  <si>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</si>
  <si>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</si>
  <si>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</si>
  <si>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</si>
  <si>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</si>
  <si>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</si>
  <si>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</si>
  <si>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</si>
  <si>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</si>
  <si>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</si>
  <si>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</si>
  <si>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</si>
  <si>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</si>
  <si>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</si>
  <si>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</si>
  <si>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</si>
  <si>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</si>
  <si>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</si>
  <si>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</si>
  <si>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</si>
  <si>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</si>
  <si>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</si>
  <si>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</si>
  <si>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</si>
  <si>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</si>
  <si>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</si>
  <si>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</si>
  <si>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</si>
  <si>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</si>
  <si>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</si>
  <si>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</si>
  <si>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</si>
  <si>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</si>
  <si>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</si>
  <si>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</si>
  <si>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</si>
  <si>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</si>
  <si>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</si>
  <si>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</si>
  <si>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</si>
  <si>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</si>
  <si>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</si>
  <si>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</si>
  <si>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</si>
  <si>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</si>
  <si>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</si>
  <si>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</si>
  <si>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</si>
  <si>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</si>
  <si>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</si>
  <si>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</si>
  <si>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</si>
  <si>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</si>
  <si>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</si>
  <si>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</si>
  <si>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</si>
  <si>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</si>
  <si>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</si>
  <si>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</si>
  <si>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</si>
  <si>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</si>
  <si>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</si>
  <si>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</si>
  <si>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</si>
  <si>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</si>
  <si>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</si>
  <si>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</si>
  <si>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</si>
  <si>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</si>
  <si>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</si>
  <si>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</si>
  <si>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</si>
  <si>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</si>
  <si>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</si>
  <si>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</si>
  <si>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</si>
  <si>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</si>
  <si>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</si>
  <si>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</si>
  <si>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</si>
  <si>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</si>
  <si>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</si>
  <si>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</si>
  <si>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</si>
  <si>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</si>
  <si>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</si>
  <si>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</si>
  <si>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</si>
  <si>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</si>
  <si>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</si>
  <si>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</si>
  <si>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</si>
  <si>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</si>
  <si>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</si>
  <si>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</si>
  <si>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</si>
  <si>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</si>
  <si>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part load loss at 100% BEP</t>
  </si>
  <si>
    <t>Calculate part load loss at 75% BEP</t>
  </si>
  <si>
    <t>Calculate part load loss at 110% BEP</t>
  </si>
  <si>
    <t>If ST - Enter Bowl Diameter (in)</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</si>
  <si>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</si>
  <si>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</si>
  <si>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</si>
  <si>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</si>
  <si>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</si>
  <si>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</si>
  <si>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</si>
  <si>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</si>
  <si>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</si>
  <si>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</si>
  <si>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</si>
  <si>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</si>
  <si>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</si>
  <si>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</si>
  <si>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</si>
  <si>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</si>
  <si>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N</t>
    </r>
    <r>
      <rPr>
        <vertAlign val="subscript"/>
        <sz val="22"/>
        <color theme="1"/>
        <rFont val="Calibri"/>
        <family val="2"/>
        <scheme val="minor"/>
      </rPr>
      <t>s</t>
    </r>
  </si>
  <si>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</si>
  <si>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</si>
  <si>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</si>
  <si>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</si>
  <si>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</si>
  <si>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</si>
  <si>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</si>
  <si>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</si>
  <si>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</si>
  <si>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</si>
  <si>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</si>
  <si>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</si>
  <si>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</si>
  <si>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</si>
  <si>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</si>
  <si>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</si>
  <si>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</si>
  <si>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</si>
  <si>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</si>
  <si>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</si>
  <si>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</si>
  <si>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</si>
  <si>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</si>
  <si>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</si>
  <si>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</si>
  <si>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</si>
  <si>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</si>
  <si>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</si>
  <si>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</si>
  <si>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</si>
  <si>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</si>
  <si>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</si>
  <si>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</si>
  <si>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</si>
  <si>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</si>
  <si>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</si>
  <si>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</si>
  <si>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</si>
  <si>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</si>
  <si>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</si>
  <si>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</si>
  <si>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</si>
  <si>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</si>
  <si>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</si>
  <si>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</si>
  <si>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</si>
  <si>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</si>
  <si>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</si>
  <si>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</si>
  <si>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</si>
  <si>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</si>
  <si>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</si>
  <si>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</si>
  <si>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</si>
  <si>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</si>
  <si>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</si>
  <si>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</si>
  <si>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Calculate Pump Energy Rating Baseline</t>
  </si>
  <si>
    <t>Section V - Test Pump Efficiency of Bare Pump + Represented Nominal Full Load Motor Efficiency for Actual Motor Paired with Pump + Default Motor part Load Loss Curve</t>
  </si>
  <si>
    <t>MotorHP,NP</t>
  </si>
  <si>
    <r>
      <t>L</t>
    </r>
    <r>
      <rPr>
        <vertAlign val="subscript"/>
        <sz val="22"/>
        <color theme="1"/>
        <rFont val="Calibri"/>
        <family val="2"/>
        <scheme val="minor"/>
      </rPr>
      <t>full</t>
    </r>
    <r>
      <rPr>
        <vertAlign val="superscript"/>
        <sz val="22"/>
        <color theme="1"/>
        <rFont val="Calibri"/>
        <family val="2"/>
        <scheme val="minor"/>
      </rPr>
      <t>NP</t>
    </r>
  </si>
  <si>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</si>
  <si>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</si>
  <si>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</si>
  <si>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</si>
  <si>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</si>
  <si>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t>Measured control power input at 25% BEP target</t>
  </si>
  <si>
    <t>Measured variable load control power input at 50% BEP target</t>
  </si>
  <si>
    <t>Measured variable load control power input at 75% BEP target</t>
  </si>
  <si>
    <r>
      <t>P</t>
    </r>
    <r>
      <rPr>
        <vertAlign val="subscript"/>
        <sz val="22"/>
        <color theme="1"/>
        <rFont val="Calibri"/>
        <family val="2"/>
        <scheme val="minor"/>
      </rPr>
      <t>50%</t>
    </r>
    <r>
      <rPr>
        <vertAlign val="superscript"/>
        <sz val="22"/>
        <color theme="1"/>
        <rFont val="Calibri"/>
        <family val="2"/>
        <scheme val="minor"/>
      </rPr>
      <t>in,C</t>
    </r>
  </si>
  <si>
    <r>
      <t>P</t>
    </r>
    <r>
      <rPr>
        <vertAlign val="subscript"/>
        <sz val="22"/>
        <color theme="1"/>
        <rFont val="Calibri"/>
        <family val="2"/>
        <scheme val="minor"/>
      </rPr>
      <t>75%</t>
    </r>
    <r>
      <rPr>
        <vertAlign val="superscript"/>
        <sz val="22"/>
        <color theme="1"/>
        <rFont val="Calibri"/>
        <family val="2"/>
        <scheme val="minor"/>
      </rPr>
      <t>in,C</t>
    </r>
  </si>
  <si>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</si>
  <si>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</si>
  <si>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</si>
  <si>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</si>
  <si>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</si>
  <si>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</si>
  <si>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</si>
  <si>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</si>
  <si>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</si>
  <si>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Is motor regulated under 10CFR 431.25?</t>
  </si>
  <si>
    <t>yes</t>
  </si>
  <si>
    <t>no</t>
  </si>
  <si>
    <r>
      <t>η</t>
    </r>
    <r>
      <rPr>
        <b/>
        <vertAlign val="subscript"/>
        <sz val="22"/>
        <color theme="1"/>
        <rFont val="Calibri"/>
        <family val="2"/>
        <scheme val="minor"/>
      </rPr>
      <t>motor,full,NP</t>
    </r>
  </si>
  <si>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</si>
  <si>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</si>
  <si>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</si>
  <si>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</si>
  <si>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</si>
  <si>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</si>
  <si>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</si>
  <si>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</si>
  <si>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t>Method</t>
  </si>
  <si>
    <t>III</t>
  </si>
  <si>
    <t>IV</t>
  </si>
  <si>
    <t>V</t>
  </si>
  <si>
    <t>VII</t>
  </si>
  <si>
    <t>VI-a</t>
  </si>
  <si>
    <t>VI-b</t>
  </si>
  <si>
    <r>
      <t xml:space="preserve">For basic models distributed in commerce with a motor design under 10 CFR Part 431.25, Enter nominal nameplate motor efficiency. </t>
    </r>
    <r>
      <rPr>
        <b/>
        <sz val="14"/>
        <color rgb="FFFF0000"/>
        <rFont val="Calibri"/>
        <family val="2"/>
        <scheme val="minor"/>
      </rPr>
      <t xml:space="preserve"> N/A for ST pumps and other non-regulated motors.  All non ST pumps with motors not regulated under 10CFR 431.25, utilize Section III, Section IV, or Section VI as applicable</t>
    </r>
  </si>
  <si>
    <t>Initial Database Entry Fields for all Basic Model Listings (Entered by User) -----Initial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t>
  </si>
  <si>
    <t>Pump Manufacturer</t>
  </si>
  <si>
    <t>xxxxxx</t>
  </si>
  <si>
    <t>Drop down of participants in program</t>
  </si>
  <si>
    <t>Basic model designation</t>
  </si>
  <si>
    <t>Drop down of basic models listed by participant</t>
  </si>
  <si>
    <t>Section III to Section V to Section VII Bare Pump + regulated Extended Motor +  Control (Variable Load)</t>
  </si>
  <si>
    <t>Section III to Section V - Rated Bare Pump + Regulated Extended Motor (Constant Load)</t>
  </si>
  <si>
    <r>
      <t xml:space="preserve">Section III to VestionVII - </t>
    </r>
    <r>
      <rPr>
        <sz val="11"/>
        <color theme="1"/>
        <rFont val="Calibri"/>
        <family val="2"/>
        <scheme val="minor"/>
      </rPr>
      <t>Bare Pump + Extended Control (Variable Load)</t>
    </r>
  </si>
  <si>
    <t>Section V to VestionVII - Pump with regulated motor (calc) + Extended Control (Variable Load)</t>
  </si>
  <si>
    <t>Section IV to VestionVII - Pump with regulated motor (test) + Extended Control (Variable Load)</t>
  </si>
  <si>
    <t>Section IV to VestionVII - Pump with non-regulated motor (test) + Extended Control (Variable Load)</t>
  </si>
  <si>
    <t>Manufacturer of Motor added</t>
  </si>
  <si>
    <t>free form entry</t>
  </si>
  <si>
    <t>Model number of motor added</t>
  </si>
  <si>
    <r>
      <t>Efficiency of motor added (η</t>
    </r>
    <r>
      <rPr>
        <vertAlign val="subscript"/>
        <sz val="11"/>
        <color theme="1"/>
        <rFont val="Calibri"/>
        <family val="2"/>
        <scheme val="minor"/>
      </rPr>
      <t>motor,full,NP</t>
    </r>
    <r>
      <rPr>
        <sz val="11"/>
        <color theme="1"/>
        <rFont val="Calibri"/>
        <family val="2"/>
        <scheme val="minor"/>
      </rPr>
      <t>)</t>
    </r>
  </si>
  <si>
    <r>
      <t>Rated power of motor added (MotorHP</t>
    </r>
    <r>
      <rPr>
        <vertAlign val="subscript"/>
        <sz val="11"/>
        <color theme="1"/>
        <rFont val="Calibri"/>
        <family val="2"/>
        <scheme val="minor"/>
      </rPr>
      <t>NP</t>
    </r>
    <r>
      <rPr>
        <sz val="11"/>
        <color theme="1"/>
        <rFont val="Calibri"/>
        <family val="2"/>
        <scheme val="minor"/>
      </rPr>
      <t>)</t>
    </r>
  </si>
  <si>
    <t>Free form entry</t>
  </si>
  <si>
    <t>Lookup DOE equipment category</t>
  </si>
  <si>
    <r>
      <t>Lookup PEI</t>
    </r>
    <r>
      <rPr>
        <vertAlign val="subscript"/>
        <sz val="11"/>
        <color theme="1"/>
        <rFont val="Calibri"/>
        <family val="2"/>
        <scheme val="minor"/>
      </rPr>
      <t>CL</t>
    </r>
  </si>
  <si>
    <r>
      <t>Look up Nominal speed of rotation (n</t>
    </r>
    <r>
      <rPr>
        <vertAlign val="subscript"/>
        <sz val="11"/>
        <color theme="1"/>
        <rFont val="Calibri"/>
        <family val="2"/>
        <scheme val="minor"/>
      </rPr>
      <t>sp</t>
    </r>
    <r>
      <rPr>
        <sz val="11"/>
        <color theme="1"/>
        <rFont val="Calibri"/>
        <family val="2"/>
        <scheme val="minor"/>
      </rPr>
      <t>)</t>
    </r>
  </si>
  <si>
    <t>Lookup driver power input at 100% BEP</t>
  </si>
  <si>
    <r>
      <t>(P</t>
    </r>
    <r>
      <rPr>
        <vertAlign val="subscript"/>
        <sz val="22"/>
        <color theme="1"/>
        <rFont val="Calibri"/>
        <family val="2"/>
        <scheme val="minor"/>
      </rPr>
      <t>100%</t>
    </r>
    <r>
      <rPr>
        <vertAlign val="superscript"/>
        <sz val="22"/>
        <color theme="1"/>
        <rFont val="Calibri"/>
        <family val="2"/>
        <scheme val="minor"/>
      </rPr>
      <t>in,M</t>
    </r>
    <r>
      <rPr>
        <sz val="22"/>
        <color theme="1"/>
        <rFont val="Calibri"/>
        <family val="2"/>
        <scheme val="minor"/>
      </rPr>
      <t>)</t>
    </r>
  </si>
  <si>
    <t>Look up driver power input at 110% BEP</t>
  </si>
  <si>
    <t>Look up driver power input at 75% BEP</t>
  </si>
  <si>
    <t>Look up Motor power used for default losses (MotorHP)</t>
  </si>
  <si>
    <r>
      <t>calculate PER</t>
    </r>
    <r>
      <rPr>
        <vertAlign val="subscript"/>
        <sz val="11"/>
        <color theme="1"/>
        <rFont val="Calibri"/>
        <family val="2"/>
        <scheme val="minor"/>
      </rPr>
      <t>CL</t>
    </r>
  </si>
  <si>
    <r>
      <t>Calculate PER</t>
    </r>
    <r>
      <rPr>
        <vertAlign val="subscript"/>
        <sz val="11"/>
        <color theme="1"/>
        <rFont val="Calibri"/>
        <family val="2"/>
        <scheme val="minor"/>
      </rPr>
      <t>STD</t>
    </r>
  </si>
  <si>
    <t>Calculate Standard (default) Full Load Motor Losses</t>
  </si>
  <si>
    <t>motor power ratio at 100% BEP</t>
  </si>
  <si>
    <t>motor power ratio at 75% BEP</t>
  </si>
  <si>
    <t>motor power ratio at 110% BEP</t>
  </si>
  <si>
    <t>Part Load Loss Factor at 100% BEP</t>
  </si>
  <si>
    <t>Part Load Loss Factor at 75% BEP</t>
  </si>
  <si>
    <t>Part Load Loss Factor at 110% BEP</t>
  </si>
  <si>
    <t>Calculate pump input power at 100% BEP</t>
  </si>
  <si>
    <t>Calculate pump input power at 75% BEP</t>
  </si>
  <si>
    <t>Calculate pump input power at 110% BEP</t>
  </si>
  <si>
    <t>Cacluate nameplate full load motor losses</t>
  </si>
  <si>
    <r>
      <t>X</t>
    </r>
    <r>
      <rPr>
        <vertAlign val="subscript"/>
        <sz val="22"/>
        <color theme="1"/>
        <rFont val="Calibri"/>
        <family val="2"/>
        <scheme val="minor"/>
      </rPr>
      <t>100%</t>
    </r>
    <r>
      <rPr>
        <vertAlign val="superscript"/>
        <sz val="22"/>
        <color theme="1"/>
        <rFont val="Calibri"/>
        <family val="2"/>
        <scheme val="minor"/>
      </rPr>
      <t>NP</t>
    </r>
  </si>
  <si>
    <r>
      <t>X</t>
    </r>
    <r>
      <rPr>
        <vertAlign val="subscript"/>
        <sz val="22"/>
        <color theme="1"/>
        <rFont val="Calibri"/>
        <family val="2"/>
        <scheme val="minor"/>
      </rPr>
      <t>75%</t>
    </r>
    <r>
      <rPr>
        <vertAlign val="superscript"/>
        <sz val="22"/>
        <color theme="1"/>
        <rFont val="Calibri"/>
        <family val="2"/>
        <scheme val="minor"/>
      </rPr>
      <t>NP</t>
    </r>
  </si>
  <si>
    <r>
      <t>X</t>
    </r>
    <r>
      <rPr>
        <vertAlign val="subscript"/>
        <sz val="22"/>
        <color theme="1"/>
        <rFont val="Calibri"/>
        <family val="2"/>
        <scheme val="minor"/>
      </rPr>
      <t>110%</t>
    </r>
    <r>
      <rPr>
        <vertAlign val="superscript"/>
        <sz val="22"/>
        <color theme="1"/>
        <rFont val="Calibri"/>
        <family val="2"/>
        <scheme val="minor"/>
      </rPr>
      <t>NP</t>
    </r>
  </si>
  <si>
    <r>
      <t>Y</t>
    </r>
    <r>
      <rPr>
        <vertAlign val="subscript"/>
        <sz val="22"/>
        <color theme="1"/>
        <rFont val="Calibri"/>
        <family val="2"/>
        <scheme val="minor"/>
      </rPr>
      <t>75%</t>
    </r>
    <r>
      <rPr>
        <vertAlign val="superscript"/>
        <sz val="22"/>
        <color theme="1"/>
        <rFont val="Calibri"/>
        <family val="2"/>
        <scheme val="minor"/>
      </rPr>
      <t>NP</t>
    </r>
  </si>
  <si>
    <r>
      <t>Y</t>
    </r>
    <r>
      <rPr>
        <vertAlign val="subscript"/>
        <sz val="22"/>
        <color theme="1"/>
        <rFont val="Calibri"/>
        <family val="2"/>
        <scheme val="minor"/>
      </rPr>
      <t>110%</t>
    </r>
    <r>
      <rPr>
        <vertAlign val="superscript"/>
        <sz val="22"/>
        <color theme="1"/>
        <rFont val="Calibri"/>
        <family val="2"/>
        <scheme val="minor"/>
      </rPr>
      <t>NP</t>
    </r>
  </si>
  <si>
    <r>
      <t>L</t>
    </r>
    <r>
      <rPr>
        <vertAlign val="subscript"/>
        <sz val="22"/>
        <color theme="1"/>
        <rFont val="Calibri"/>
        <family val="2"/>
        <scheme val="minor"/>
      </rPr>
      <t>100%</t>
    </r>
    <r>
      <rPr>
        <vertAlign val="superscript"/>
        <sz val="22"/>
        <color theme="1"/>
        <rFont val="Calibri"/>
        <family val="2"/>
        <scheme val="minor"/>
      </rPr>
      <t>NP</t>
    </r>
  </si>
  <si>
    <r>
      <t>Y</t>
    </r>
    <r>
      <rPr>
        <vertAlign val="subscript"/>
        <sz val="22"/>
        <color theme="1"/>
        <rFont val="Calibri"/>
        <family val="2"/>
        <scheme val="minor"/>
      </rPr>
      <t>100%</t>
    </r>
    <r>
      <rPr>
        <vertAlign val="superscript"/>
        <sz val="22"/>
        <color theme="1"/>
        <rFont val="Calibri"/>
        <family val="2"/>
        <scheme val="minor"/>
      </rPr>
      <t>NP</t>
    </r>
  </si>
  <si>
    <r>
      <t>L</t>
    </r>
    <r>
      <rPr>
        <vertAlign val="subscript"/>
        <sz val="22"/>
        <color theme="1"/>
        <rFont val="Calibri"/>
        <family val="2"/>
        <scheme val="minor"/>
      </rPr>
      <t>75%</t>
    </r>
    <r>
      <rPr>
        <vertAlign val="superscript"/>
        <sz val="22"/>
        <color theme="1"/>
        <rFont val="Calibri"/>
        <family val="2"/>
        <scheme val="minor"/>
      </rPr>
      <t>NP</t>
    </r>
  </si>
  <si>
    <r>
      <t>L</t>
    </r>
    <r>
      <rPr>
        <vertAlign val="subscript"/>
        <sz val="22"/>
        <color theme="1"/>
        <rFont val="Calibri"/>
        <family val="2"/>
        <scheme val="minor"/>
      </rPr>
      <t>110%</t>
    </r>
    <r>
      <rPr>
        <vertAlign val="superscript"/>
        <sz val="22"/>
        <color theme="1"/>
        <rFont val="Calibri"/>
        <family val="2"/>
        <scheme val="minor"/>
      </rPr>
      <t>NP</t>
    </r>
  </si>
  <si>
    <t>Calculate nameplate part load loss at 75% BEP</t>
  </si>
  <si>
    <t>Calculate nameplate part load loss at 110% BEP</t>
  </si>
  <si>
    <t>Calculate nameplate part load loss at 100% BEP</t>
  </si>
  <si>
    <t>nameplate Part Load Loss Factor at 110% BEP</t>
  </si>
  <si>
    <t>nameplate Part Load Loss Factor at 75% BEP</t>
  </si>
  <si>
    <t>nameplate Part Load Loss Factor at 100% BEP</t>
  </si>
  <si>
    <t>nameplate motor power ratio at 100% BEP</t>
  </si>
  <si>
    <t>nameplate motor power ratio at 75% BEP</t>
  </si>
  <si>
    <t>nameplate motor power ratio at 110% BEP</t>
  </si>
  <si>
    <r>
      <t>PER</t>
    </r>
    <r>
      <rPr>
        <vertAlign val="subscript"/>
        <sz val="22"/>
        <color theme="1"/>
        <rFont val="Calibri"/>
        <family val="2"/>
        <scheme val="minor"/>
      </rPr>
      <t>CL</t>
    </r>
    <r>
      <rPr>
        <vertAlign val="superscript"/>
        <sz val="22"/>
        <color theme="1"/>
        <rFont val="Calibri"/>
        <family val="2"/>
        <scheme val="minor"/>
      </rPr>
      <t>Certificate</t>
    </r>
  </si>
  <si>
    <t>Calculate constant load pump energy rating for certificate</t>
  </si>
  <si>
    <r>
      <t>PEI</t>
    </r>
    <r>
      <rPr>
        <vertAlign val="subscript"/>
        <sz val="22"/>
        <color theme="1"/>
        <rFont val="Calibri"/>
        <family val="2"/>
        <scheme val="minor"/>
      </rPr>
      <t>CL</t>
    </r>
    <r>
      <rPr>
        <vertAlign val="superscript"/>
        <sz val="22"/>
        <color theme="1"/>
        <rFont val="Calibri"/>
        <family val="2"/>
        <scheme val="minor"/>
      </rPr>
      <t>Certificate</t>
    </r>
  </si>
  <si>
    <t>Calculate constant load pump energy index for certificate</t>
  </si>
  <si>
    <t>Lookup Flow at BEP</t>
  </si>
  <si>
    <t>Lookup Head at BEP</t>
  </si>
  <si>
    <t>Lookup Flow at 75% BEP</t>
  </si>
  <si>
    <t>Lookup Head at 75% BEP</t>
  </si>
  <si>
    <t>Lookup Flow at 110% BEP</t>
  </si>
  <si>
    <t>Lookup Head at 110% BEP</t>
  </si>
  <si>
    <t>Lookup Number of Stages</t>
  </si>
  <si>
    <t>Calculate baseline motor losses for Extended Product MotorHP</t>
  </si>
  <si>
    <r>
      <t>L</t>
    </r>
    <r>
      <rPr>
        <vertAlign val="subscript"/>
        <sz val="22"/>
        <color theme="1"/>
        <rFont val="Calibri"/>
        <family val="2"/>
        <scheme val="minor"/>
      </rPr>
      <t>full</t>
    </r>
    <r>
      <rPr>
        <vertAlign val="superscript"/>
        <sz val="22"/>
        <color theme="1"/>
        <rFont val="Calibri"/>
        <family val="2"/>
        <scheme val="minor"/>
      </rPr>
      <t>Certificate</t>
    </r>
  </si>
  <si>
    <t>Y</t>
  </si>
  <si>
    <t>Are you adding a variable speed drive</t>
  </si>
  <si>
    <t>N</t>
  </si>
  <si>
    <t>Based on First two answers</t>
  </si>
  <si>
    <t>Lookup default motor efficiency of motor added</t>
  </si>
  <si>
    <t>Calculate driver input power to the certificate product at 75% BEP</t>
  </si>
  <si>
    <t>Calculate driver input power to the certificate product at 110% BEP</t>
  </si>
  <si>
    <r>
      <t>P</t>
    </r>
    <r>
      <rPr>
        <vertAlign val="subscript"/>
        <sz val="22"/>
        <color theme="1"/>
        <rFont val="Calibri"/>
        <family val="2"/>
        <scheme val="minor"/>
      </rPr>
      <t>110%</t>
    </r>
    <r>
      <rPr>
        <vertAlign val="superscript"/>
        <sz val="22"/>
        <color theme="1"/>
        <rFont val="Calibri"/>
        <family val="2"/>
        <scheme val="minor"/>
      </rPr>
      <t>in,M,Certificate</t>
    </r>
  </si>
  <si>
    <r>
      <t>P</t>
    </r>
    <r>
      <rPr>
        <vertAlign val="subscript"/>
        <sz val="22"/>
        <color theme="1"/>
        <rFont val="Calibri"/>
        <family val="2"/>
        <scheme val="minor"/>
      </rPr>
      <t>75%</t>
    </r>
    <r>
      <rPr>
        <vertAlign val="superscript"/>
        <sz val="22"/>
        <color theme="1"/>
        <rFont val="Calibri"/>
        <family val="2"/>
        <scheme val="minor"/>
      </rPr>
      <t>in,M,Certificate</t>
    </r>
  </si>
  <si>
    <r>
      <t>P</t>
    </r>
    <r>
      <rPr>
        <vertAlign val="subscript"/>
        <sz val="22"/>
        <color theme="1"/>
        <rFont val="Calibri"/>
        <family val="2"/>
        <scheme val="minor"/>
      </rPr>
      <t>100%</t>
    </r>
    <r>
      <rPr>
        <vertAlign val="superscript"/>
        <sz val="22"/>
        <color theme="1"/>
        <rFont val="Calibri"/>
        <family val="2"/>
        <scheme val="minor"/>
      </rPr>
      <t>in,M,Certificate</t>
    </r>
  </si>
  <si>
    <t>Calculate driver input power to the Certificate product at 100% BEP</t>
  </si>
  <si>
    <t>Calculation method, based on previous two answers</t>
  </si>
  <si>
    <t>(MotorHP)</t>
  </si>
  <si>
    <r>
      <t>η</t>
    </r>
    <r>
      <rPr>
        <vertAlign val="subscript"/>
        <sz val="22"/>
        <color theme="1"/>
        <rFont val="Calibri"/>
        <family val="2"/>
        <scheme val="minor"/>
      </rPr>
      <t>motor,full,certificate</t>
    </r>
  </si>
  <si>
    <t>Section III to Section IV Energy Rating Certificate Calcualtion --- Regualted Motor Added to HI ER Rated Bare Pump------------------------------------------------------------------------Section III to Section IV Energy Rating Certificate Calcualtion --- Regualted Motor Added to HI ER Rated Bare Pump-----------------------------------------------------------Section III to Section IV Energy Rating Certificate Calcualtion --- Regualted Motor Added to HI ER Rated Bare Pump-----------------------------------------------------------------------------------------Section III to Section IV Energy Rating Certificate Calcualtion --- Regualted Motor Added to HI ER Rated Bare Pump--------------------Section III to Section IV Energy Rating Certificate Calcualtion --- Regualted Motor Added to HI ER Rated Bare Pump</t>
  </si>
  <si>
    <t>database lookup</t>
  </si>
  <si>
    <r>
      <t>PEI</t>
    </r>
    <r>
      <rPr>
        <vertAlign val="subscript"/>
        <sz val="22"/>
        <color theme="1"/>
        <rFont val="Calibri"/>
        <family val="2"/>
        <scheme val="minor"/>
      </rPr>
      <t>CL</t>
    </r>
  </si>
  <si>
    <t>Standard lookup</t>
  </si>
  <si>
    <r>
      <t>(η</t>
    </r>
    <r>
      <rPr>
        <vertAlign val="subscript"/>
        <sz val="22"/>
        <color theme="1"/>
        <rFont val="Calibri"/>
        <family val="2"/>
        <scheme val="minor"/>
      </rPr>
      <t>motor,full,NP</t>
    </r>
    <r>
      <rPr>
        <sz val="22"/>
        <color theme="1"/>
        <rFont val="Calibri"/>
        <family val="2"/>
        <scheme val="minor"/>
      </rPr>
      <t>)</t>
    </r>
  </si>
  <si>
    <t>(MotorHP,NP)</t>
  </si>
  <si>
    <t>calculation for standard lookup</t>
  </si>
  <si>
    <r>
      <t>Calculate PER</t>
    </r>
    <r>
      <rPr>
        <b/>
        <vertAlign val="subscript"/>
        <sz val="12"/>
        <color theme="1"/>
        <rFont val="Calibri"/>
        <family val="2"/>
        <scheme val="minor"/>
      </rPr>
      <t>CL</t>
    </r>
  </si>
  <si>
    <r>
      <t>PER</t>
    </r>
    <r>
      <rPr>
        <b/>
        <vertAlign val="subscript"/>
        <sz val="12"/>
        <color theme="1"/>
        <rFont val="Calibri"/>
        <family val="2"/>
        <scheme val="minor"/>
      </rPr>
      <t>CL</t>
    </r>
  </si>
  <si>
    <r>
      <t>PER</t>
    </r>
    <r>
      <rPr>
        <b/>
        <vertAlign val="subscript"/>
        <sz val="11"/>
        <color theme="1"/>
        <rFont val="Calibri"/>
        <family val="2"/>
        <scheme val="minor"/>
      </rPr>
      <t>STD</t>
    </r>
  </si>
  <si>
    <r>
      <t>PEI</t>
    </r>
    <r>
      <rPr>
        <b/>
        <vertAlign val="subscript"/>
        <sz val="11"/>
        <color theme="1"/>
        <rFont val="Calibri"/>
        <family val="2"/>
        <scheme val="minor"/>
      </rPr>
      <t>CL</t>
    </r>
  </si>
  <si>
    <t>Is Motor Regulated under 10 CFR 431.25</t>
  </si>
  <si>
    <t>If regulated under 10 CFR 431.25 - Nominal Motor Efficiency</t>
  </si>
  <si>
    <r>
      <t>P25</t>
    </r>
    <r>
      <rPr>
        <vertAlign val="subscript"/>
        <sz val="22"/>
        <color theme="1"/>
        <rFont val="Calibri"/>
        <family val="2"/>
        <scheme val="minor"/>
      </rPr>
      <t>%</t>
    </r>
    <r>
      <rPr>
        <vertAlign val="superscript"/>
        <sz val="22"/>
        <color theme="1"/>
        <rFont val="Calibri"/>
        <family val="2"/>
        <scheme val="minor"/>
      </rPr>
      <t>in,C</t>
    </r>
  </si>
  <si>
    <t>If ST Pump Bowl diameter (in)</t>
  </si>
  <si>
    <r>
      <t>P</t>
    </r>
    <r>
      <rPr>
        <vertAlign val="subscript"/>
        <sz val="22"/>
        <color theme="1"/>
        <rFont val="Calibri"/>
        <family val="2"/>
        <scheme val="minor"/>
      </rPr>
      <t>25%,</t>
    </r>
    <r>
      <rPr>
        <vertAlign val="superscript"/>
        <sz val="22"/>
        <color theme="1"/>
        <rFont val="Calibri"/>
        <family val="2"/>
        <scheme val="minor"/>
      </rPr>
      <t>in,C</t>
    </r>
  </si>
  <si>
    <r>
      <t>P</t>
    </r>
    <r>
      <rPr>
        <vertAlign val="subscript"/>
        <sz val="22"/>
        <color theme="1"/>
        <rFont val="Calibri"/>
        <family val="2"/>
        <scheme val="minor"/>
      </rPr>
      <t>50%,</t>
    </r>
    <r>
      <rPr>
        <vertAlign val="superscript"/>
        <sz val="22"/>
        <color theme="1"/>
        <rFont val="Calibri"/>
        <family val="2"/>
        <scheme val="minor"/>
      </rPr>
      <t>in,C</t>
    </r>
  </si>
  <si>
    <r>
      <t>P</t>
    </r>
    <r>
      <rPr>
        <vertAlign val="subscript"/>
        <sz val="22"/>
        <color theme="1"/>
        <rFont val="Calibri"/>
        <family val="2"/>
        <scheme val="minor"/>
      </rPr>
      <t>75%,</t>
    </r>
    <r>
      <rPr>
        <vertAlign val="superscript"/>
        <sz val="22"/>
        <color theme="1"/>
        <rFont val="Calibri"/>
        <family val="2"/>
        <scheme val="minor"/>
      </rPr>
      <t>in,C</t>
    </r>
  </si>
  <si>
    <t>If ST  - Bowl diameter (in)</t>
  </si>
  <si>
    <t xml:space="preserve">If PEI Calculation Methods Section </t>
  </si>
  <si>
    <t>If PEI Calculation Methods Section</t>
  </si>
  <si>
    <t>Dependent on Cell E</t>
  </si>
  <si>
    <t>Dependent on column H answer</t>
  </si>
  <si>
    <t>Certificate equipment class and MotorHP</t>
  </si>
  <si>
    <r>
      <t>P</t>
    </r>
    <r>
      <rPr>
        <vertAlign val="subscript"/>
        <sz val="22"/>
        <color theme="1"/>
        <rFont val="Calibri"/>
        <family val="2"/>
        <scheme val="minor"/>
      </rPr>
      <t>75%</t>
    </r>
    <r>
      <rPr>
        <vertAlign val="superscript"/>
        <sz val="22"/>
        <color theme="1"/>
        <rFont val="Calibri"/>
        <family val="2"/>
        <scheme val="minor"/>
      </rPr>
      <t>Baseline</t>
    </r>
  </si>
  <si>
    <t>Section III to Section V to Section VII - Rated Bare Pump + Regulated Extended Motor + Continuous Control (Variable Load)</t>
  </si>
  <si>
    <t>Model number of continuous Control Added</t>
  </si>
  <si>
    <t>Manufacturer of continuous control added</t>
  </si>
  <si>
    <t>Calculate nameplate full load motor losses</t>
  </si>
  <si>
    <t>Calculate pump input power at 50% BEP</t>
  </si>
  <si>
    <t>Calculate pump input power at 25% BEP</t>
  </si>
  <si>
    <r>
      <t>P</t>
    </r>
    <r>
      <rPr>
        <vertAlign val="subscript"/>
        <sz val="22"/>
        <color theme="1"/>
        <rFont val="Calibri"/>
        <family val="2"/>
        <scheme val="minor"/>
      </rPr>
      <t>75%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</si>
  <si>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</si>
  <si>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25%</t>
    </r>
    <r>
      <rPr>
        <vertAlign val="superscript"/>
        <sz val="22"/>
        <color theme="1"/>
        <rFont val="Calibri"/>
        <family val="2"/>
        <scheme val="minor"/>
      </rPr>
      <t>VL</t>
    </r>
  </si>
  <si>
    <t>Look up "a" coefficient</t>
  </si>
  <si>
    <t>Look up "b" coefficient</t>
  </si>
  <si>
    <t>Look up "c" coefficient</t>
  </si>
  <si>
    <r>
      <t>X</t>
    </r>
    <r>
      <rPr>
        <vertAlign val="subscript"/>
        <sz val="22"/>
        <color theme="1"/>
        <rFont val="Calibri"/>
        <family val="2"/>
        <scheme val="minor"/>
      </rPr>
      <t>50%</t>
    </r>
    <r>
      <rPr>
        <vertAlign val="superscript"/>
        <sz val="22"/>
        <color theme="1"/>
        <rFont val="Calibri"/>
        <family val="2"/>
        <scheme val="minor"/>
      </rPr>
      <t>NP</t>
    </r>
  </si>
  <si>
    <r>
      <t>X</t>
    </r>
    <r>
      <rPr>
        <vertAlign val="subscript"/>
        <sz val="22"/>
        <color theme="1"/>
        <rFont val="Calibri"/>
        <family val="2"/>
        <scheme val="minor"/>
      </rPr>
      <t>25%</t>
    </r>
    <r>
      <rPr>
        <vertAlign val="superscript"/>
        <sz val="22"/>
        <color theme="1"/>
        <rFont val="Calibri"/>
        <family val="2"/>
        <scheme val="minor"/>
      </rPr>
      <t>NP</t>
    </r>
  </si>
  <si>
    <t>nameplate motor power ratio at 50% BEP</t>
  </si>
  <si>
    <t>nameplate motor power ratio at 25% BEP</t>
  </si>
  <si>
    <t>Standard Look up</t>
  </si>
  <si>
    <r>
      <t>Z</t>
    </r>
    <r>
      <rPr>
        <vertAlign val="subscript"/>
        <sz val="22"/>
        <color theme="1"/>
        <rFont val="Calibri"/>
        <family val="2"/>
        <scheme val="minor"/>
      </rPr>
      <t>100%</t>
    </r>
  </si>
  <si>
    <t>Motor &amp; control Part Load Loss Factor at 100% BEP</t>
  </si>
  <si>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</si>
  <si>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</si>
  <si>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</si>
  <si>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r>
      <t>L</t>
    </r>
    <r>
      <rPr>
        <vertAlign val="subscript"/>
        <sz val="22"/>
        <color theme="1"/>
        <rFont val="Calibri"/>
        <family val="2"/>
        <scheme val="minor"/>
      </rPr>
      <t>100%</t>
    </r>
    <r>
      <rPr>
        <vertAlign val="superscript"/>
        <sz val="22"/>
        <color theme="1"/>
        <rFont val="Calibri"/>
        <family val="2"/>
        <scheme val="minor"/>
      </rPr>
      <t>M,C</t>
    </r>
  </si>
  <si>
    <t>Calculate motor &amp; control part load loss at 100% BEP</t>
  </si>
  <si>
    <t>Motor &amp; control Part Load Loss Factor at 75% BEP</t>
  </si>
  <si>
    <t>Motor &amp; control Part Load Loss Factor at 50% BEP</t>
  </si>
  <si>
    <t>Motor &amp; control Part Load Loss Factor at 25% BEP</t>
  </si>
  <si>
    <r>
      <t>L</t>
    </r>
    <r>
      <rPr>
        <vertAlign val="subscript"/>
        <sz val="22"/>
        <color theme="1"/>
        <rFont val="Calibri"/>
        <family val="2"/>
        <scheme val="minor"/>
      </rPr>
      <t>75%</t>
    </r>
    <r>
      <rPr>
        <vertAlign val="superscript"/>
        <sz val="22"/>
        <color theme="1"/>
        <rFont val="Calibri"/>
        <family val="2"/>
        <scheme val="minor"/>
      </rPr>
      <t>M,C</t>
    </r>
  </si>
  <si>
    <t>Calculate motor &amp; control part load loss at 75% BEP</t>
  </si>
  <si>
    <t>Calculate motor &amp; control part load loss at 50% BEP</t>
  </si>
  <si>
    <r>
      <t>L</t>
    </r>
    <r>
      <rPr>
        <vertAlign val="subscript"/>
        <sz val="22"/>
        <color theme="1"/>
        <rFont val="Calibri"/>
        <family val="2"/>
        <scheme val="minor"/>
      </rPr>
      <t>50%</t>
    </r>
    <r>
      <rPr>
        <vertAlign val="superscript"/>
        <sz val="22"/>
        <color theme="1"/>
        <rFont val="Calibri"/>
        <family val="2"/>
        <scheme val="minor"/>
      </rPr>
      <t>M,C</t>
    </r>
  </si>
  <si>
    <r>
      <t>L</t>
    </r>
    <r>
      <rPr>
        <vertAlign val="subscript"/>
        <sz val="22"/>
        <color theme="1"/>
        <rFont val="Calibri"/>
        <family val="2"/>
        <scheme val="minor"/>
      </rPr>
      <t>25%</t>
    </r>
    <r>
      <rPr>
        <vertAlign val="superscript"/>
        <sz val="22"/>
        <color theme="1"/>
        <rFont val="Calibri"/>
        <family val="2"/>
        <scheme val="minor"/>
      </rPr>
      <t>M,C</t>
    </r>
  </si>
  <si>
    <t>Calculate motor &amp; control part load loss at 25% BEP</t>
  </si>
  <si>
    <t>Calculate control input power to the Certificate product at 100% BEP</t>
  </si>
  <si>
    <t>Calculate control input power to the Certificate product at 75% BEP</t>
  </si>
  <si>
    <t>Calculate control input power to the Certificate product at 50% BEP</t>
  </si>
  <si>
    <t>Calculate control input power to the Certificate product at 25% BEP</t>
  </si>
  <si>
    <r>
      <t>PER</t>
    </r>
    <r>
      <rPr>
        <vertAlign val="subscript"/>
        <sz val="22"/>
        <color theme="1"/>
        <rFont val="Calibri"/>
        <family val="2"/>
        <scheme val="minor"/>
      </rPr>
      <t>VL</t>
    </r>
    <r>
      <rPr>
        <vertAlign val="superscript"/>
        <sz val="22"/>
        <color theme="1"/>
        <rFont val="Calibri"/>
        <family val="2"/>
        <scheme val="minor"/>
      </rPr>
      <t>Certificate</t>
    </r>
  </si>
  <si>
    <r>
      <t>PEI</t>
    </r>
    <r>
      <rPr>
        <vertAlign val="subscript"/>
        <sz val="22"/>
        <color theme="1"/>
        <rFont val="Calibri"/>
        <family val="2"/>
        <scheme val="minor"/>
      </rPr>
      <t>VL</t>
    </r>
    <r>
      <rPr>
        <vertAlign val="superscript"/>
        <sz val="22"/>
        <color theme="1"/>
        <rFont val="Calibri"/>
        <family val="2"/>
        <scheme val="minor"/>
      </rPr>
      <t>Certificate</t>
    </r>
  </si>
  <si>
    <r>
      <t>X</t>
    </r>
    <r>
      <rPr>
        <vertAlign val="subscript"/>
        <sz val="22"/>
        <color theme="1"/>
        <rFont val="Calibri"/>
        <family val="2"/>
        <scheme val="minor"/>
      </rPr>
      <t>75%</t>
    </r>
    <r>
      <rPr>
        <vertAlign val="superscript"/>
        <sz val="22"/>
        <color theme="1"/>
        <rFont val="Calibri"/>
        <family val="2"/>
        <scheme val="minor"/>
      </rPr>
      <t>Baseline,Certificate</t>
    </r>
  </si>
  <si>
    <r>
      <t>X</t>
    </r>
    <r>
      <rPr>
        <vertAlign val="subscript"/>
        <sz val="22"/>
        <color theme="1"/>
        <rFont val="Calibri"/>
        <family val="2"/>
        <scheme val="minor"/>
      </rPr>
      <t>100%</t>
    </r>
    <r>
      <rPr>
        <vertAlign val="superscript"/>
        <sz val="22"/>
        <color theme="1"/>
        <rFont val="Calibri"/>
        <family val="2"/>
        <scheme val="minor"/>
      </rPr>
      <t>Baseline,Certificate</t>
    </r>
  </si>
  <si>
    <r>
      <t>X</t>
    </r>
    <r>
      <rPr>
        <vertAlign val="subscript"/>
        <sz val="22"/>
        <color theme="1"/>
        <rFont val="Calibri"/>
        <family val="2"/>
        <scheme val="minor"/>
      </rPr>
      <t>110%</t>
    </r>
    <r>
      <rPr>
        <vertAlign val="superscript"/>
        <sz val="22"/>
        <color theme="1"/>
        <rFont val="Calibri"/>
        <family val="2"/>
        <scheme val="minor"/>
      </rPr>
      <t>Baseline,Certificate</t>
    </r>
  </si>
  <si>
    <r>
      <t>Y</t>
    </r>
    <r>
      <rPr>
        <vertAlign val="subscript"/>
        <sz val="22"/>
        <color theme="1"/>
        <rFont val="Calibri"/>
        <family val="2"/>
        <scheme val="minor"/>
      </rPr>
      <t>75%</t>
    </r>
    <r>
      <rPr>
        <vertAlign val="superscript"/>
        <sz val="22"/>
        <color theme="1"/>
        <rFont val="Calibri"/>
        <family val="2"/>
        <scheme val="minor"/>
      </rPr>
      <t>Baseline,Certificate</t>
    </r>
  </si>
  <si>
    <r>
      <t>Y</t>
    </r>
    <r>
      <rPr>
        <vertAlign val="subscript"/>
        <sz val="22"/>
        <color theme="1"/>
        <rFont val="Calibri"/>
        <family val="2"/>
        <scheme val="minor"/>
      </rPr>
      <t>100%</t>
    </r>
    <r>
      <rPr>
        <vertAlign val="superscript"/>
        <sz val="22"/>
        <color theme="1"/>
        <rFont val="Calibri"/>
        <family val="2"/>
        <scheme val="minor"/>
      </rPr>
      <t>Baseline,Certificate</t>
    </r>
  </si>
  <si>
    <r>
      <t>Y</t>
    </r>
    <r>
      <rPr>
        <vertAlign val="subscript"/>
        <sz val="22"/>
        <color theme="1"/>
        <rFont val="Calibri"/>
        <family val="2"/>
        <scheme val="minor"/>
      </rPr>
      <t>110%</t>
    </r>
    <r>
      <rPr>
        <vertAlign val="superscript"/>
        <sz val="22"/>
        <color theme="1"/>
        <rFont val="Calibri"/>
        <family val="2"/>
        <scheme val="minor"/>
      </rPr>
      <t>Baseline,Certificate</t>
    </r>
  </si>
  <si>
    <t>Section III to Section IV Energy Rating Certificate Calculation --- Regulated Motor Added to HI ER Rated Bare Pump---------------------------------------------------------------Section III to Section IV Energy Rating Certificate Calculation --- Regulated Motor Added to HI ER Rated Bare Pump-------------------------------------------------Section III to Section IV Energy Rating Certificate Calculation --- Regulated Motor Added to HI ER Rated Bare Pump----------------------------------------------------------------------------Section III to Section IV Energy Rating Certificate Calculation --- Regulated Motor Added to HI ER Rated Bare Pump--------------------Section III to Section IV Energy Rating Certificate Calculation --- Regulated Motor Added to HI ER Rated Bare Pump</t>
  </si>
  <si>
    <t>Are you adding a regulated motor?</t>
  </si>
  <si>
    <t>Are you adding a regualted motor?</t>
  </si>
  <si>
    <t>Look up original test method</t>
  </si>
  <si>
    <t>Section V to Section VII - Rated Bare Pump + Regulated Motor + Extended Continuous Control (Variable Load)</t>
  </si>
  <si>
    <t>Look up nameplate Motor power used for default losses (MotorHP)</t>
  </si>
  <si>
    <r>
      <t>look up η</t>
    </r>
    <r>
      <rPr>
        <b/>
        <vertAlign val="subscript"/>
        <sz val="11"/>
        <color theme="1"/>
        <rFont val="Calibri"/>
        <family val="2"/>
        <scheme val="minor"/>
      </rPr>
      <t>motor,full,NP</t>
    </r>
  </si>
  <si>
    <t>Section III to Section V to Section VII - Rated Bare Pump + Extended Motor + Continuous Control (Variable Load)</t>
  </si>
  <si>
    <t xml:space="preserve">HI Approved Laboratory Registration Number </t>
  </si>
  <si>
    <t>Calculation Combination for lookup</t>
  </si>
  <si>
    <r>
      <t>η</t>
    </r>
    <r>
      <rPr>
        <b/>
        <vertAlign val="subscript"/>
        <sz val="22"/>
        <color theme="1"/>
        <rFont val="Calibri"/>
        <family val="2"/>
        <scheme val="minor"/>
      </rPr>
      <t>motor,full</t>
    </r>
    <r>
      <rPr>
        <b/>
        <sz val="22"/>
        <color theme="1"/>
        <rFont val="Calibri"/>
        <family val="2"/>
        <scheme val="minor"/>
      </rPr>
      <t xml:space="preserve"> or η</t>
    </r>
    <r>
      <rPr>
        <b/>
        <vertAlign val="subscript"/>
        <sz val="22"/>
        <color theme="1"/>
        <rFont val="Calibri"/>
        <family val="2"/>
        <scheme val="minor"/>
      </rPr>
      <t>motor,full,NP</t>
    </r>
  </si>
  <si>
    <t>Section V to Section VII - Rated Bare Pump + Regulated or unregulated Motor + Extended Continuous Control (Variable Load)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</si>
</sst>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
    <numFmt numFmtId="166" formatCode="0.0"/>
    <numFmt numFmtId="167" formatCode="0.000000000000"/>
    <numFmt numFmtId="168" formatCode="0.000000000000000000"/>
  </numFmts>
  <fonts count="35"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b/>
      <sz val="11"/>
      <name val="Calibri"/>
      <family val="2"/>
      <scheme val="minor"/>
    </font>
    <font>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sz val="11"/>
      <color theme="1"/>
      <name val="Courier New"/>
      <family val="3"/>
    </font>
    <font>
      <b/>
      <vertAlign val="subscript"/>
      <sz val="12"/>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9"/>
      <color indexed="81"/>
      <name val="Calibri"/>
      <family val="2"/>
    </font>
    <font>
      <b/>
      <sz val="9"/>
      <color indexed="81"/>
      <name val="Calibri"/>
      <family val="2"/>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rgb="FF00B050"/>
        <bgColor indexed="64"/>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theme="5" tint="-0.249977111117893"/>
        <bgColor indexed="64"/>
      </patternFill>
    </fill>
    <fill>
      <patternFill patternType="solid">
        <fgColor theme="9" tint="0.39997558519241921"/>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thin">
        <color auto="1"/>
      </left>
      <right style="thin">
        <color auto="1"/>
      </right>
      <top style="thin">
        <color auto="1"/>
      </top>
      <bottom/>
      <diagonal/>
    </border>
  </borders>
  <cellStyleXfs count="413">
    <xf numFmtId="0" fontId="0"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54">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4" xfId="0" applyFont="1" applyBorder="1" applyAlignment="1">
      <alignment horizontal="center" vertical="center"/>
    </xf>
    <xf numFmtId="0" fontId="1" fillId="0" borderId="34" xfId="0" applyFont="1" applyBorder="1"/>
    <xf numFmtId="0" fontId="1" fillId="2" borderId="3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3" borderId="34" xfId="0" applyFont="1" applyFill="1" applyBorder="1" applyAlignment="1">
      <alignment horizontal="center" vertical="center" wrapText="1"/>
    </xf>
    <xf numFmtId="164" fontId="1" fillId="3" borderId="34"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0" fontId="1" fillId="3" borderId="18" xfId="0"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0" fontId="14" fillId="0" borderId="3" xfId="0" applyFont="1" applyFill="1" applyBorder="1" applyAlignment="1">
      <alignment horizontal="center" vertical="center" wrapText="1"/>
    </xf>
    <xf numFmtId="0" fontId="14" fillId="0" borderId="38" xfId="0" applyFont="1" applyBorder="1" applyAlignment="1">
      <alignment horizontal="center" vertical="center" wrapText="1"/>
    </xf>
    <xf numFmtId="0" fontId="14" fillId="0" borderId="39" xfId="0" applyFont="1" applyFill="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2" fillId="0" borderId="33" xfId="0" applyFont="1" applyBorder="1" applyAlignment="1">
      <alignment horizontal="center" vertical="center" wrapText="1"/>
    </xf>
    <xf numFmtId="0" fontId="2" fillId="0" borderId="32"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4"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3" xfId="0" applyFont="1" applyBorder="1" applyAlignment="1">
      <alignment horizontal="center" vertical="center"/>
    </xf>
    <xf numFmtId="0" fontId="2" fillId="0" borderId="37" xfId="0" applyFont="1" applyBorder="1" applyAlignment="1">
      <alignment horizontal="center" vertical="center"/>
    </xf>
    <xf numFmtId="0" fontId="2" fillId="0" borderId="21" xfId="0" applyFont="1" applyBorder="1" applyAlignment="1">
      <alignment horizontal="center" vertical="center"/>
    </xf>
    <xf numFmtId="0" fontId="1" fillId="0" borderId="2" xfId="0" applyFont="1" applyBorder="1" applyAlignment="1">
      <alignment horizontal="center" vertical="center" wrapText="1"/>
    </xf>
    <xf numFmtId="164" fontId="1" fillId="0" borderId="0" xfId="0" applyNumberFormat="1" applyFont="1" applyFill="1" applyBorder="1" applyAlignment="1">
      <alignment horizontal="center" vertical="center" wrapText="1"/>
    </xf>
    <xf numFmtId="0" fontId="10" fillId="0" borderId="39" xfId="0" applyFont="1" applyBorder="1" applyAlignment="1">
      <alignment horizontal="center" vertical="center" wrapText="1"/>
    </xf>
    <xf numFmtId="0" fontId="17" fillId="0" borderId="39" xfId="0" applyFont="1" applyBorder="1" applyAlignment="1">
      <alignment horizontal="center" vertical="center" wrapText="1"/>
    </xf>
    <xf numFmtId="0" fontId="14" fillId="0" borderId="39" xfId="0" applyFont="1" applyBorder="1" applyAlignment="1">
      <alignment horizontal="center" vertical="center"/>
    </xf>
    <xf numFmtId="0" fontId="14" fillId="0" borderId="40" xfId="0" applyFont="1" applyBorder="1" applyAlignment="1">
      <alignment horizontal="center" vertical="center"/>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1" fillId="2" borderId="30"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1" xfId="0" applyFont="1" applyBorder="1" applyAlignment="1">
      <alignment horizontal="center" vertical="center" wrapText="1"/>
    </xf>
    <xf numFmtId="0" fontId="1" fillId="0" borderId="35"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7" borderId="1" xfId="0" applyFont="1" applyFill="1" applyBorder="1" applyAlignment="1">
      <alignment horizontal="center" vertical="center" wrapText="1"/>
    </xf>
    <xf numFmtId="0" fontId="0" fillId="0" borderId="0" xfId="0" applyAlignment="1">
      <alignment wrapText="1"/>
    </xf>
    <xf numFmtId="0" fontId="1" fillId="3" borderId="19"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23" fillId="0" borderId="1" xfId="0" applyFont="1" applyBorder="1" applyAlignment="1">
      <alignment horizontal="center" vertical="center" wrapText="1"/>
    </xf>
    <xf numFmtId="0" fontId="9" fillId="0" borderId="21" xfId="0" applyFont="1" applyBorder="1" applyAlignment="1">
      <alignment horizontal="center" vertical="center"/>
    </xf>
    <xf numFmtId="0" fontId="1" fillId="7" borderId="34" xfId="0" applyFont="1" applyFill="1" applyBorder="1" applyAlignment="1">
      <alignment horizontal="center" vertical="center" wrapText="1"/>
    </xf>
    <xf numFmtId="0" fontId="21" fillId="2" borderId="34" xfId="0" applyFont="1" applyFill="1" applyBorder="1" applyAlignment="1">
      <alignment horizontal="center" vertical="center" wrapText="1"/>
    </xf>
    <xf numFmtId="0" fontId="21" fillId="3" borderId="34" xfId="0" applyFont="1" applyFill="1" applyBorder="1" applyAlignment="1">
      <alignment horizontal="center" vertical="center" wrapText="1"/>
    </xf>
    <xf numFmtId="164" fontId="21" fillId="3" borderId="34" xfId="0" applyNumberFormat="1" applyFont="1" applyFill="1" applyBorder="1" applyAlignment="1">
      <alignment horizontal="center" vertical="center" wrapText="1"/>
    </xf>
    <xf numFmtId="0" fontId="0" fillId="0" borderId="46" xfId="0" applyBorder="1"/>
    <xf numFmtId="0" fontId="0" fillId="0" borderId="42" xfId="0" applyBorder="1" applyAlignment="1">
      <alignment horizontal="center" vertical="center"/>
    </xf>
    <xf numFmtId="0" fontId="0" fillId="3" borderId="43" xfId="0" applyFill="1" applyBorder="1" applyAlignment="1">
      <alignment horizontal="center"/>
    </xf>
    <xf numFmtId="0" fontId="1" fillId="3" borderId="18" xfId="0" applyFont="1" applyFill="1" applyBorder="1" applyAlignment="1">
      <alignment horizontal="left" vertical="center" wrapText="1"/>
    </xf>
    <xf numFmtId="0" fontId="0" fillId="2" borderId="43" xfId="0" applyFill="1" applyBorder="1" applyAlignment="1">
      <alignment horizontal="center" vertical="center" wrapText="1"/>
    </xf>
    <xf numFmtId="0" fontId="1" fillId="2" borderId="18" xfId="0" applyFont="1" applyFill="1" applyBorder="1" applyAlignment="1">
      <alignment horizontal="left" vertical="center" wrapText="1"/>
    </xf>
    <xf numFmtId="0" fontId="0" fillId="10" borderId="43" xfId="0" applyFill="1" applyBorder="1" applyAlignment="1">
      <alignment horizontal="center"/>
    </xf>
    <xf numFmtId="0" fontId="1" fillId="10" borderId="18" xfId="0" applyFont="1" applyFill="1" applyBorder="1" applyAlignment="1">
      <alignment horizontal="left" vertical="center" wrapText="1"/>
    </xf>
    <xf numFmtId="0" fontId="0" fillId="11" borderId="43" xfId="0" applyFill="1" applyBorder="1" applyAlignment="1">
      <alignment horizontal="center"/>
    </xf>
    <xf numFmtId="0" fontId="1" fillId="11" borderId="18" xfId="0" applyFont="1" applyFill="1" applyBorder="1" applyAlignment="1">
      <alignment horizontal="center" vertical="center" wrapText="1"/>
    </xf>
    <xf numFmtId="0" fontId="0" fillId="12" borderId="43" xfId="0" applyFill="1" applyBorder="1" applyAlignment="1">
      <alignment horizontal="center"/>
    </xf>
    <xf numFmtId="0" fontId="1" fillId="12" borderId="18" xfId="0" applyFont="1" applyFill="1" applyBorder="1" applyAlignment="1">
      <alignment horizontal="center" vertical="center" wrapText="1"/>
    </xf>
    <xf numFmtId="0" fontId="0" fillId="9" borderId="47" xfId="0" applyFill="1" applyBorder="1" applyAlignment="1">
      <alignment horizontal="center"/>
    </xf>
    <xf numFmtId="0" fontId="1" fillId="9" borderId="1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4" xfId="0" applyFont="1" applyBorder="1" applyAlignment="1">
      <alignment horizontal="center" vertical="center" wrapText="1"/>
    </xf>
    <xf numFmtId="0" fontId="0" fillId="0" borderId="0" xfId="0" applyFont="1" applyAlignment="1">
      <alignment horizontal="left" vertical="center"/>
    </xf>
    <xf numFmtId="0" fontId="27" fillId="0" borderId="0" xfId="0" applyFont="1" applyAlignment="1">
      <alignment horizontal="left" vertical="center"/>
    </xf>
    <xf numFmtId="0" fontId="22" fillId="0" borderId="0" xfId="0" applyFont="1" applyAlignment="1">
      <alignment horizontal="left"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2" fontId="0" fillId="5" borderId="1" xfId="0" applyNumberFormat="1" applyFill="1" applyBorder="1" applyAlignment="1">
      <alignment horizontal="center" vertical="center" wrapText="1"/>
    </xf>
    <xf numFmtId="164" fontId="0" fillId="6" borderId="1" xfId="0" applyNumberFormat="1" applyFill="1" applyBorder="1" applyAlignment="1">
      <alignment horizontal="center" vertical="center" wrapText="1"/>
    </xf>
    <xf numFmtId="0" fontId="14" fillId="0" borderId="3" xfId="0" applyFont="1" applyBorder="1" applyAlignment="1">
      <alignment horizontal="center"/>
    </xf>
    <xf numFmtId="0" fontId="14" fillId="0" borderId="20" xfId="0" applyFont="1" applyBorder="1" applyAlignment="1">
      <alignment horizontal="center"/>
    </xf>
    <xf numFmtId="0" fontId="0" fillId="0" borderId="18" xfId="0" applyBorder="1" applyAlignment="1">
      <alignment horizontal="center" vertical="center" wrapText="1"/>
    </xf>
    <xf numFmtId="0" fontId="0" fillId="12" borderId="18" xfId="0" applyFill="1" applyBorder="1" applyAlignment="1">
      <alignment horizontal="center" vertical="center" wrapText="1"/>
    </xf>
    <xf numFmtId="0" fontId="0" fillId="0" borderId="14" xfId="0" applyBorder="1" applyAlignment="1">
      <alignment horizontal="center" vertical="center" wrapText="1"/>
    </xf>
    <xf numFmtId="0" fontId="0" fillId="0" borderId="34" xfId="0" applyBorder="1" applyAlignment="1">
      <alignment horizontal="center" vertical="center" wrapText="1"/>
    </xf>
    <xf numFmtId="0" fontId="2"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0" fillId="0" borderId="34" xfId="0" applyFill="1" applyBorder="1"/>
    <xf numFmtId="0" fontId="0" fillId="0" borderId="35" xfId="0" applyFill="1" applyBorder="1"/>
    <xf numFmtId="0" fontId="1" fillId="0" borderId="34"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4" xfId="0" applyFont="1" applyFill="1" applyBorder="1" applyAlignment="1">
      <alignment horizontal="center" vertical="center" wrapText="1"/>
    </xf>
    <xf numFmtId="0" fontId="1" fillId="0" borderId="28" xfId="0" applyFont="1" applyFill="1" applyBorder="1" applyAlignment="1">
      <alignment horizontal="center" vertical="center" wrapText="1"/>
    </xf>
    <xf numFmtId="2" fontId="0" fillId="0" borderId="0" xfId="0" applyNumberFormat="1" applyFill="1" applyBorder="1"/>
    <xf numFmtId="165" fontId="1" fillId="3" borderId="18" xfId="0" applyNumberFormat="1" applyFont="1" applyFill="1" applyBorder="1" applyAlignment="1">
      <alignment horizontal="center" vertical="center"/>
    </xf>
    <xf numFmtId="165" fontId="1" fillId="3" borderId="1" xfId="0" applyNumberFormat="1" applyFont="1" applyFill="1" applyBorder="1" applyAlignment="1">
      <alignment horizontal="center" vertical="center"/>
    </xf>
    <xf numFmtId="165" fontId="1" fillId="2" borderId="1"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2" fontId="1" fillId="3" borderId="1" xfId="0" applyNumberFormat="1" applyFont="1" applyFill="1" applyBorder="1" applyAlignment="1">
      <alignment horizontal="center" vertical="center" wrapText="1"/>
    </xf>
    <xf numFmtId="2" fontId="1" fillId="3" borderId="19" xfId="0" applyNumberFormat="1" applyFont="1" applyFill="1" applyBorder="1" applyAlignment="1">
      <alignment horizontal="center" vertical="center"/>
    </xf>
    <xf numFmtId="0" fontId="1" fillId="2" borderId="18" xfId="0"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0" borderId="14" xfId="0" applyFont="1" applyBorder="1" applyAlignment="1">
      <alignment vertical="center" wrapText="1"/>
    </xf>
    <xf numFmtId="0" fontId="1" fillId="0" borderId="34" xfId="0" applyFont="1" applyBorder="1" applyAlignment="1">
      <alignment vertical="center" wrapText="1"/>
    </xf>
    <xf numFmtId="0" fontId="25" fillId="0" borderId="0" xfId="0" applyFont="1" applyBorder="1" applyAlignment="1">
      <alignment vertical="center" wrapText="1"/>
    </xf>
    <xf numFmtId="1" fontId="1" fillId="2" borderId="1" xfId="0" applyNumberFormat="1" applyFont="1" applyFill="1" applyBorder="1" applyAlignment="1">
      <alignment horizontal="center" vertical="center" wrapText="1"/>
    </xf>
    <xf numFmtId="166" fontId="1" fillId="5" borderId="1" xfId="0" applyNumberFormat="1" applyFont="1" applyFill="1" applyBorder="1" applyAlignment="1">
      <alignment horizontal="center" vertical="center" wrapText="1"/>
    </xf>
    <xf numFmtId="164" fontId="0" fillId="5" borderId="1" xfId="0" applyNumberFormat="1" applyFill="1" applyBorder="1" applyAlignment="1">
      <alignment horizontal="center" vertical="center" wrapText="1"/>
    </xf>
    <xf numFmtId="0" fontId="13" fillId="0" borderId="0" xfId="0" applyFont="1" applyFill="1" applyBorder="1" applyAlignment="1">
      <alignment vertical="center"/>
    </xf>
    <xf numFmtId="2" fontId="1" fillId="5" borderId="1" xfId="0" applyNumberFormat="1" applyFont="1" applyFill="1" applyBorder="1" applyAlignment="1">
      <alignment horizontal="center" vertical="center" wrapText="1"/>
    </xf>
    <xf numFmtId="0" fontId="2" fillId="13" borderId="3" xfId="0" applyFont="1" applyFill="1" applyBorder="1" applyAlignment="1">
      <alignment horizontal="center" vertical="center"/>
    </xf>
    <xf numFmtId="0" fontId="1" fillId="14" borderId="14" xfId="0" applyFont="1" applyFill="1" applyBorder="1" applyAlignment="1">
      <alignment horizontal="center" vertical="center" wrapText="1"/>
    </xf>
    <xf numFmtId="0" fontId="1" fillId="14" borderId="34" xfId="0" applyFont="1" applyFill="1" applyBorder="1" applyAlignment="1">
      <alignment horizontal="center" vertical="center" wrapText="1"/>
    </xf>
    <xf numFmtId="165" fontId="1" fillId="5" borderId="1" xfId="0" applyNumberFormat="1" applyFont="1" applyFill="1" applyBorder="1" applyAlignment="1">
      <alignment horizontal="center" vertical="center" wrapText="1"/>
    </xf>
    <xf numFmtId="164" fontId="1" fillId="6" borderId="18" xfId="0" applyNumberFormat="1" applyFont="1" applyFill="1" applyBorder="1" applyAlignment="1">
      <alignment horizontal="center" vertical="center"/>
    </xf>
    <xf numFmtId="167" fontId="0" fillId="0" borderId="0" xfId="0" applyNumberFormat="1"/>
    <xf numFmtId="168" fontId="0" fillId="0" borderId="0" xfId="0" applyNumberFormat="1"/>
    <xf numFmtId="165" fontId="0" fillId="0" borderId="0" xfId="0" applyNumberFormat="1"/>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13" xfId="0" applyFont="1" applyFill="1" applyBorder="1" applyAlignment="1">
      <alignment horizontal="center" vertical="center"/>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34" xfId="0" applyFont="1" applyBorder="1" applyAlignment="1">
      <alignment horizontal="center" vertical="center" wrapText="1"/>
    </xf>
    <xf numFmtId="0" fontId="26" fillId="0" borderId="0" xfId="0" applyFont="1" applyAlignment="1">
      <alignment horizontal="center"/>
    </xf>
    <xf numFmtId="0" fontId="1" fillId="0" borderId="2"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5" xfId="0" applyFont="1" applyBorder="1" applyAlignment="1">
      <alignment horizontal="center" vertical="center" wrapText="1"/>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3" xfId="0" applyFont="1" applyBorder="1" applyAlignment="1">
      <alignment horizontal="center" vertical="center" wrapText="1"/>
    </xf>
    <xf numFmtId="0" fontId="13" fillId="8" borderId="15" xfId="0" applyFont="1" applyFill="1" applyBorder="1" applyAlignment="1">
      <alignment horizontal="center" vertical="center"/>
    </xf>
    <xf numFmtId="0" fontId="13" fillId="8" borderId="16" xfId="0" applyFont="1" applyFill="1" applyBorder="1" applyAlignment="1">
      <alignment horizontal="center" vertical="center"/>
    </xf>
    <xf numFmtId="0" fontId="13" fillId="8" borderId="17"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0"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25" fillId="0" borderId="4" xfId="0" applyFont="1" applyBorder="1" applyAlignment="1">
      <alignment horizontal="center" vertical="center"/>
    </xf>
    <xf numFmtId="0" fontId="25" fillId="0" borderId="33" xfId="0" applyFont="1" applyBorder="1" applyAlignment="1">
      <alignment horizontal="center" vertical="center"/>
    </xf>
    <xf numFmtId="0" fontId="25" fillId="0" borderId="37" xfId="0" applyFont="1" applyBorder="1" applyAlignment="1">
      <alignment horizontal="center" vertical="center"/>
    </xf>
    <xf numFmtId="0" fontId="9" fillId="0" borderId="27" xfId="0" applyNumberFormat="1" applyFont="1" applyFill="1" applyBorder="1" applyAlignment="1">
      <alignment horizontal="center" vertical="center" wrapText="1"/>
    </xf>
    <xf numFmtId="0" fontId="9" fillId="0" borderId="31" xfId="0" applyNumberFormat="1" applyFont="1" applyFill="1" applyBorder="1" applyAlignment="1">
      <alignment horizontal="center" vertical="center" wrapText="1"/>
    </xf>
    <xf numFmtId="0" fontId="25" fillId="0" borderId="4" xfId="0" applyFont="1" applyBorder="1" applyAlignment="1">
      <alignment horizontal="center" vertical="center" wrapText="1"/>
    </xf>
    <xf numFmtId="0" fontId="25" fillId="0" borderId="33"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36"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25" fillId="0" borderId="3" xfId="0" applyFont="1" applyBorder="1" applyAlignment="1">
      <alignment horizontal="center" vertical="center"/>
    </xf>
    <xf numFmtId="0" fontId="25" fillId="0" borderId="21" xfId="0" applyFont="1" applyBorder="1" applyAlignment="1">
      <alignment horizontal="center" vertical="center"/>
    </xf>
    <xf numFmtId="0" fontId="1" fillId="0" borderId="34" xfId="0" applyFont="1" applyFill="1" applyBorder="1" applyAlignment="1">
      <alignment horizontal="center" vertical="center" wrapText="1"/>
    </xf>
    <xf numFmtId="0" fontId="1" fillId="0" borderId="28" xfId="0" applyFont="1" applyBorder="1" applyAlignment="1">
      <alignment horizontal="center" vertical="center"/>
    </xf>
    <xf numFmtId="0" fontId="1" fillId="0" borderId="0" xfId="0" applyFont="1" applyBorder="1" applyAlignment="1">
      <alignment horizontal="center" vertical="center"/>
    </xf>
    <xf numFmtId="0" fontId="1" fillId="0" borderId="26" xfId="0" applyFont="1" applyBorder="1" applyAlignment="1">
      <alignment horizontal="center" vertical="center"/>
    </xf>
    <xf numFmtId="0" fontId="1" fillId="0" borderId="29" xfId="0" applyFont="1" applyBorder="1" applyAlignment="1">
      <alignment horizontal="center" vertical="center"/>
    </xf>
    <xf numFmtId="1" fontId="1" fillId="2" borderId="48" xfId="0" applyNumberFormat="1" applyFont="1" applyFill="1" applyBorder="1" applyAlignment="1">
      <alignment horizontal="center" vertical="center" wrapText="1"/>
    </xf>
    <xf numFmtId="0" fontId="1" fillId="2" borderId="30"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4" xfId="0" applyFont="1" applyFill="1" applyBorder="1" applyAlignment="1">
      <alignment horizontal="center" vertical="center"/>
    </xf>
    <xf numFmtId="2" fontId="1" fillId="3" borderId="45" xfId="0" applyNumberFormat="1" applyFont="1" applyFill="1" applyBorder="1" applyAlignment="1">
      <alignment horizontal="center" vertical="center"/>
    </xf>
  </cellXfs>
  <cellStyles count="4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B14"/>
  <sheetViews>
    <sheetView zoomScale="125" zoomScaleNormal="125" zoomScalePageLayoutView="125" workbookViewId="0">
      <pane xSplit="4" ySplit="7" topLeftCell="U8" activePane="bottomRight" state="frozen"/>
      <selection pane="topRight" activeCell="E1" sqref="E1"/>
      <selection pane="bottomLeft" activeCell="A8" sqref="A8"/>
      <selection pane="bottomRight" activeCell="H11" sqref="H11"/>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7.33203125" customWidth="1"/>
    <col min="11" max="11" width="37.33203125" customWidth="1"/>
    <col min="12" max="12" width="31.5" customWidth="1"/>
    <col min="13" max="13" width="29.33203125" customWidth="1"/>
    <col min="14" max="14" width="28" customWidth="1"/>
    <col min="15" max="15" width="41.33203125" customWidth="1"/>
    <col min="16" max="16" width="21.33203125" customWidth="1"/>
    <col min="17" max="17" width="21.83203125" customWidth="1"/>
    <col min="18" max="18" width="29.6640625" customWidth="1"/>
    <col min="19" max="19" width="28.83203125" customWidth="1"/>
    <col min="20" max="20" width="27.6640625" customWidth="1"/>
    <col min="21" max="21" width="26.33203125" customWidth="1"/>
    <col min="22" max="22" width="35.83203125" customWidth="1"/>
    <col min="23" max="23" width="29.5" customWidth="1"/>
    <col min="24" max="24" width="31" customWidth="1"/>
    <col min="25" max="25" width="23.1640625" bestFit="1" customWidth="1"/>
    <col min="26" max="26" width="23.83203125" bestFit="1" customWidth="1"/>
    <col min="27" max="27" width="30.83203125" customWidth="1"/>
    <col min="28" max="28" width="33.33203125" customWidth="1"/>
  </cols>
  <sheetData>
    <row r="2" spans="1:28">
      <c r="B2" s="41" t="s">
        <v>0</v>
      </c>
    </row>
    <row r="3" spans="1:28">
      <c r="B3" s="62" t="s">
        <v>11</v>
      </c>
    </row>
    <row r="4" spans="1:28" ht="15" thickBot="1"/>
    <row r="5" spans="1:28" ht="37" thickBot="1">
      <c r="B5" s="180" t="s">
        <v>458</v>
      </c>
      <c r="C5" s="181"/>
      <c r="D5" s="181"/>
      <c r="E5" s="181"/>
      <c r="F5" s="181"/>
      <c r="G5" s="181"/>
      <c r="H5" s="181"/>
      <c r="I5" s="181"/>
      <c r="J5" s="181"/>
      <c r="K5" s="181"/>
      <c r="L5" s="181"/>
      <c r="M5" s="181"/>
      <c r="N5" s="181"/>
      <c r="O5" s="181"/>
      <c r="P5" s="181"/>
      <c r="Q5" s="181"/>
      <c r="R5" s="181"/>
      <c r="S5" s="181"/>
      <c r="T5" s="181"/>
      <c r="U5" s="181"/>
      <c r="V5" s="181"/>
      <c r="W5" s="181"/>
      <c r="X5" s="181"/>
      <c r="Y5" s="181"/>
      <c r="Z5" s="181"/>
      <c r="AA5" s="182"/>
    </row>
    <row r="6" spans="1:28" ht="33" thickBot="1">
      <c r="A6" s="107"/>
      <c r="B6" s="66"/>
      <c r="C6" s="95"/>
      <c r="D6" s="95"/>
      <c r="E6" s="95"/>
      <c r="F6" s="95"/>
      <c r="G6" s="58" t="s">
        <v>356</v>
      </c>
      <c r="H6" s="95"/>
      <c r="I6" s="58" t="s">
        <v>417</v>
      </c>
      <c r="J6" s="65" t="s">
        <v>441</v>
      </c>
      <c r="K6" s="58" t="s">
        <v>341</v>
      </c>
      <c r="L6" s="58" t="s">
        <v>342</v>
      </c>
      <c r="M6" s="58" t="s">
        <v>343</v>
      </c>
      <c r="N6" s="58" t="s">
        <v>345</v>
      </c>
      <c r="O6" s="58" t="s">
        <v>346</v>
      </c>
      <c r="P6" s="58" t="s">
        <v>348</v>
      </c>
      <c r="Q6" s="58" t="s">
        <v>349</v>
      </c>
      <c r="R6" s="68" t="s">
        <v>382</v>
      </c>
      <c r="S6" s="68" t="s">
        <v>381</v>
      </c>
      <c r="T6" s="68" t="s">
        <v>383</v>
      </c>
      <c r="U6" s="58" t="s">
        <v>557</v>
      </c>
      <c r="V6" s="58" t="s">
        <v>558</v>
      </c>
      <c r="W6" s="58" t="s">
        <v>559</v>
      </c>
      <c r="X6" s="68" t="s">
        <v>419</v>
      </c>
      <c r="Y6" s="159"/>
      <c r="Z6" s="95"/>
      <c r="AA6" s="58"/>
      <c r="AB6" s="102"/>
    </row>
    <row r="7" spans="1:28" ht="72">
      <c r="A7" s="108" t="s">
        <v>450</v>
      </c>
      <c r="B7" s="41" t="s">
        <v>329</v>
      </c>
      <c r="C7" s="77" t="s">
        <v>12</v>
      </c>
      <c r="D7" s="77" t="s">
        <v>27</v>
      </c>
      <c r="E7" s="77" t="s">
        <v>89</v>
      </c>
      <c r="F7" s="77" t="s">
        <v>340</v>
      </c>
      <c r="G7" s="77" t="s">
        <v>4</v>
      </c>
      <c r="H7" s="77" t="s">
        <v>438</v>
      </c>
      <c r="I7" s="77" t="s">
        <v>358</v>
      </c>
      <c r="J7" s="101" t="s">
        <v>457</v>
      </c>
      <c r="K7" s="77" t="s">
        <v>15</v>
      </c>
      <c r="L7" s="77" t="s">
        <v>13</v>
      </c>
      <c r="M7" s="77" t="s">
        <v>24</v>
      </c>
      <c r="N7" s="77" t="s">
        <v>49</v>
      </c>
      <c r="O7" s="77" t="s">
        <v>50</v>
      </c>
      <c r="P7" s="77" t="s">
        <v>51</v>
      </c>
      <c r="Q7" s="77" t="s">
        <v>52</v>
      </c>
      <c r="R7" s="77" t="s">
        <v>420</v>
      </c>
      <c r="S7" s="77" t="s">
        <v>421</v>
      </c>
      <c r="T7" s="77" t="s">
        <v>422</v>
      </c>
      <c r="U7" s="77" t="s">
        <v>424</v>
      </c>
      <c r="V7" s="77" t="s">
        <v>425</v>
      </c>
      <c r="W7" s="77" t="s">
        <v>426</v>
      </c>
      <c r="X7" s="77" t="s">
        <v>423</v>
      </c>
      <c r="Y7" s="157" t="s">
        <v>552</v>
      </c>
      <c r="Z7" s="77" t="s">
        <v>3</v>
      </c>
      <c r="AA7" s="77" t="s">
        <v>14</v>
      </c>
      <c r="AB7" s="47" t="s">
        <v>620</v>
      </c>
    </row>
    <row r="8" spans="1:28" ht="28">
      <c r="A8" s="109" t="s">
        <v>451</v>
      </c>
      <c r="B8" s="110" t="s">
        <v>324</v>
      </c>
      <c r="C8" s="97" t="s">
        <v>7</v>
      </c>
      <c r="D8" s="97" t="s">
        <v>28</v>
      </c>
      <c r="E8" s="38" t="s">
        <v>75</v>
      </c>
      <c r="F8" s="38" t="s">
        <v>449</v>
      </c>
      <c r="G8" s="38">
        <v>3600</v>
      </c>
      <c r="H8" s="38" t="s">
        <v>45</v>
      </c>
      <c r="I8" s="60">
        <v>60</v>
      </c>
      <c r="J8" s="60" t="s">
        <v>449</v>
      </c>
      <c r="K8" s="59">
        <v>9</v>
      </c>
      <c r="L8" s="60">
        <v>349.83050847457599</v>
      </c>
      <c r="M8" s="60">
        <v>424.42976156276899</v>
      </c>
      <c r="N8" s="60">
        <v>262.37288135593201</v>
      </c>
      <c r="O8" s="60">
        <v>498.891123240448</v>
      </c>
      <c r="P8" s="60">
        <v>384.813559322034</v>
      </c>
      <c r="Q8" s="60">
        <v>383.47601264004601</v>
      </c>
      <c r="R8" s="60">
        <v>52.811999999999998</v>
      </c>
      <c r="S8" s="60">
        <v>55.203000000000003</v>
      </c>
      <c r="T8" s="60">
        <v>55.62</v>
      </c>
      <c r="U8" s="60" t="s">
        <v>449</v>
      </c>
      <c r="V8" s="60" t="s">
        <v>449</v>
      </c>
      <c r="W8" s="60" t="s">
        <v>449</v>
      </c>
      <c r="X8" s="60" t="s">
        <v>449</v>
      </c>
      <c r="Y8" s="160">
        <v>0.97</v>
      </c>
      <c r="Z8" s="59" t="s">
        <v>10</v>
      </c>
      <c r="AA8" s="59" t="s">
        <v>11</v>
      </c>
      <c r="AB8" s="99" t="s">
        <v>9</v>
      </c>
    </row>
    <row r="9" spans="1:28" s="18" customFormat="1">
      <c r="A9" s="111" t="s">
        <v>452</v>
      </c>
      <c r="B9" s="112" t="s">
        <v>326</v>
      </c>
      <c r="C9" s="97" t="s">
        <v>7</v>
      </c>
      <c r="D9" s="97" t="s">
        <v>29</v>
      </c>
      <c r="E9" s="38" t="s">
        <v>75</v>
      </c>
      <c r="F9" s="38" t="s">
        <v>449</v>
      </c>
      <c r="G9" s="38">
        <v>3600</v>
      </c>
      <c r="H9" s="38" t="s">
        <v>45</v>
      </c>
      <c r="I9" s="60">
        <v>60</v>
      </c>
      <c r="J9" s="60" t="s">
        <v>449</v>
      </c>
      <c r="K9" s="59">
        <v>9</v>
      </c>
      <c r="L9" s="60">
        <v>349.83050847457628</v>
      </c>
      <c r="M9" s="60">
        <v>424.42976156276927</v>
      </c>
      <c r="N9" s="60">
        <v>262.37288135593218</v>
      </c>
      <c r="O9" s="60">
        <v>498.89112324044811</v>
      </c>
      <c r="P9" s="60">
        <v>384.81355932203388</v>
      </c>
      <c r="Q9" s="60">
        <v>383.47601264004595</v>
      </c>
      <c r="R9" s="60">
        <v>49.201251494128293</v>
      </c>
      <c r="S9" s="60">
        <v>51.414352154260818</v>
      </c>
      <c r="T9" s="60">
        <v>51.808353464019966</v>
      </c>
      <c r="U9" s="60" t="s">
        <v>449</v>
      </c>
      <c r="V9" s="60" t="s">
        <v>449</v>
      </c>
      <c r="W9" s="60" t="s">
        <v>449</v>
      </c>
      <c r="X9" s="60" t="s">
        <v>449</v>
      </c>
      <c r="Y9" s="160">
        <v>0.9</v>
      </c>
      <c r="Z9" s="59" t="s">
        <v>10</v>
      </c>
      <c r="AA9" s="59" t="s">
        <v>11</v>
      </c>
      <c r="AB9" s="99" t="s">
        <v>9</v>
      </c>
    </row>
    <row r="10" spans="1:28" ht="28">
      <c r="A10" s="113" t="s">
        <v>453</v>
      </c>
      <c r="B10" s="114" t="s">
        <v>416</v>
      </c>
      <c r="C10" s="97" t="s">
        <v>7</v>
      </c>
      <c r="D10" s="97" t="s">
        <v>29</v>
      </c>
      <c r="E10" s="38" t="s">
        <v>77</v>
      </c>
      <c r="F10" s="38" t="s">
        <v>449</v>
      </c>
      <c r="G10" s="38">
        <v>3600</v>
      </c>
      <c r="H10" s="38" t="s">
        <v>1</v>
      </c>
      <c r="I10" s="60">
        <v>60</v>
      </c>
      <c r="J10" s="60">
        <v>97</v>
      </c>
      <c r="K10" s="59">
        <v>1</v>
      </c>
      <c r="L10" s="60">
        <v>349.83050847457628</v>
      </c>
      <c r="M10" s="60">
        <v>424.42976156276927</v>
      </c>
      <c r="N10" s="60">
        <v>262.37288135593218</v>
      </c>
      <c r="O10" s="60">
        <v>498.89112324044811</v>
      </c>
      <c r="P10" s="60">
        <v>384.81355932203388</v>
      </c>
      <c r="Q10" s="60">
        <v>383.47601264004595</v>
      </c>
      <c r="R10" s="60">
        <v>49.201251494128293</v>
      </c>
      <c r="S10" s="60">
        <v>51.414352154260818</v>
      </c>
      <c r="T10" s="60">
        <v>51.808353464019966</v>
      </c>
      <c r="U10" s="60" t="s">
        <v>449</v>
      </c>
      <c r="V10" s="60" t="s">
        <v>449</v>
      </c>
      <c r="W10" s="60" t="s">
        <v>449</v>
      </c>
      <c r="X10" s="60" t="s">
        <v>449</v>
      </c>
      <c r="Y10" s="160">
        <v>0.78</v>
      </c>
      <c r="Z10" s="59" t="s">
        <v>10</v>
      </c>
      <c r="AA10" s="59" t="s">
        <v>11</v>
      </c>
      <c r="AB10" s="99" t="s">
        <v>9</v>
      </c>
    </row>
    <row r="11" spans="1:28" ht="28">
      <c r="A11" s="115" t="s">
        <v>455</v>
      </c>
      <c r="B11" s="116" t="s">
        <v>327</v>
      </c>
      <c r="C11" s="97" t="s">
        <v>8</v>
      </c>
      <c r="D11" s="97" t="s">
        <v>30</v>
      </c>
      <c r="E11" s="38" t="s">
        <v>76</v>
      </c>
      <c r="F11" s="38">
        <v>4</v>
      </c>
      <c r="G11" s="38">
        <v>3600</v>
      </c>
      <c r="H11" s="38" t="s">
        <v>449</v>
      </c>
      <c r="I11" s="60">
        <v>60</v>
      </c>
      <c r="J11" s="60" t="s">
        <v>449</v>
      </c>
      <c r="K11" s="59">
        <v>9</v>
      </c>
      <c r="L11" s="60">
        <v>349.83050847457628</v>
      </c>
      <c r="M11" s="60">
        <v>424.42976156276927</v>
      </c>
      <c r="N11" s="60">
        <v>262.37290000000002</v>
      </c>
      <c r="O11" s="60">
        <v>498.89112324044811</v>
      </c>
      <c r="P11" s="60">
        <v>384.81355932203388</v>
      </c>
      <c r="Q11" s="60">
        <v>383.47601264004595</v>
      </c>
      <c r="R11" s="60" t="s">
        <v>449</v>
      </c>
      <c r="S11" s="60" t="s">
        <v>449</v>
      </c>
      <c r="T11" s="60" t="s">
        <v>449</v>
      </c>
      <c r="U11" s="60">
        <v>10</v>
      </c>
      <c r="V11" s="60">
        <v>20</v>
      </c>
      <c r="W11" s="60">
        <v>42</v>
      </c>
      <c r="X11" s="60">
        <v>51.414352154260818</v>
      </c>
      <c r="Y11" s="160">
        <v>0.47</v>
      </c>
      <c r="Z11" s="59" t="s">
        <v>10</v>
      </c>
      <c r="AA11" s="59" t="s">
        <v>11</v>
      </c>
      <c r="AB11" s="99" t="s">
        <v>9</v>
      </c>
    </row>
    <row r="12" spans="1:28" ht="28">
      <c r="A12" s="117" t="s">
        <v>456</v>
      </c>
      <c r="B12" s="118" t="s">
        <v>327</v>
      </c>
      <c r="C12" s="97" t="s">
        <v>8</v>
      </c>
      <c r="D12" s="97" t="s">
        <v>31</v>
      </c>
      <c r="E12" s="38" t="s">
        <v>76</v>
      </c>
      <c r="F12" s="38">
        <v>4</v>
      </c>
      <c r="G12" s="38">
        <v>3600</v>
      </c>
      <c r="H12" s="38" t="s">
        <v>449</v>
      </c>
      <c r="I12" s="60">
        <v>60</v>
      </c>
      <c r="J12" s="60" t="s">
        <v>449</v>
      </c>
      <c r="K12" s="59">
        <v>9</v>
      </c>
      <c r="L12" s="60">
        <v>349.83050847457628</v>
      </c>
      <c r="M12" s="60">
        <v>424.42976156276927</v>
      </c>
      <c r="N12" s="60">
        <v>262.37290000000002</v>
      </c>
      <c r="O12" s="60">
        <v>498.89112324044811</v>
      </c>
      <c r="P12" s="60">
        <v>384.81355932203388</v>
      </c>
      <c r="Q12" s="60">
        <v>383.47601264004595</v>
      </c>
      <c r="R12" s="60" t="s">
        <v>449</v>
      </c>
      <c r="S12" s="60" t="s">
        <v>449</v>
      </c>
      <c r="T12" s="60" t="s">
        <v>449</v>
      </c>
      <c r="U12" s="60">
        <v>10</v>
      </c>
      <c r="V12" s="60">
        <v>20</v>
      </c>
      <c r="W12" s="60">
        <v>42</v>
      </c>
      <c r="X12" s="60">
        <v>51.414352154260818</v>
      </c>
      <c r="Y12" s="160">
        <v>0.47</v>
      </c>
      <c r="Z12" s="59" t="s">
        <v>10</v>
      </c>
      <c r="AA12" s="59" t="s">
        <v>11</v>
      </c>
      <c r="AB12" s="99" t="s">
        <v>9</v>
      </c>
    </row>
    <row r="13" spans="1:28" ht="55.5" customHeight="1" thickBot="1">
      <c r="A13" s="119" t="s">
        <v>454</v>
      </c>
      <c r="B13" s="120" t="s">
        <v>328</v>
      </c>
      <c r="C13" s="103" t="s">
        <v>8</v>
      </c>
      <c r="D13" s="103" t="s">
        <v>30</v>
      </c>
      <c r="E13" s="104" t="s">
        <v>77</v>
      </c>
      <c r="F13" s="53" t="s">
        <v>449</v>
      </c>
      <c r="G13" s="104">
        <v>3600</v>
      </c>
      <c r="H13" s="38" t="s">
        <v>1</v>
      </c>
      <c r="I13" s="56">
        <v>60</v>
      </c>
      <c r="J13" s="56">
        <v>97</v>
      </c>
      <c r="K13" s="105">
        <v>1</v>
      </c>
      <c r="L13" s="106">
        <v>349.83050847457628</v>
      </c>
      <c r="M13" s="106">
        <v>424.42976156276927</v>
      </c>
      <c r="N13" s="106">
        <v>262.37288135593218</v>
      </c>
      <c r="O13" s="106">
        <v>498.89112324044811</v>
      </c>
      <c r="P13" s="106">
        <v>384.81355932203388</v>
      </c>
      <c r="Q13" s="106">
        <v>383.47601264004595</v>
      </c>
      <c r="R13" s="56" t="s">
        <v>449</v>
      </c>
      <c r="S13" s="56" t="s">
        <v>449</v>
      </c>
      <c r="T13" s="56" t="s">
        <v>449</v>
      </c>
      <c r="U13" s="60">
        <v>10</v>
      </c>
      <c r="V13" s="60">
        <v>20</v>
      </c>
      <c r="W13" s="60">
        <v>42</v>
      </c>
      <c r="X13" s="60">
        <v>51.414352154260818</v>
      </c>
      <c r="Y13" s="160">
        <v>0.47</v>
      </c>
      <c r="Z13" s="55" t="s">
        <v>10</v>
      </c>
      <c r="AA13" s="55" t="s">
        <v>11</v>
      </c>
      <c r="AB13" s="100" t="s">
        <v>9</v>
      </c>
    </row>
    <row r="14" spans="1:28" ht="28">
      <c r="F14" s="98" t="s">
        <v>563</v>
      </c>
      <c r="J14" s="82" t="s">
        <v>564</v>
      </c>
    </row>
  </sheetData>
  <mergeCells count="1">
    <mergeCell ref="B5:AA5"/>
  </mergeCell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Lookup!$F$11:$F$12</xm:f>
          </x14:formula1>
          <xm:sqref>G8:G13</xm:sqref>
        </x14:dataValidation>
        <x14:dataValidation type="list" allowBlank="1" showInputMessage="1" showErrorMessage="1">
          <x14:formula1>
            <xm:f>Lookup!$E$11:$E$20</xm:f>
          </x14:formula1>
          <xm:sqref>E8:E13</xm:sqref>
        </x14:dataValidation>
        <x14:dataValidation type="list" allowBlank="1" showInputMessage="1" showErrorMessage="1">
          <x14:formula1>
            <xm:f>Lookup!$N$11:$N$15</xm:f>
          </x14:formula1>
          <xm:sqref>B11:B12</xm:sqref>
        </x14:dataValidation>
        <x14:dataValidation type="list" allowBlank="1" showInputMessage="1" showErrorMessage="1">
          <x14:formula1>
            <xm:f>Lookup!$H$36:$H$38</xm:f>
          </x14:formula1>
          <xm:sqref>H8:H13</xm:sqref>
        </x14:dataValidation>
        <x14:dataValidation type="list" allowBlank="1" showInputMessage="1" showErrorMessage="1">
          <x14:formula1>
            <xm:f>Lookup!$H$25:$H$30</xm:f>
          </x14:formula1>
          <xm:sqref>F13 F8:F10</xm:sqref>
        </x14:dataValidation>
        <x14:dataValidation type="list" allowBlank="1" showInputMessage="1" showErrorMessage="1">
          <x14:formula1>
            <xm:f>Lookup!$H$26:$H$30</xm:f>
          </x14:formula1>
          <xm:sqref>F11:F12</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E8"/>
  <sheetViews>
    <sheetView topLeftCell="A2" zoomScale="80" zoomScaleNormal="80" zoomScalePageLayoutView="80" workbookViewId="0">
      <selection activeCell="G24" sqref="G24"/>
    </sheetView>
  </sheetViews>
  <sheetFormatPr baseColWidth="10" defaultColWidth="8.83203125" defaultRowHeight="14" x14ac:dyDescent="0"/>
  <cols>
    <col min="1" max="1" width="21.6640625" customWidth="1"/>
    <col min="2" max="2" width="28.1640625" customWidth="1"/>
    <col min="3" max="3" width="45.1640625" customWidth="1"/>
    <col min="4" max="5" width="21.33203125" customWidth="1"/>
    <col min="6" max="6" width="37.6640625" customWidth="1"/>
    <col min="7" max="7" width="15.33203125" customWidth="1"/>
    <col min="8" max="9" width="25.83203125" bestFit="1" customWidth="1"/>
    <col min="10" max="10" width="23.5" customWidth="1"/>
    <col min="11" max="11" width="18.83203125" customWidth="1"/>
    <col min="12" max="12" width="25.83203125" bestFit="1" customWidth="1"/>
    <col min="13" max="13" width="26.33203125" customWidth="1"/>
    <col min="14" max="14" width="25.83203125" bestFit="1" customWidth="1"/>
    <col min="15" max="15" width="18.33203125" customWidth="1"/>
    <col min="16" max="16" width="20.33203125" customWidth="1"/>
    <col min="17" max="17" width="21.83203125" customWidth="1"/>
    <col min="18" max="18" width="28.83203125" customWidth="1"/>
    <col min="19" max="19" width="29.83203125" customWidth="1"/>
    <col min="20" max="20" width="30.5" customWidth="1"/>
    <col min="21"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6.5" customWidth="1"/>
    <col min="37" max="37" width="15.5" customWidth="1"/>
    <col min="38" max="38" width="18.5" customWidth="1"/>
    <col min="39" max="39" width="17.5" customWidth="1"/>
    <col min="40" max="40" width="20.33203125" customWidth="1"/>
    <col min="41" max="41" width="17" customWidth="1"/>
    <col min="42" max="42" width="21.5" customWidth="1"/>
    <col min="43" max="43" width="19.1640625" customWidth="1"/>
    <col min="44" max="44" width="21.6640625" customWidth="1"/>
    <col min="45" max="45" width="19.33203125" customWidth="1"/>
    <col min="46" max="46" width="15" customWidth="1"/>
    <col min="47" max="47" width="31" customWidth="1"/>
    <col min="48" max="48" width="25.1640625" customWidth="1"/>
    <col min="49" max="49" width="17.5" customWidth="1"/>
    <col min="50" max="50" width="18.6640625" customWidth="1"/>
    <col min="51" max="51" width="27" customWidth="1"/>
    <col min="52" max="52" width="33.6640625" customWidth="1"/>
    <col min="53" max="53" width="35.1640625" customWidth="1"/>
    <col min="54" max="54" width="33.33203125" customWidth="1"/>
    <col min="55" max="55" width="31" customWidth="1"/>
    <col min="56" max="56" width="32.1640625" customWidth="1"/>
    <col min="57" max="57" width="32.83203125" bestFit="1" customWidth="1"/>
    <col min="58" max="59" width="31.33203125" bestFit="1" customWidth="1"/>
    <col min="60" max="60" width="33.5" customWidth="1"/>
    <col min="61" max="61" width="33.33203125" customWidth="1"/>
    <col min="62" max="62" width="35" style="22" customWidth="1"/>
    <col min="63" max="63" width="31" customWidth="1"/>
    <col min="64" max="64" width="34.83203125" customWidth="1"/>
    <col min="65" max="65" width="31.5" customWidth="1"/>
    <col min="66" max="66" width="20.5" customWidth="1"/>
    <col min="67" max="67" width="21.5" customWidth="1"/>
    <col min="68" max="69" width="22.1640625" bestFit="1" customWidth="1"/>
    <col min="70" max="70" width="22.5" customWidth="1"/>
    <col min="71" max="71" width="26.33203125" customWidth="1"/>
    <col min="72" max="72" width="22.33203125" customWidth="1"/>
    <col min="73" max="73" width="20.1640625" customWidth="1"/>
    <col min="74" max="74" width="18.83203125" customWidth="1"/>
    <col min="75" max="75" width="24.83203125" customWidth="1"/>
    <col min="76" max="76" width="21.5" customWidth="1"/>
    <col min="77" max="77" width="24.83203125" customWidth="1"/>
    <col min="78" max="78" width="23.5" customWidth="1"/>
    <col min="79" max="79" width="24.83203125" customWidth="1"/>
    <col min="80" max="80" width="22.6640625" customWidth="1"/>
    <col min="81" max="81" width="18.5" customWidth="1"/>
    <col min="82" max="82" width="18.83203125" customWidth="1"/>
    <col min="83" max="83" width="12.83203125" customWidth="1"/>
  </cols>
  <sheetData>
    <row r="3" spans="1:83" ht="15" thickBot="1"/>
    <row r="4" spans="1:83" ht="37" thickBot="1">
      <c r="A4" s="201" t="s">
        <v>612</v>
      </c>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3"/>
      <c r="BX4" s="170"/>
      <c r="BY4" s="170"/>
      <c r="BZ4" s="170"/>
      <c r="CA4" s="170"/>
      <c r="CB4" s="170"/>
      <c r="CC4" s="170"/>
      <c r="CD4" s="170"/>
      <c r="CE4" s="170"/>
    </row>
    <row r="5" spans="1:83" ht="32">
      <c r="A5" s="135"/>
      <c r="B5" s="134"/>
      <c r="C5" s="134"/>
      <c r="D5" s="134"/>
      <c r="E5" s="134"/>
      <c r="F5" s="134"/>
      <c r="G5" s="134"/>
      <c r="H5" s="134"/>
      <c r="I5" s="134" t="s">
        <v>356</v>
      </c>
      <c r="J5" s="134"/>
      <c r="K5" s="134" t="s">
        <v>544</v>
      </c>
      <c r="L5" s="134" t="s">
        <v>547</v>
      </c>
      <c r="M5" s="65" t="s">
        <v>441</v>
      </c>
      <c r="N5" s="159" t="s">
        <v>342</v>
      </c>
      <c r="O5" s="159" t="s">
        <v>343</v>
      </c>
      <c r="P5" s="68" t="s">
        <v>480</v>
      </c>
      <c r="Q5" s="68" t="s">
        <v>384</v>
      </c>
      <c r="R5" s="68" t="s">
        <v>380</v>
      </c>
      <c r="S5" s="159" t="s">
        <v>360</v>
      </c>
      <c r="T5" s="159" t="s">
        <v>368</v>
      </c>
      <c r="U5" s="159" t="s">
        <v>371</v>
      </c>
      <c r="V5" s="159" t="s">
        <v>374</v>
      </c>
      <c r="W5" s="159" t="s">
        <v>344</v>
      </c>
      <c r="X5" s="159" t="s">
        <v>573</v>
      </c>
      <c r="Y5" s="159" t="s">
        <v>574</v>
      </c>
      <c r="Z5" s="159" t="s">
        <v>575</v>
      </c>
      <c r="AA5" s="159" t="s">
        <v>497</v>
      </c>
      <c r="AB5" s="159" t="s">
        <v>498</v>
      </c>
      <c r="AC5" s="159" t="s">
        <v>579</v>
      </c>
      <c r="AD5" s="159" t="s">
        <v>580</v>
      </c>
      <c r="AE5" s="159" t="s">
        <v>431</v>
      </c>
      <c r="AF5" s="159" t="s">
        <v>432</v>
      </c>
      <c r="AG5" s="159" t="s">
        <v>433</v>
      </c>
      <c r="AH5" s="159" t="s">
        <v>584</v>
      </c>
      <c r="AI5" s="159" t="s">
        <v>586</v>
      </c>
      <c r="AJ5" s="159" t="s">
        <v>587</v>
      </c>
      <c r="AK5" s="159" t="s">
        <v>588</v>
      </c>
      <c r="AL5" s="159" t="s">
        <v>418</v>
      </c>
      <c r="AM5" s="159" t="s">
        <v>589</v>
      </c>
      <c r="AN5" s="159" t="s">
        <v>594</v>
      </c>
      <c r="AO5" s="159" t="s">
        <v>597</v>
      </c>
      <c r="AP5" s="159" t="s">
        <v>598</v>
      </c>
      <c r="AQ5" s="68" t="s">
        <v>419</v>
      </c>
      <c r="AR5" s="68" t="s">
        <v>428</v>
      </c>
      <c r="AS5" s="68" t="s">
        <v>427</v>
      </c>
      <c r="AT5" s="68" t="s">
        <v>446</v>
      </c>
      <c r="AU5" s="68" t="s">
        <v>604</v>
      </c>
      <c r="AV5" s="68" t="s">
        <v>605</v>
      </c>
      <c r="AW5" s="71" t="s">
        <v>413</v>
      </c>
      <c r="AX5" s="72" t="s">
        <v>414</v>
      </c>
      <c r="BJ5"/>
    </row>
    <row r="6" spans="1:83" s="18" customFormat="1" ht="70">
      <c r="A6" s="136" t="s">
        <v>459</v>
      </c>
      <c r="B6" s="127" t="s">
        <v>462</v>
      </c>
      <c r="C6" s="127" t="s">
        <v>615</v>
      </c>
      <c r="D6" s="127" t="s">
        <v>613</v>
      </c>
      <c r="E6" s="127" t="s">
        <v>529</v>
      </c>
      <c r="F6" s="127" t="s">
        <v>539</v>
      </c>
      <c r="G6" s="127" t="s">
        <v>569</v>
      </c>
      <c r="H6" s="127" t="s">
        <v>568</v>
      </c>
      <c r="I6" s="127" t="s">
        <v>478</v>
      </c>
      <c r="J6" s="127" t="s">
        <v>476</v>
      </c>
      <c r="K6" s="127" t="s">
        <v>477</v>
      </c>
      <c r="L6" s="127" t="s">
        <v>617</v>
      </c>
      <c r="M6" s="157" t="s">
        <v>618</v>
      </c>
      <c r="N6" s="127" t="s">
        <v>519</v>
      </c>
      <c r="O6" s="127" t="s">
        <v>520</v>
      </c>
      <c r="P6" s="157" t="s">
        <v>479</v>
      </c>
      <c r="Q6" s="127" t="s">
        <v>484</v>
      </c>
      <c r="R6" s="127" t="s">
        <v>485</v>
      </c>
      <c r="S6" s="54" t="s">
        <v>486</v>
      </c>
      <c r="T6" s="157" t="s">
        <v>487</v>
      </c>
      <c r="U6" s="157" t="s">
        <v>490</v>
      </c>
      <c r="V6" s="157" t="s">
        <v>337</v>
      </c>
      <c r="W6" s="127" t="s">
        <v>493</v>
      </c>
      <c r="X6" s="127" t="s">
        <v>494</v>
      </c>
      <c r="Y6" s="127" t="s">
        <v>571</v>
      </c>
      <c r="Z6" s="127" t="s">
        <v>572</v>
      </c>
      <c r="AA6" s="157" t="s">
        <v>512</v>
      </c>
      <c r="AB6" s="157" t="s">
        <v>513</v>
      </c>
      <c r="AC6" s="157" t="s">
        <v>581</v>
      </c>
      <c r="AD6" s="157" t="s">
        <v>582</v>
      </c>
      <c r="AE6" s="127" t="s">
        <v>576</v>
      </c>
      <c r="AF6" s="127" t="s">
        <v>577</v>
      </c>
      <c r="AG6" s="127" t="s">
        <v>578</v>
      </c>
      <c r="AH6" s="157" t="s">
        <v>585</v>
      </c>
      <c r="AI6" s="157" t="s">
        <v>591</v>
      </c>
      <c r="AJ6" s="157" t="s">
        <v>592</v>
      </c>
      <c r="AK6" s="157" t="s">
        <v>593</v>
      </c>
      <c r="AL6" s="127" t="s">
        <v>570</v>
      </c>
      <c r="AM6" s="157" t="s">
        <v>590</v>
      </c>
      <c r="AN6" s="157" t="s">
        <v>595</v>
      </c>
      <c r="AO6" s="157" t="s">
        <v>596</v>
      </c>
      <c r="AP6" s="157" t="s">
        <v>599</v>
      </c>
      <c r="AQ6" s="127" t="s">
        <v>600</v>
      </c>
      <c r="AR6" s="127" t="s">
        <v>601</v>
      </c>
      <c r="AS6" s="127" t="s">
        <v>602</v>
      </c>
      <c r="AT6" s="127" t="s">
        <v>603</v>
      </c>
      <c r="AU6" s="127" t="s">
        <v>516</v>
      </c>
      <c r="AV6" s="127" t="s">
        <v>518</v>
      </c>
      <c r="AW6" s="157" t="s">
        <v>314</v>
      </c>
      <c r="AX6" s="47" t="s">
        <v>315</v>
      </c>
    </row>
    <row r="7" spans="1:83" s="18" customFormat="1" ht="56">
      <c r="A7" s="137" t="s">
        <v>460</v>
      </c>
      <c r="B7" s="129" t="s">
        <v>9</v>
      </c>
      <c r="C7" s="131" t="str">
        <f>'Section V database'!E7</f>
        <v>Section V - Test Pump Efficiency of Bare Pump + Represented Nominal Full Load Motor Efficiency for Actual Motor Paired with Pump + Default Motor part Load Loss Curve</v>
      </c>
      <c r="D7" s="127" t="s">
        <v>449</v>
      </c>
      <c r="E7" s="127" t="s">
        <v>528</v>
      </c>
      <c r="F7" s="130" t="s">
        <v>616</v>
      </c>
      <c r="G7" s="129" t="s">
        <v>9</v>
      </c>
      <c r="H7" s="129" t="s">
        <v>9</v>
      </c>
      <c r="I7" s="131">
        <f>'Section V database'!H7</f>
        <v>3600</v>
      </c>
      <c r="J7" s="131" t="str">
        <f>'Section V database'!F7</f>
        <v>ESCC</v>
      </c>
      <c r="K7" s="132">
        <f>'Section V database'!W7</f>
        <v>0.78</v>
      </c>
      <c r="L7" s="131">
        <f>'Section V database'!L7</f>
        <v>60</v>
      </c>
      <c r="M7" s="131">
        <f>'Section V database'!J7</f>
        <v>97</v>
      </c>
      <c r="N7" s="39">
        <f>'Section V database'!N7</f>
        <v>349.83050847457628</v>
      </c>
      <c r="O7" s="39">
        <f>'Section V database'!O7</f>
        <v>424.42976156276927</v>
      </c>
      <c r="P7" s="131">
        <f>'Section V database'!B14</f>
        <v>51.414352154260818</v>
      </c>
      <c r="Q7" s="169">
        <f>'Section V database'!D14</f>
        <v>50.802904905565946</v>
      </c>
      <c r="R7" s="169">
        <f>'Section V database'!E14</f>
        <v>65.131929366110185</v>
      </c>
      <c r="S7" s="169">
        <f>'Section V database'!E20</f>
        <v>4.1025641025641022</v>
      </c>
      <c r="T7" s="158">
        <f>IF(P7/($L7+$S7)&gt;1,1,P7/($L7+$S7))</f>
        <v>0.80206389360646879</v>
      </c>
      <c r="U7" s="158">
        <f>-0.4508*T7^3+1.2399*T7^2+-0.4301*T7+0.641</f>
        <v>0.86106744881293196</v>
      </c>
      <c r="V7" s="158">
        <f>U7*$S$7</f>
        <v>3.5325844053863871</v>
      </c>
      <c r="W7" s="133">
        <f>P7-V7</f>
        <v>47.881767748874431</v>
      </c>
      <c r="X7" s="133">
        <f>((0.8*((0.75*$N$7)^3)/$N$7^3)+(0.2*(0.75*$N$7/$N$7)))*$W$7</f>
        <v>23.342361777576293</v>
      </c>
      <c r="Y7" s="133">
        <f>((0.8*((0.5*$N$7)^3)/$N$7^3)+(0.2*(0.5*$N$7/$N$7)))*$W$7</f>
        <v>9.5763535497748862</v>
      </c>
      <c r="Z7" s="133">
        <f>((0.8*((0.25*$N$7)^3)/$N$7^3)+(0.2*(0.25*$N$7/$N$7)))*$W$7</f>
        <v>2.9926104843046519</v>
      </c>
      <c r="AA7" s="158">
        <f>IF(W7/($L$7)&gt;1,1,W7/($L$7))</f>
        <v>0.79802946248124051</v>
      </c>
      <c r="AB7" s="158">
        <f t="shared" ref="AB7:AD7" si="0">IF(X7/($L$7)&gt;1,1,X7/($L$7))</f>
        <v>0.3890393629596049</v>
      </c>
      <c r="AC7" s="158">
        <f t="shared" si="0"/>
        <v>0.1596058924962481</v>
      </c>
      <c r="AD7" s="158">
        <f t="shared" si="0"/>
        <v>4.9876841405077532E-2</v>
      </c>
      <c r="AE7" s="169">
        <f>INDEX(Lookup!F58:F61,MATCH($L$7,Lookup!$D$58:$D$61,-1))</f>
        <v>-0.89139999999999997</v>
      </c>
      <c r="AF7" s="169">
        <f>INDEX(Lookup!G58:G61,MATCH($L$7,Lookup!$D$58:$D$61,-1))</f>
        <v>2.8845999999999998</v>
      </c>
      <c r="AG7" s="169">
        <f>INDEX(Lookup!H58:H61,MATCH($L$7,Lookup!$D$58:$D$61,-1))</f>
        <v>0.26250000000000001</v>
      </c>
      <c r="AH7" s="158">
        <f>$AE$7*AA7^2+$AF$7*AA7+$AG$7</f>
        <v>1.9968067855817959</v>
      </c>
      <c r="AI7" s="158">
        <f t="shared" ref="AI7:AK7" si="1">$AE$7*AB7^2+$AF$7*AB7+$AG$7</f>
        <v>1.2498081070374778</v>
      </c>
      <c r="AJ7" s="158">
        <f t="shared" si="1"/>
        <v>0.7001915974190136</v>
      </c>
      <c r="AK7" s="158">
        <f t="shared" si="1"/>
        <v>0.40415720155344764</v>
      </c>
      <c r="AL7" s="133">
        <f>(L7/(M7/100))-L7</f>
        <v>1.855670103092784</v>
      </c>
      <c r="AM7" s="158">
        <f>AH7*$AL7</f>
        <v>3.7054146536569421</v>
      </c>
      <c r="AN7" s="158">
        <f>AI7*$AL7</f>
        <v>2.3192315388324336</v>
      </c>
      <c r="AO7" s="158">
        <f>AJ7*$AL7</f>
        <v>1.2993246137672421</v>
      </c>
      <c r="AP7" s="158">
        <f>AK7*$AL7</f>
        <v>0.74998243587237723</v>
      </c>
      <c r="AQ7" s="158">
        <f>W7+AM7</f>
        <v>51.587182402531376</v>
      </c>
      <c r="AR7" s="158">
        <f>X7+AN7</f>
        <v>25.661593316408727</v>
      </c>
      <c r="AS7" s="158">
        <f>Y7+AO7</f>
        <v>10.875678163542128</v>
      </c>
      <c r="AT7" s="158">
        <f>Z7+AP7</f>
        <v>3.7425929201770289</v>
      </c>
      <c r="AU7" s="158">
        <f>0.25*SUM(AQ7:AT7)</f>
        <v>22.966761700664815</v>
      </c>
      <c r="AV7" s="158">
        <f>AU7/R7</f>
        <v>0.35261909057794638</v>
      </c>
      <c r="AW7" s="132">
        <f>'Section V database'!AR20</f>
        <v>1.0947245738409235</v>
      </c>
      <c r="AX7" s="63">
        <f>(AW7-AV7)*100</f>
        <v>74.210548326297712</v>
      </c>
    </row>
    <row r="8" spans="1:83" s="18" customFormat="1" ht="29" thickBot="1">
      <c r="A8" s="138" t="s">
        <v>461</v>
      </c>
      <c r="B8" s="139" t="s">
        <v>463</v>
      </c>
      <c r="C8" s="139" t="s">
        <v>543</v>
      </c>
      <c r="D8" s="139"/>
      <c r="E8" s="139"/>
      <c r="F8" s="139" t="s">
        <v>531</v>
      </c>
      <c r="G8" s="139"/>
      <c r="H8" s="139" t="s">
        <v>471</v>
      </c>
      <c r="I8" s="139" t="s">
        <v>543</v>
      </c>
      <c r="J8" s="139" t="s">
        <v>543</v>
      </c>
      <c r="K8" s="139" t="s">
        <v>543</v>
      </c>
      <c r="L8" s="139" t="s">
        <v>543</v>
      </c>
      <c r="M8" s="139" t="s">
        <v>543</v>
      </c>
      <c r="N8" s="139" t="s">
        <v>543</v>
      </c>
      <c r="O8" s="139" t="s">
        <v>543</v>
      </c>
      <c r="P8" s="139" t="s">
        <v>543</v>
      </c>
      <c r="Q8" s="139" t="s">
        <v>543</v>
      </c>
      <c r="R8" s="139" t="s">
        <v>543</v>
      </c>
      <c r="S8" s="139" t="s">
        <v>543</v>
      </c>
      <c r="T8" s="139" t="s">
        <v>299</v>
      </c>
      <c r="U8" s="139" t="s">
        <v>299</v>
      </c>
      <c r="V8" s="139" t="s">
        <v>299</v>
      </c>
      <c r="W8" s="139" t="s">
        <v>299</v>
      </c>
      <c r="X8" s="139" t="s">
        <v>299</v>
      </c>
      <c r="Y8" s="139" t="s">
        <v>299</v>
      </c>
      <c r="Z8" s="139" t="s">
        <v>299</v>
      </c>
      <c r="AA8" s="139" t="s">
        <v>299</v>
      </c>
      <c r="AB8" s="139" t="s">
        <v>299</v>
      </c>
      <c r="AC8" s="139" t="s">
        <v>299</v>
      </c>
      <c r="AD8" s="139" t="s">
        <v>299</v>
      </c>
      <c r="AE8" s="139" t="s">
        <v>583</v>
      </c>
      <c r="AF8" s="139" t="s">
        <v>583</v>
      </c>
      <c r="AG8" s="139" t="s">
        <v>583</v>
      </c>
      <c r="AH8" s="139" t="s">
        <v>299</v>
      </c>
      <c r="AI8" s="139" t="s">
        <v>299</v>
      </c>
      <c r="AJ8" s="139" t="s">
        <v>299</v>
      </c>
      <c r="AK8" s="139" t="s">
        <v>299</v>
      </c>
      <c r="AL8" s="139" t="s">
        <v>299</v>
      </c>
      <c r="AM8" s="139" t="s">
        <v>299</v>
      </c>
      <c r="AN8" s="139" t="s">
        <v>299</v>
      </c>
      <c r="AO8" s="139" t="s">
        <v>299</v>
      </c>
      <c r="AP8" s="139" t="s">
        <v>299</v>
      </c>
      <c r="AQ8" s="139" t="s">
        <v>299</v>
      </c>
      <c r="AR8" s="139" t="s">
        <v>299</v>
      </c>
      <c r="AS8" s="139" t="s">
        <v>299</v>
      </c>
      <c r="AT8" s="139" t="s">
        <v>299</v>
      </c>
      <c r="AU8" s="139" t="s">
        <v>299</v>
      </c>
      <c r="AV8" s="139" t="s">
        <v>299</v>
      </c>
      <c r="AW8" s="139" t="s">
        <v>543</v>
      </c>
      <c r="AX8" s="139" t="s">
        <v>299</v>
      </c>
    </row>
  </sheetData>
  <mergeCells count="1">
    <mergeCell ref="A4:BW4"/>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E8"/>
  <sheetViews>
    <sheetView topLeftCell="A2" zoomScale="80" zoomScaleNormal="80" zoomScalePageLayoutView="80" workbookViewId="0">
      <selection activeCell="F19" sqref="F19"/>
    </sheetView>
  </sheetViews>
  <sheetFormatPr baseColWidth="10" defaultColWidth="8.83203125" defaultRowHeight="14" x14ac:dyDescent="0"/>
  <cols>
    <col min="1" max="1" width="21.6640625" customWidth="1"/>
    <col min="2" max="2" width="28.1640625" customWidth="1"/>
    <col min="3" max="3" width="45.1640625" customWidth="1"/>
    <col min="4" max="5" width="21.33203125" customWidth="1"/>
    <col min="6" max="6" width="37.6640625" customWidth="1"/>
    <col min="7" max="7" width="15.33203125" customWidth="1"/>
    <col min="8" max="9" width="25.83203125" bestFit="1" customWidth="1"/>
    <col min="10" max="10" width="23.5" customWidth="1"/>
    <col min="11" max="11" width="18.83203125" customWidth="1"/>
    <col min="12" max="12" width="25.83203125" bestFit="1" customWidth="1"/>
    <col min="13" max="13" width="26.33203125" customWidth="1"/>
    <col min="14" max="14" width="25.83203125" bestFit="1" customWidth="1"/>
    <col min="15" max="15" width="18.33203125" customWidth="1"/>
    <col min="16" max="16" width="20.33203125" customWidth="1"/>
    <col min="17" max="17" width="19" customWidth="1"/>
    <col min="18" max="18" width="28.83203125" customWidth="1"/>
    <col min="19" max="19" width="29.83203125" customWidth="1"/>
    <col min="20" max="20" width="30.5" customWidth="1"/>
    <col min="21"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6.5" customWidth="1"/>
    <col min="37" max="37" width="15.5" customWidth="1"/>
    <col min="38" max="38" width="18.5" customWidth="1"/>
    <col min="39" max="39" width="17.5" customWidth="1"/>
    <col min="40" max="40" width="20.33203125" customWidth="1"/>
    <col min="41" max="41" width="17" customWidth="1"/>
    <col min="42" max="42" width="21.5" customWidth="1"/>
    <col min="43" max="43" width="19.1640625" customWidth="1"/>
    <col min="44" max="44" width="21.6640625" customWidth="1"/>
    <col min="45" max="45" width="19.33203125" customWidth="1"/>
    <col min="46" max="46" width="15" customWidth="1"/>
    <col min="47" max="47" width="31" customWidth="1"/>
    <col min="48" max="48" width="25.1640625" customWidth="1"/>
    <col min="49" max="49" width="17.5" customWidth="1"/>
    <col min="50" max="50" width="18.6640625" customWidth="1"/>
    <col min="51" max="51" width="27" customWidth="1"/>
    <col min="52" max="52" width="33.6640625" customWidth="1"/>
    <col min="53" max="53" width="35.1640625" customWidth="1"/>
    <col min="54" max="54" width="33.33203125" customWidth="1"/>
    <col min="55" max="55" width="31" customWidth="1"/>
    <col min="56" max="56" width="32.1640625" customWidth="1"/>
    <col min="57" max="57" width="32.83203125" bestFit="1" customWidth="1"/>
    <col min="58" max="59" width="31.33203125" bestFit="1" customWidth="1"/>
    <col min="60" max="60" width="33.5" customWidth="1"/>
    <col min="61" max="61" width="33.33203125" customWidth="1"/>
    <col min="62" max="62" width="35" style="22" customWidth="1"/>
    <col min="63" max="63" width="31" customWidth="1"/>
    <col min="64" max="64" width="34.83203125" customWidth="1"/>
    <col min="65" max="65" width="31.5" customWidth="1"/>
    <col min="66" max="66" width="20.5" customWidth="1"/>
    <col min="67" max="67" width="21.5" customWidth="1"/>
    <col min="68" max="69" width="22.1640625" bestFit="1" customWidth="1"/>
    <col min="70" max="70" width="22.5" customWidth="1"/>
    <col min="71" max="71" width="26.33203125" customWidth="1"/>
    <col min="72" max="72" width="22.33203125" customWidth="1"/>
    <col min="73" max="73" width="20.1640625" customWidth="1"/>
    <col min="74" max="74" width="18.83203125" customWidth="1"/>
    <col min="75" max="75" width="24.83203125" customWidth="1"/>
    <col min="76" max="76" width="21.5" customWidth="1"/>
    <col min="77" max="77" width="24.83203125" customWidth="1"/>
    <col min="78" max="78" width="23.5" customWidth="1"/>
    <col min="79" max="79" width="24.83203125" customWidth="1"/>
    <col min="80" max="80" width="22.6640625" customWidth="1"/>
    <col min="81" max="81" width="18.5" customWidth="1"/>
    <col min="82" max="82" width="18.83203125" customWidth="1"/>
    <col min="83" max="83" width="12.83203125" customWidth="1"/>
  </cols>
  <sheetData>
    <row r="3" spans="1:83" ht="15" thickBot="1"/>
    <row r="4" spans="1:83" ht="37" thickBot="1">
      <c r="A4" s="201" t="s">
        <v>612</v>
      </c>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3"/>
      <c r="BX4" s="170"/>
      <c r="BY4" s="170"/>
      <c r="BZ4" s="170"/>
      <c r="CA4" s="170"/>
      <c r="CB4" s="170"/>
      <c r="CC4" s="170"/>
      <c r="CD4" s="170"/>
      <c r="CE4" s="170"/>
    </row>
    <row r="5" spans="1:83" ht="64">
      <c r="A5" s="135"/>
      <c r="B5" s="134"/>
      <c r="C5" s="134"/>
      <c r="D5" s="134"/>
      <c r="E5" s="134"/>
      <c r="F5" s="134"/>
      <c r="G5" s="134"/>
      <c r="H5" s="134"/>
      <c r="I5" s="134" t="s">
        <v>356</v>
      </c>
      <c r="J5" s="134"/>
      <c r="K5" s="134" t="s">
        <v>544</v>
      </c>
      <c r="L5" s="134" t="s">
        <v>547</v>
      </c>
      <c r="M5" s="65" t="s">
        <v>622</v>
      </c>
      <c r="N5" s="159" t="s">
        <v>342</v>
      </c>
      <c r="O5" s="159" t="s">
        <v>343</v>
      </c>
      <c r="P5" s="68" t="s">
        <v>480</v>
      </c>
      <c r="Q5" s="68" t="s">
        <v>384</v>
      </c>
      <c r="R5" s="68" t="s">
        <v>380</v>
      </c>
      <c r="S5" s="159" t="s">
        <v>360</v>
      </c>
      <c r="T5" s="159" t="s">
        <v>368</v>
      </c>
      <c r="U5" s="159" t="s">
        <v>371</v>
      </c>
      <c r="V5" s="159" t="s">
        <v>374</v>
      </c>
      <c r="W5" s="159" t="s">
        <v>344</v>
      </c>
      <c r="X5" s="159" t="s">
        <v>573</v>
      </c>
      <c r="Y5" s="159" t="s">
        <v>574</v>
      </c>
      <c r="Z5" s="159" t="s">
        <v>575</v>
      </c>
      <c r="AA5" s="159" t="s">
        <v>497</v>
      </c>
      <c r="AB5" s="159" t="s">
        <v>498</v>
      </c>
      <c r="AC5" s="159" t="s">
        <v>579</v>
      </c>
      <c r="AD5" s="159" t="s">
        <v>580</v>
      </c>
      <c r="AE5" s="159" t="s">
        <v>431</v>
      </c>
      <c r="AF5" s="159" t="s">
        <v>432</v>
      </c>
      <c r="AG5" s="159" t="s">
        <v>433</v>
      </c>
      <c r="AH5" s="159" t="s">
        <v>584</v>
      </c>
      <c r="AI5" s="159" t="s">
        <v>586</v>
      </c>
      <c r="AJ5" s="159" t="s">
        <v>587</v>
      </c>
      <c r="AK5" s="159" t="s">
        <v>588</v>
      </c>
      <c r="AL5" s="159" t="s">
        <v>418</v>
      </c>
      <c r="AM5" s="159" t="s">
        <v>589</v>
      </c>
      <c r="AN5" s="159" t="s">
        <v>594</v>
      </c>
      <c r="AO5" s="159" t="s">
        <v>597</v>
      </c>
      <c r="AP5" s="159" t="s">
        <v>598</v>
      </c>
      <c r="AQ5" s="68" t="s">
        <v>419</v>
      </c>
      <c r="AR5" s="68" t="s">
        <v>428</v>
      </c>
      <c r="AS5" s="68" t="s">
        <v>427</v>
      </c>
      <c r="AT5" s="68" t="s">
        <v>446</v>
      </c>
      <c r="AU5" s="68" t="s">
        <v>604</v>
      </c>
      <c r="AV5" s="68" t="s">
        <v>605</v>
      </c>
      <c r="AW5" s="71" t="s">
        <v>413</v>
      </c>
      <c r="AX5" s="72" t="s">
        <v>414</v>
      </c>
      <c r="BJ5"/>
    </row>
    <row r="6" spans="1:83" s="18" customFormat="1" ht="70">
      <c r="A6" s="136" t="s">
        <v>459</v>
      </c>
      <c r="B6" s="127" t="s">
        <v>462</v>
      </c>
      <c r="C6" s="127" t="s">
        <v>615</v>
      </c>
      <c r="D6" s="127" t="s">
        <v>613</v>
      </c>
      <c r="E6" s="127" t="s">
        <v>529</v>
      </c>
      <c r="F6" s="127" t="s">
        <v>539</v>
      </c>
      <c r="G6" s="127" t="s">
        <v>569</v>
      </c>
      <c r="H6" s="127" t="s">
        <v>568</v>
      </c>
      <c r="I6" s="127" t="s">
        <v>478</v>
      </c>
      <c r="J6" s="127" t="s">
        <v>476</v>
      </c>
      <c r="K6" s="127" t="s">
        <v>477</v>
      </c>
      <c r="L6" s="127" t="s">
        <v>617</v>
      </c>
      <c r="M6" s="157" t="str">
        <f>IF('Section IV database'!I7="yes",'Section IV database'!J5,'Section IV database'!D18)</f>
        <v>ηmotor,full</v>
      </c>
      <c r="N6" s="127" t="s">
        <v>519</v>
      </c>
      <c r="O6" s="127" t="s">
        <v>520</v>
      </c>
      <c r="P6" s="157" t="s">
        <v>479</v>
      </c>
      <c r="Q6" s="127" t="s">
        <v>484</v>
      </c>
      <c r="R6" s="127" t="s">
        <v>485</v>
      </c>
      <c r="S6" s="54" t="s">
        <v>486</v>
      </c>
      <c r="T6" s="157" t="s">
        <v>487</v>
      </c>
      <c r="U6" s="157" t="s">
        <v>490</v>
      </c>
      <c r="V6" s="157" t="s">
        <v>337</v>
      </c>
      <c r="W6" s="127" t="s">
        <v>493</v>
      </c>
      <c r="X6" s="127" t="s">
        <v>494</v>
      </c>
      <c r="Y6" s="127" t="s">
        <v>571</v>
      </c>
      <c r="Z6" s="127" t="s">
        <v>572</v>
      </c>
      <c r="AA6" s="157" t="s">
        <v>512</v>
      </c>
      <c r="AB6" s="157" t="s">
        <v>513</v>
      </c>
      <c r="AC6" s="157" t="s">
        <v>581</v>
      </c>
      <c r="AD6" s="157" t="s">
        <v>582</v>
      </c>
      <c r="AE6" s="127" t="s">
        <v>576</v>
      </c>
      <c r="AF6" s="127" t="s">
        <v>577</v>
      </c>
      <c r="AG6" s="127" t="s">
        <v>578</v>
      </c>
      <c r="AH6" s="157" t="s">
        <v>585</v>
      </c>
      <c r="AI6" s="157" t="s">
        <v>591</v>
      </c>
      <c r="AJ6" s="157" t="s">
        <v>592</v>
      </c>
      <c r="AK6" s="157" t="s">
        <v>593</v>
      </c>
      <c r="AL6" s="127" t="s">
        <v>570</v>
      </c>
      <c r="AM6" s="157" t="s">
        <v>590</v>
      </c>
      <c r="AN6" s="157" t="s">
        <v>595</v>
      </c>
      <c r="AO6" s="157" t="s">
        <v>596</v>
      </c>
      <c r="AP6" s="157" t="s">
        <v>599</v>
      </c>
      <c r="AQ6" s="127" t="s">
        <v>600</v>
      </c>
      <c r="AR6" s="127" t="s">
        <v>601</v>
      </c>
      <c r="AS6" s="127" t="s">
        <v>602</v>
      </c>
      <c r="AT6" s="127" t="s">
        <v>603</v>
      </c>
      <c r="AU6" s="127" t="s">
        <v>516</v>
      </c>
      <c r="AV6" s="127" t="s">
        <v>518</v>
      </c>
      <c r="AW6" s="157" t="s">
        <v>314</v>
      </c>
      <c r="AX6" s="47" t="s">
        <v>315</v>
      </c>
    </row>
    <row r="7" spans="1:83" s="18" customFormat="1" ht="42">
      <c r="A7" s="137" t="s">
        <v>460</v>
      </c>
      <c r="B7" s="129" t="s">
        <v>9</v>
      </c>
      <c r="C7" s="131" t="str">
        <f>'Section IV database'!E7</f>
        <v>Section IV - Pump + Motor Tested Wire-to-Water Performance</v>
      </c>
      <c r="D7" s="127" t="s">
        <v>449</v>
      </c>
      <c r="E7" s="127" t="s">
        <v>528</v>
      </c>
      <c r="F7" s="130" t="s">
        <v>623</v>
      </c>
      <c r="G7" s="129" t="s">
        <v>9</v>
      </c>
      <c r="H7" s="129" t="s">
        <v>9</v>
      </c>
      <c r="I7" s="131">
        <f>'Section IV database'!H7</f>
        <v>3600</v>
      </c>
      <c r="J7" s="131" t="str">
        <f>'Section IV database'!F7</f>
        <v>RSV</v>
      </c>
      <c r="K7" s="132">
        <f>'Section IV database'!W7</f>
        <v>0.9</v>
      </c>
      <c r="L7" s="131">
        <f>'Section IV database'!L7</f>
        <v>60</v>
      </c>
      <c r="M7" s="131">
        <f>IF('Section IV database'!I7="yes",'Section IV database'!J7,'Section IV database'!D20)</f>
        <v>93.6</v>
      </c>
      <c r="N7" s="39">
        <f>'Section IV database'!N7</f>
        <v>349.83050847457628</v>
      </c>
      <c r="O7" s="39">
        <f>'Section IV database'!O7</f>
        <v>424.42976156276927</v>
      </c>
      <c r="P7" s="131">
        <f>'Section IV database'!B14</f>
        <v>51.414352154260818</v>
      </c>
      <c r="Q7" s="169">
        <f>'Section IV database'!D14</f>
        <v>50.802904905565946</v>
      </c>
      <c r="R7" s="169">
        <f>'Section IV database'!E14</f>
        <v>56.447672117295497</v>
      </c>
      <c r="S7" s="169">
        <f>'Section IV database'!E20</f>
        <v>4.1025641025641022</v>
      </c>
      <c r="T7" s="158">
        <f>IF(P7/($L7+$S7)&gt;1,1,P7/($L7+$S7))</f>
        <v>0.80206389360646879</v>
      </c>
      <c r="U7" s="158">
        <f>-0.4508*T7^3+1.2399*T7^2+-0.4301*T7+0.641</f>
        <v>0.86106744881293196</v>
      </c>
      <c r="V7" s="158">
        <f>U7*$S$7</f>
        <v>3.5325844053863871</v>
      </c>
      <c r="W7" s="133">
        <f>P7-V7</f>
        <v>47.881767748874431</v>
      </c>
      <c r="X7" s="133">
        <f>((0.8*((0.75*$N$7)^3)/$N$7^3)+(0.2*(0.75*$N$7/$N$7)))*$W$7</f>
        <v>23.342361777576293</v>
      </c>
      <c r="Y7" s="133">
        <f>((0.8*((0.5*$N$7)^3)/$N$7^3)+(0.2*(0.5*$N$7/$N$7)))*$W$7</f>
        <v>9.5763535497748862</v>
      </c>
      <c r="Z7" s="133">
        <f>((0.8*((0.25*$N$7)^3)/$N$7^3)+(0.2*(0.25*$N$7/$N$7)))*$W$7</f>
        <v>2.9926104843046519</v>
      </c>
      <c r="AA7" s="158">
        <f>IF(W7/($L$7)&gt;1,1,W7/($L$7))</f>
        <v>0.79802946248124051</v>
      </c>
      <c r="AB7" s="158">
        <f t="shared" ref="AB7:AD7" si="0">IF(X7/($L$7)&gt;1,1,X7/($L$7))</f>
        <v>0.3890393629596049</v>
      </c>
      <c r="AC7" s="158">
        <f t="shared" si="0"/>
        <v>0.1596058924962481</v>
      </c>
      <c r="AD7" s="158">
        <f t="shared" si="0"/>
        <v>4.9876841405077532E-2</v>
      </c>
      <c r="AE7" s="169">
        <f>INDEX(Lookup!F58:F61,MATCH($L$7,Lookup!$D$58:$D$61,-1))</f>
        <v>-0.89139999999999997</v>
      </c>
      <c r="AF7" s="169">
        <f>INDEX(Lookup!G58:G61,MATCH($L$7,Lookup!$D$58:$D$61,-1))</f>
        <v>2.8845999999999998</v>
      </c>
      <c r="AG7" s="169">
        <f>INDEX(Lookup!H58:H61,MATCH($L$7,Lookup!$D$58:$D$61,-1))</f>
        <v>0.26250000000000001</v>
      </c>
      <c r="AH7" s="158">
        <f>$AE$7*AA7^2+$AF$7*AA7+$AG$7</f>
        <v>1.9968067855817959</v>
      </c>
      <c r="AI7" s="158">
        <f t="shared" ref="AI7:AK7" si="1">$AE$7*AB7^2+$AF$7*AB7+$AG$7</f>
        <v>1.2498081070374778</v>
      </c>
      <c r="AJ7" s="158">
        <f t="shared" si="1"/>
        <v>0.7001915974190136</v>
      </c>
      <c r="AK7" s="158">
        <f t="shared" si="1"/>
        <v>0.40415720155344764</v>
      </c>
      <c r="AL7" s="133">
        <f>(L7/(M7/100))-L7</f>
        <v>4.1025641025641022</v>
      </c>
      <c r="AM7" s="158">
        <f>AH7*$AL7</f>
        <v>8.1920278382842895</v>
      </c>
      <c r="AN7" s="158">
        <f>AI7*$AL7</f>
        <v>5.1274178750255492</v>
      </c>
      <c r="AO7" s="158">
        <f>AJ7*$AL7</f>
        <v>2.8725809124882606</v>
      </c>
      <c r="AP7" s="158">
        <f>AK7*$AL7</f>
        <v>1.6580808268859388</v>
      </c>
      <c r="AQ7" s="158">
        <f>W7+AM7</f>
        <v>56.07379558715872</v>
      </c>
      <c r="AR7" s="158">
        <f>X7+AN7</f>
        <v>28.469779652601844</v>
      </c>
      <c r="AS7" s="158">
        <f>Y7+AO7</f>
        <v>12.448934462263146</v>
      </c>
      <c r="AT7" s="158">
        <f>Z7+AP7</f>
        <v>4.6506913111905908</v>
      </c>
      <c r="AU7" s="158">
        <f>0.25*SUM(AQ7:AT7)</f>
        <v>25.410800253303574</v>
      </c>
      <c r="AV7" s="158">
        <f>AU7/R7</f>
        <v>0.45016560116954296</v>
      </c>
      <c r="AW7" s="132">
        <f>'Section IV database'!AR20</f>
        <v>1</v>
      </c>
      <c r="AX7" s="63">
        <f>(AW7-AV7)*100</f>
        <v>54.983439883045705</v>
      </c>
    </row>
    <row r="8" spans="1:83" s="18" customFormat="1" ht="29" thickBot="1">
      <c r="A8" s="138" t="s">
        <v>461</v>
      </c>
      <c r="B8" s="139" t="s">
        <v>463</v>
      </c>
      <c r="C8" s="139" t="s">
        <v>543</v>
      </c>
      <c r="D8" s="139"/>
      <c r="E8" s="139"/>
      <c r="F8" s="139" t="s">
        <v>531</v>
      </c>
      <c r="G8" s="139"/>
      <c r="H8" s="139" t="s">
        <v>471</v>
      </c>
      <c r="I8" s="139" t="s">
        <v>543</v>
      </c>
      <c r="J8" s="139" t="s">
        <v>543</v>
      </c>
      <c r="K8" s="139" t="s">
        <v>543</v>
      </c>
      <c r="L8" s="139" t="s">
        <v>543</v>
      </c>
      <c r="M8" s="139" t="s">
        <v>543</v>
      </c>
      <c r="N8" s="139" t="s">
        <v>543</v>
      </c>
      <c r="O8" s="139" t="s">
        <v>543</v>
      </c>
      <c r="P8" s="139" t="s">
        <v>543</v>
      </c>
      <c r="Q8" s="139" t="s">
        <v>543</v>
      </c>
      <c r="R8" s="139" t="s">
        <v>543</v>
      </c>
      <c r="S8" s="139" t="s">
        <v>543</v>
      </c>
      <c r="T8" s="139" t="s">
        <v>299</v>
      </c>
      <c r="U8" s="139" t="s">
        <v>299</v>
      </c>
      <c r="V8" s="139" t="s">
        <v>299</v>
      </c>
      <c r="W8" s="139" t="s">
        <v>299</v>
      </c>
      <c r="X8" s="139" t="s">
        <v>299</v>
      </c>
      <c r="Y8" s="139" t="s">
        <v>299</v>
      </c>
      <c r="Z8" s="139" t="s">
        <v>299</v>
      </c>
      <c r="AA8" s="139" t="s">
        <v>299</v>
      </c>
      <c r="AB8" s="139" t="s">
        <v>299</v>
      </c>
      <c r="AC8" s="139" t="s">
        <v>299</v>
      </c>
      <c r="AD8" s="139" t="s">
        <v>299</v>
      </c>
      <c r="AE8" s="139" t="s">
        <v>583</v>
      </c>
      <c r="AF8" s="139" t="s">
        <v>583</v>
      </c>
      <c r="AG8" s="139" t="s">
        <v>583</v>
      </c>
      <c r="AH8" s="139" t="s">
        <v>299</v>
      </c>
      <c r="AI8" s="139" t="s">
        <v>299</v>
      </c>
      <c r="AJ8" s="139" t="s">
        <v>299</v>
      </c>
      <c r="AK8" s="139" t="s">
        <v>299</v>
      </c>
      <c r="AL8" s="139" t="s">
        <v>299</v>
      </c>
      <c r="AM8" s="139" t="s">
        <v>299</v>
      </c>
      <c r="AN8" s="139" t="s">
        <v>299</v>
      </c>
      <c r="AO8" s="139" t="s">
        <v>299</v>
      </c>
      <c r="AP8" s="139" t="s">
        <v>299</v>
      </c>
      <c r="AQ8" s="139" t="s">
        <v>299</v>
      </c>
      <c r="AR8" s="139" t="s">
        <v>299</v>
      </c>
      <c r="AS8" s="139" t="s">
        <v>299</v>
      </c>
      <c r="AT8" s="139" t="s">
        <v>299</v>
      </c>
      <c r="AU8" s="139" t="s">
        <v>299</v>
      </c>
      <c r="AV8" s="139" t="s">
        <v>299</v>
      </c>
      <c r="AW8" s="139" t="s">
        <v>543</v>
      </c>
      <c r="AX8" s="139" t="s">
        <v>299</v>
      </c>
    </row>
  </sheetData>
  <mergeCells count="1">
    <mergeCell ref="A4:BW4"/>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I21" workbookViewId="0">
      <selection activeCell="P28" sqref="P28"/>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416</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449</v>
      </c>
      <c r="N25" s="216" t="s">
        <v>2</v>
      </c>
      <c r="O25" s="209" t="s">
        <v>94</v>
      </c>
      <c r="P25" s="210"/>
      <c r="U25" s="217" t="s">
        <v>335</v>
      </c>
      <c r="V25" s="218"/>
      <c r="W25" s="219"/>
      <c r="Y25" s="204"/>
      <c r="Z25" s="205"/>
      <c r="AA25" s="206"/>
      <c r="AB25" s="8"/>
      <c r="AD25" t="s">
        <v>68</v>
      </c>
    </row>
    <row r="26" spans="3:32" ht="45" customHeight="1" thickBot="1">
      <c r="H26">
        <v>1</v>
      </c>
      <c r="N26" s="216"/>
      <c r="O26" s="2" t="s">
        <v>92</v>
      </c>
      <c r="P26" s="3" t="s">
        <v>93</v>
      </c>
      <c r="U26" s="220" t="s">
        <v>39</v>
      </c>
      <c r="V26" s="222" t="s">
        <v>40</v>
      </c>
      <c r="W26" s="223"/>
      <c r="Y26" s="9"/>
      <c r="Z26" s="207"/>
      <c r="AA26" s="208"/>
      <c r="AB26" s="8"/>
      <c r="AD26" t="s">
        <v>69</v>
      </c>
    </row>
    <row r="27" spans="3:32" ht="32.25" customHeight="1" thickBot="1">
      <c r="E27">
        <v>250</v>
      </c>
      <c r="G27">
        <v>1</v>
      </c>
      <c r="H27">
        <v>2</v>
      </c>
      <c r="N27" t="s">
        <v>79</v>
      </c>
      <c r="O27" s="2">
        <v>134.43</v>
      </c>
      <c r="P27" s="4">
        <v>128.47</v>
      </c>
      <c r="U27" s="221"/>
      <c r="V27" s="6" t="s">
        <v>41</v>
      </c>
      <c r="W27" s="6" t="s">
        <v>42</v>
      </c>
      <c r="Y27" s="10"/>
      <c r="Z27" s="11"/>
      <c r="AA27" s="6"/>
      <c r="AB27" s="8"/>
      <c r="AE27" t="s">
        <v>70</v>
      </c>
      <c r="AF27" t="s">
        <v>71</v>
      </c>
    </row>
    <row r="28" spans="3:32" ht="17" thickBot="1">
      <c r="E28" s="5">
        <v>200</v>
      </c>
      <c r="G28">
        <v>1.5</v>
      </c>
      <c r="H28">
        <v>3</v>
      </c>
      <c r="N28" t="s">
        <v>80</v>
      </c>
      <c r="O28" s="2">
        <v>135.94</v>
      </c>
      <c r="P28" s="4">
        <v>130.41999999999999</v>
      </c>
      <c r="S28" t="str">
        <f>CONCATENATE("""", U28,""":", V28, ", ")</f>
        <v xml:space="preserve">"ESCC-250-1800":95.8, </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S29" t="str">
        <f t="shared" ref="S29:S92" si="0">CONCATENATE("""", U29,""":", V29, ", ")</f>
        <v xml:space="preserve">"ESCC-200-1800":95.8, </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S30" t="str">
        <f t="shared" si="0"/>
        <v xml:space="preserve">"ESCC-150-1800":95.8, </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S31" t="str">
        <f t="shared" si="0"/>
        <v xml:space="preserve">"ESCC-125-1800":95.4, </v>
      </c>
      <c r="U31" s="5" t="s">
        <v>100</v>
      </c>
      <c r="V31" s="7">
        <v>95.4</v>
      </c>
      <c r="W31" s="7">
        <v>94.1</v>
      </c>
      <c r="Y31" s="5"/>
      <c r="Z31" s="14"/>
      <c r="AA31" s="14"/>
      <c r="AB31" s="8"/>
      <c r="AD31">
        <v>3</v>
      </c>
      <c r="AE31">
        <v>85.5</v>
      </c>
      <c r="AF31">
        <v>89.5</v>
      </c>
    </row>
    <row r="32" spans="3:32" ht="17" thickBot="1">
      <c r="E32" s="5">
        <v>75</v>
      </c>
      <c r="G32">
        <v>7.5</v>
      </c>
      <c r="N32" t="s">
        <v>84</v>
      </c>
      <c r="O32" s="2">
        <v>141.01</v>
      </c>
      <c r="P32" s="4">
        <v>133.84</v>
      </c>
      <c r="S32" t="str">
        <f t="shared" si="0"/>
        <v xml:space="preserve">"ESCC-100-1800":95.4, </v>
      </c>
      <c r="U32" s="5" t="s">
        <v>101</v>
      </c>
      <c r="V32" s="7">
        <v>95.4</v>
      </c>
      <c r="W32" s="7">
        <v>93.6</v>
      </c>
      <c r="Y32" s="5"/>
      <c r="Z32" s="14"/>
      <c r="AA32" s="14"/>
      <c r="AB32" s="8"/>
      <c r="AD32">
        <v>5</v>
      </c>
      <c r="AE32">
        <v>86.5</v>
      </c>
      <c r="AF32">
        <v>89.5</v>
      </c>
    </row>
    <row r="33" spans="5:32" ht="17" thickBot="1">
      <c r="E33" s="5">
        <v>60</v>
      </c>
      <c r="G33">
        <v>10</v>
      </c>
      <c r="N33" t="s">
        <v>85</v>
      </c>
      <c r="O33" s="4">
        <v>129.63</v>
      </c>
      <c r="P33" s="4">
        <v>129.63</v>
      </c>
      <c r="S33" t="str">
        <f t="shared" si="0"/>
        <v xml:space="preserve">"ESCC-75-1800":95, </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S34" t="str">
        <f t="shared" si="0"/>
        <v xml:space="preserve">"ESCC-60-1800":95, </v>
      </c>
      <c r="U34" s="5" t="s">
        <v>103</v>
      </c>
      <c r="V34" s="7">
        <v>95</v>
      </c>
      <c r="W34" s="7">
        <v>93.6</v>
      </c>
      <c r="Y34" s="5"/>
      <c r="Z34" s="14"/>
      <c r="AA34" s="14"/>
      <c r="AB34" s="8"/>
      <c r="AD34">
        <v>10</v>
      </c>
      <c r="AE34">
        <v>89.5</v>
      </c>
      <c r="AF34">
        <v>91.7</v>
      </c>
    </row>
    <row r="35" spans="5:32" ht="17" thickBot="1">
      <c r="E35" s="5">
        <v>40</v>
      </c>
      <c r="G35">
        <v>20</v>
      </c>
      <c r="N35" t="s">
        <v>87</v>
      </c>
      <c r="O35" s="4">
        <v>138.78</v>
      </c>
      <c r="P35" s="4">
        <v>138.78</v>
      </c>
      <c r="S35" t="str">
        <f t="shared" si="0"/>
        <v xml:space="preserve">"ESCC-50-1800":94.5, </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S36" t="str">
        <f t="shared" si="0"/>
        <v xml:space="preserve">"ESCC-40-1800":94.1, </v>
      </c>
      <c r="U36" s="5" t="s">
        <v>105</v>
      </c>
      <c r="V36" s="7">
        <v>94.1</v>
      </c>
      <c r="W36" s="7">
        <v>92.4</v>
      </c>
      <c r="Y36" s="5"/>
      <c r="Z36" s="14"/>
      <c r="AA36" s="14"/>
      <c r="AB36" s="8"/>
      <c r="AD36">
        <v>20</v>
      </c>
      <c r="AE36">
        <v>91</v>
      </c>
      <c r="AF36">
        <v>93</v>
      </c>
    </row>
    <row r="37" spans="5:32" ht="16" thickBot="1">
      <c r="E37" s="5">
        <v>25</v>
      </c>
      <c r="G37">
        <v>30</v>
      </c>
      <c r="H37" t="s">
        <v>45</v>
      </c>
      <c r="S37" t="str">
        <f t="shared" si="0"/>
        <v xml:space="preserve">"ESCC-30-1800":93.6, </v>
      </c>
      <c r="U37" s="5" t="s">
        <v>106</v>
      </c>
      <c r="V37" s="7">
        <v>93.6</v>
      </c>
      <c r="W37" s="7">
        <v>91.7</v>
      </c>
      <c r="Y37" s="5"/>
      <c r="Z37" s="14"/>
      <c r="AA37" s="14"/>
      <c r="AB37" s="8"/>
      <c r="AD37">
        <v>25</v>
      </c>
      <c r="AE37">
        <v>91.7</v>
      </c>
      <c r="AF37">
        <v>93.6</v>
      </c>
    </row>
    <row r="38" spans="5:32" ht="16" thickBot="1">
      <c r="E38" s="5">
        <v>20</v>
      </c>
      <c r="G38">
        <v>40</v>
      </c>
      <c r="H38" t="s">
        <v>449</v>
      </c>
      <c r="S38" t="str">
        <f t="shared" si="0"/>
        <v xml:space="preserve">"ESCC-25-1800":93.6, </v>
      </c>
      <c r="U38" s="5" t="s">
        <v>107</v>
      </c>
      <c r="V38" s="7">
        <v>93.6</v>
      </c>
      <c r="W38" s="7">
        <v>91.7</v>
      </c>
      <c r="Y38" s="5"/>
      <c r="Z38" s="14"/>
      <c r="AA38" s="14"/>
      <c r="AB38" s="8"/>
      <c r="AD38">
        <v>30</v>
      </c>
      <c r="AE38">
        <v>91.7</v>
      </c>
      <c r="AF38">
        <v>93.6</v>
      </c>
    </row>
    <row r="39" spans="5:32" ht="16" thickBot="1">
      <c r="E39" s="5">
        <v>15</v>
      </c>
      <c r="G39">
        <v>50</v>
      </c>
      <c r="S39" t="str">
        <f t="shared" si="0"/>
        <v xml:space="preserve">"ESCC-20-1800":93, </v>
      </c>
      <c r="U39" s="5" t="s">
        <v>108</v>
      </c>
      <c r="V39" s="7">
        <v>93</v>
      </c>
      <c r="W39" s="7">
        <v>91</v>
      </c>
      <c r="Y39" s="5"/>
      <c r="Z39" s="14"/>
      <c r="AA39" s="14"/>
      <c r="AB39" s="8"/>
      <c r="AD39">
        <v>40</v>
      </c>
      <c r="AE39">
        <v>92.4</v>
      </c>
      <c r="AF39">
        <v>94.1</v>
      </c>
    </row>
    <row r="40" spans="5:32" ht="16" thickBot="1">
      <c r="E40" s="5">
        <v>10</v>
      </c>
      <c r="G40">
        <v>60</v>
      </c>
      <c r="S40" t="str">
        <f t="shared" si="0"/>
        <v xml:space="preserve">"ESCC-15-1800":92.4, </v>
      </c>
      <c r="U40" s="5" t="s">
        <v>109</v>
      </c>
      <c r="V40" s="7">
        <v>92.4</v>
      </c>
      <c r="W40" s="7">
        <v>90.2</v>
      </c>
      <c r="Y40" s="5"/>
      <c r="Z40" s="14"/>
      <c r="AA40" s="14"/>
      <c r="AB40" s="8"/>
      <c r="AD40">
        <v>50</v>
      </c>
      <c r="AE40">
        <v>93</v>
      </c>
      <c r="AF40">
        <v>94.5</v>
      </c>
    </row>
    <row r="41" spans="5:32" ht="16" thickBot="1">
      <c r="E41" s="5">
        <v>7.5</v>
      </c>
      <c r="G41">
        <v>75</v>
      </c>
      <c r="S41" t="str">
        <f t="shared" si="0"/>
        <v xml:space="preserve">"ESCC-10-1800":91.7, </v>
      </c>
      <c r="U41" s="15" t="s">
        <v>110</v>
      </c>
      <c r="V41" s="7">
        <v>91.7</v>
      </c>
      <c r="W41" s="7">
        <v>89.5</v>
      </c>
      <c r="Y41" s="15"/>
      <c r="Z41" s="14"/>
      <c r="AA41" s="14"/>
      <c r="AB41" s="8"/>
      <c r="AD41">
        <v>60</v>
      </c>
      <c r="AE41">
        <v>93.6</v>
      </c>
      <c r="AF41">
        <v>95</v>
      </c>
    </row>
    <row r="42" spans="5:32" ht="16" thickBot="1">
      <c r="E42" s="5">
        <v>5</v>
      </c>
      <c r="G42">
        <v>100</v>
      </c>
      <c r="S42" t="str">
        <f t="shared" si="0"/>
        <v xml:space="preserve">"ESCC-7.5-1800":91, </v>
      </c>
      <c r="U42" s="5" t="s">
        <v>111</v>
      </c>
      <c r="V42" s="7">
        <v>91</v>
      </c>
      <c r="W42" s="7">
        <v>88.5</v>
      </c>
      <c r="Y42" s="5"/>
      <c r="Z42" s="14"/>
      <c r="AA42" s="14"/>
      <c r="AB42" s="8"/>
      <c r="AD42">
        <v>75</v>
      </c>
      <c r="AE42">
        <v>93.6</v>
      </c>
      <c r="AF42">
        <v>95</v>
      </c>
    </row>
    <row r="43" spans="5:32" ht="16" thickBot="1">
      <c r="E43" s="5">
        <v>3</v>
      </c>
      <c r="G43">
        <v>125</v>
      </c>
      <c r="S43" t="str">
        <f t="shared" si="0"/>
        <v xml:space="preserve">"ESCC-5-1800":89.5, </v>
      </c>
      <c r="U43" s="15" t="s">
        <v>112</v>
      </c>
      <c r="V43" s="7">
        <v>89.5</v>
      </c>
      <c r="W43" s="7">
        <v>86.5</v>
      </c>
      <c r="Y43" s="15"/>
      <c r="Z43" s="14"/>
      <c r="AA43" s="14"/>
      <c r="AB43" s="8"/>
      <c r="AD43">
        <v>100</v>
      </c>
      <c r="AE43">
        <v>93.6</v>
      </c>
      <c r="AF43">
        <v>95.4</v>
      </c>
    </row>
    <row r="44" spans="5:32" ht="16" thickBot="1">
      <c r="E44" s="5">
        <v>2</v>
      </c>
      <c r="G44">
        <v>150</v>
      </c>
      <c r="S44" t="str">
        <f t="shared" si="0"/>
        <v xml:space="preserve">"ESCC-3-1800":89.5, </v>
      </c>
      <c r="U44" s="15" t="s">
        <v>113</v>
      </c>
      <c r="V44" s="7">
        <v>89.5</v>
      </c>
      <c r="W44" s="7">
        <v>85.5</v>
      </c>
      <c r="Y44" s="15"/>
      <c r="Z44" s="14"/>
      <c r="AA44" s="14"/>
      <c r="AB44" s="8"/>
      <c r="AD44">
        <v>125</v>
      </c>
      <c r="AE44">
        <v>94.1</v>
      </c>
      <c r="AF44">
        <v>95.4</v>
      </c>
    </row>
    <row r="45" spans="5:32" ht="16" thickBot="1">
      <c r="E45" s="5">
        <v>1.5</v>
      </c>
      <c r="G45">
        <v>200</v>
      </c>
      <c r="S45" t="str">
        <f t="shared" si="0"/>
        <v xml:space="preserve">"ESCC-2-1800":86.5, </v>
      </c>
      <c r="U45" s="15" t="s">
        <v>114</v>
      </c>
      <c r="V45" s="7">
        <v>86.5</v>
      </c>
      <c r="W45" s="7">
        <v>85.5</v>
      </c>
      <c r="Y45" s="15"/>
      <c r="Z45" s="14"/>
      <c r="AA45" s="14"/>
      <c r="AB45" s="8"/>
      <c r="AD45">
        <v>150</v>
      </c>
      <c r="AE45">
        <v>94.1</v>
      </c>
      <c r="AF45">
        <v>95.8</v>
      </c>
    </row>
    <row r="46" spans="5:32" ht="16" thickBot="1">
      <c r="E46" s="5">
        <v>1</v>
      </c>
      <c r="G46">
        <v>250</v>
      </c>
      <c r="S46" t="str">
        <f t="shared" si="0"/>
        <v xml:space="preserve">"ESCC-1.5-1800":86.5, </v>
      </c>
      <c r="U46" s="15" t="s">
        <v>115</v>
      </c>
      <c r="V46" s="7">
        <v>86.5</v>
      </c>
      <c r="W46" s="7">
        <v>84</v>
      </c>
      <c r="Y46" s="15"/>
      <c r="Z46" s="14"/>
      <c r="AA46" s="14"/>
      <c r="AB46" s="8"/>
      <c r="AD46">
        <v>200</v>
      </c>
      <c r="AE46">
        <v>95</v>
      </c>
      <c r="AF46">
        <v>95.8</v>
      </c>
    </row>
    <row r="47" spans="5:32" ht="16" thickBot="1">
      <c r="S47" t="str">
        <f t="shared" si="0"/>
        <v xml:space="preserve">"ESCC-1-1800":85.5, </v>
      </c>
      <c r="U47" s="15" t="s">
        <v>116</v>
      </c>
      <c r="V47" s="7">
        <v>85.5</v>
      </c>
      <c r="W47" s="7">
        <v>77</v>
      </c>
      <c r="Y47" s="15"/>
      <c r="Z47" s="7"/>
      <c r="AA47" s="7"/>
      <c r="AB47" s="8"/>
      <c r="AD47">
        <v>250</v>
      </c>
      <c r="AE47">
        <v>95</v>
      </c>
      <c r="AF47">
        <v>95.8</v>
      </c>
    </row>
    <row r="48" spans="5:32" ht="16" thickBot="1">
      <c r="S48" t="str">
        <f t="shared" si="0"/>
        <v xml:space="preserve">"ESCC-250-3600":95, </v>
      </c>
      <c r="U48" s="5" t="s">
        <v>117</v>
      </c>
      <c r="V48" s="7">
        <v>95</v>
      </c>
      <c r="Y48" s="5"/>
      <c r="Z48" s="12"/>
      <c r="AB48" s="8"/>
    </row>
    <row r="49" spans="1:26" ht="16" thickBot="1">
      <c r="S49" t="str">
        <f t="shared" si="0"/>
        <v xml:space="preserve">"ESCC-200-3600":95, </v>
      </c>
      <c r="U49" s="5" t="s">
        <v>118</v>
      </c>
      <c r="V49" s="7">
        <v>95</v>
      </c>
      <c r="Y49" s="5"/>
      <c r="Z49" s="13"/>
    </row>
    <row r="50" spans="1:26" ht="16" thickBot="1">
      <c r="S50" t="str">
        <f t="shared" si="0"/>
        <v xml:space="preserve">"ESCC-150-3600":94.1, </v>
      </c>
      <c r="U50" s="5" t="s">
        <v>119</v>
      </c>
      <c r="V50" s="7">
        <v>94.1</v>
      </c>
      <c r="Y50" s="5"/>
      <c r="Z50" s="14"/>
    </row>
    <row r="51" spans="1:26" ht="16" thickBot="1">
      <c r="S51" t="str">
        <f t="shared" si="0"/>
        <v xml:space="preserve">"ESCC-125-3600":94.1, </v>
      </c>
      <c r="U51" s="5" t="s">
        <v>120</v>
      </c>
      <c r="V51" s="7">
        <v>94.1</v>
      </c>
      <c r="Y51" s="5"/>
      <c r="Z51" s="14"/>
    </row>
    <row r="52" spans="1:26" ht="16" thickBot="1">
      <c r="S52" t="str">
        <f t="shared" si="0"/>
        <v xml:space="preserve">"ESCC-100-3600":93.6, </v>
      </c>
      <c r="U52" s="5" t="s">
        <v>121</v>
      </c>
      <c r="V52" s="7">
        <v>93.6</v>
      </c>
      <c r="Y52" s="5"/>
      <c r="Z52" s="14"/>
    </row>
    <row r="53" spans="1:26" ht="16" thickBot="1">
      <c r="S53" t="str">
        <f t="shared" si="0"/>
        <v xml:space="preserve">"ESCC-75-3600":93.6, </v>
      </c>
      <c r="U53" s="5" t="s">
        <v>122</v>
      </c>
      <c r="V53" s="7">
        <v>93.6</v>
      </c>
      <c r="Y53" s="5"/>
      <c r="Z53" s="14"/>
    </row>
    <row r="54" spans="1:26" ht="16" thickBot="1">
      <c r="S54" t="str">
        <f t="shared" si="0"/>
        <v xml:space="preserve">"ESCC-60-3600":93.6, </v>
      </c>
      <c r="U54" s="5" t="s">
        <v>123</v>
      </c>
      <c r="V54" s="7">
        <v>93.6</v>
      </c>
      <c r="Y54" s="5"/>
      <c r="Z54" s="14"/>
    </row>
    <row r="55" spans="1:26" ht="16" thickBot="1">
      <c r="A55">
        <v>1.1499999999999999</v>
      </c>
      <c r="S55" t="str">
        <f t="shared" si="0"/>
        <v xml:space="preserve">"ESCC-50-3600":93, </v>
      </c>
      <c r="U55" s="5" t="s">
        <v>124</v>
      </c>
      <c r="V55" s="7">
        <v>93</v>
      </c>
      <c r="Y55" s="5"/>
      <c r="Z55" s="14"/>
    </row>
    <row r="56" spans="1:26" ht="33" customHeight="1" thickBot="1">
      <c r="A56" t="s">
        <v>76</v>
      </c>
      <c r="E56" s="211" t="s">
        <v>429</v>
      </c>
      <c r="F56" s="213" t="s">
        <v>430</v>
      </c>
      <c r="G56" s="214"/>
      <c r="H56" s="215"/>
      <c r="S56" t="str">
        <f t="shared" si="0"/>
        <v xml:space="preserve">"ESCC-40-3600":92.4, </v>
      </c>
      <c r="U56" s="5" t="s">
        <v>125</v>
      </c>
      <c r="V56" s="7">
        <v>92.4</v>
      </c>
      <c r="Y56" s="5"/>
      <c r="Z56" s="14"/>
    </row>
    <row r="57" spans="1:26" ht="16" thickBot="1">
      <c r="E57" s="212"/>
      <c r="F57" s="88" t="s">
        <v>431</v>
      </c>
      <c r="G57" s="88" t="s">
        <v>432</v>
      </c>
      <c r="H57" s="88" t="s">
        <v>433</v>
      </c>
      <c r="S57" t="str">
        <f t="shared" si="0"/>
        <v xml:space="preserve">"ESCC-30-3600":91.7, </v>
      </c>
      <c r="U57" s="5" t="s">
        <v>126</v>
      </c>
      <c r="V57" s="7">
        <v>91.7</v>
      </c>
      <c r="Y57" s="5"/>
      <c r="Z57" s="14"/>
    </row>
    <row r="58" spans="1:26" ht="29" thickBot="1">
      <c r="D58">
        <v>200</v>
      </c>
      <c r="E58" s="89" t="s">
        <v>437</v>
      </c>
      <c r="F58" s="87">
        <v>-0.89139999999999997</v>
      </c>
      <c r="G58" s="87">
        <v>2.8845999999999998</v>
      </c>
      <c r="H58" s="87">
        <v>0.26250000000000001</v>
      </c>
      <c r="J58" s="89" t="s">
        <v>434</v>
      </c>
      <c r="K58" s="87">
        <v>-0.46579999999999999</v>
      </c>
      <c r="L58" s="87">
        <v>1.4964999999999999</v>
      </c>
      <c r="M58" s="87">
        <v>0.53029999999999999</v>
      </c>
      <c r="S58" t="str">
        <f t="shared" si="0"/>
        <v xml:space="preserve">"ESCC-25-3600":91.7, </v>
      </c>
      <c r="U58" s="5" t="s">
        <v>127</v>
      </c>
      <c r="V58" s="7">
        <v>91.7</v>
      </c>
      <c r="Y58" s="5"/>
      <c r="Z58" s="14"/>
    </row>
    <row r="59" spans="1:26" ht="43" thickBot="1">
      <c r="D59">
        <v>50</v>
      </c>
      <c r="E59" s="89" t="s">
        <v>436</v>
      </c>
      <c r="F59" s="87">
        <v>-1.5122</v>
      </c>
      <c r="G59" s="87">
        <v>3.0777000000000001</v>
      </c>
      <c r="H59" s="87">
        <v>0.1847</v>
      </c>
      <c r="J59" s="89" t="s">
        <v>435</v>
      </c>
      <c r="K59" s="87">
        <v>-1.3198000000000001</v>
      </c>
      <c r="L59" s="87">
        <v>2.9550999999999998</v>
      </c>
      <c r="M59" s="87">
        <v>0.1052</v>
      </c>
      <c r="S59" t="str">
        <f t="shared" si="0"/>
        <v xml:space="preserve">"ESCC-20-3600":91, </v>
      </c>
      <c r="U59" s="5" t="s">
        <v>128</v>
      </c>
      <c r="V59" s="7">
        <v>91</v>
      </c>
      <c r="Y59" s="5"/>
      <c r="Z59" s="14"/>
    </row>
    <row r="60" spans="1:26" ht="43" thickBot="1">
      <c r="A60" t="s">
        <v>439</v>
      </c>
      <c r="D60">
        <v>20</v>
      </c>
      <c r="E60" s="89" t="s">
        <v>435</v>
      </c>
      <c r="F60" s="87">
        <v>-1.3198000000000001</v>
      </c>
      <c r="G60" s="87">
        <v>2.9550999999999998</v>
      </c>
      <c r="H60" s="87">
        <v>0.1052</v>
      </c>
      <c r="J60" s="89" t="s">
        <v>436</v>
      </c>
      <c r="K60" s="87">
        <v>-1.5122</v>
      </c>
      <c r="L60" s="87">
        <v>3.0777000000000001</v>
      </c>
      <c r="M60" s="87">
        <v>0.1847</v>
      </c>
      <c r="S60" t="str">
        <f t="shared" si="0"/>
        <v xml:space="preserve">"ESCC-15-3600":90.2, </v>
      </c>
      <c r="U60" s="5" t="s">
        <v>129</v>
      </c>
      <c r="V60" s="7">
        <v>90.2</v>
      </c>
      <c r="Y60" s="5"/>
      <c r="Z60" s="14"/>
    </row>
    <row r="61" spans="1:26" ht="29" thickBot="1">
      <c r="A61" t="s">
        <v>440</v>
      </c>
      <c r="D61">
        <v>5</v>
      </c>
      <c r="E61" s="89" t="s">
        <v>434</v>
      </c>
      <c r="F61" s="87">
        <v>-0.46579999999999999</v>
      </c>
      <c r="G61" s="87">
        <v>1.4964999999999999</v>
      </c>
      <c r="H61" s="87">
        <v>0.53029999999999999</v>
      </c>
      <c r="J61" s="89" t="s">
        <v>437</v>
      </c>
      <c r="K61" s="87">
        <v>-0.89139999999999997</v>
      </c>
      <c r="L61" s="87">
        <v>2.8845999999999998</v>
      </c>
      <c r="M61" s="87">
        <v>0.26250000000000001</v>
      </c>
      <c r="S61" t="str">
        <f t="shared" si="0"/>
        <v xml:space="preserve">"ESCC-10-3600":89.5, </v>
      </c>
      <c r="U61" s="15" t="s">
        <v>130</v>
      </c>
      <c r="V61" s="7">
        <v>89.5</v>
      </c>
      <c r="Y61" s="15"/>
      <c r="Z61" s="14"/>
    </row>
    <row r="62" spans="1:26" ht="16" thickBot="1">
      <c r="S62" t="str">
        <f t="shared" si="0"/>
        <v xml:space="preserve">"ESCC-7.5-3600":88.5, </v>
      </c>
      <c r="U62" s="5" t="s">
        <v>131</v>
      </c>
      <c r="V62" s="7">
        <v>88.5</v>
      </c>
      <c r="Y62" s="5"/>
      <c r="Z62" s="14"/>
    </row>
    <row r="63" spans="1:26" ht="16" thickBot="1">
      <c r="S63" t="str">
        <f t="shared" si="0"/>
        <v xml:space="preserve">"ESCC-5-3600":86.5, </v>
      </c>
      <c r="U63" s="15" t="s">
        <v>132</v>
      </c>
      <c r="V63" s="7">
        <v>86.5</v>
      </c>
      <c r="Y63" s="15"/>
      <c r="Z63" s="14"/>
    </row>
    <row r="64" spans="1:26" ht="16" thickBot="1">
      <c r="S64" t="str">
        <f t="shared" si="0"/>
        <v xml:space="preserve">"ESCC-3-3600":85.5, </v>
      </c>
      <c r="U64" s="15" t="s">
        <v>133</v>
      </c>
      <c r="V64" s="7">
        <v>85.5</v>
      </c>
      <c r="Y64" s="15"/>
      <c r="Z64" s="14"/>
    </row>
    <row r="65" spans="5:26" ht="16" thickBot="1">
      <c r="S65" t="str">
        <f t="shared" si="0"/>
        <v xml:space="preserve">"ESCC-2-3600":85.5, </v>
      </c>
      <c r="U65" s="15" t="s">
        <v>134</v>
      </c>
      <c r="V65" s="7">
        <v>85.5</v>
      </c>
      <c r="Y65" s="15"/>
      <c r="Z65" s="14"/>
    </row>
    <row r="66" spans="5:26" ht="16" thickBot="1">
      <c r="S66" t="str">
        <f t="shared" si="0"/>
        <v xml:space="preserve">"ESCC-1.5-3600":84, </v>
      </c>
      <c r="U66" s="15" t="s">
        <v>135</v>
      </c>
      <c r="V66" s="7">
        <v>84</v>
      </c>
      <c r="Y66" s="15"/>
      <c r="Z66" s="14"/>
    </row>
    <row r="67" spans="5:26" ht="16" thickBot="1">
      <c r="S67" t="str">
        <f t="shared" si="0"/>
        <v xml:space="preserve">"ESCC-1-3600":77, </v>
      </c>
      <c r="U67" s="15" t="s">
        <v>136</v>
      </c>
      <c r="V67" s="7">
        <v>77</v>
      </c>
      <c r="Y67" s="15"/>
      <c r="Z67" s="7"/>
    </row>
    <row r="68" spans="5:26" ht="16" thickBot="1">
      <c r="E68" s="125" t="s">
        <v>465</v>
      </c>
      <c r="S68" t="str">
        <f t="shared" si="0"/>
        <v xml:space="preserve">"ESFM-250-1800":95.8, </v>
      </c>
      <c r="U68" s="5" t="s">
        <v>137</v>
      </c>
      <c r="V68" s="7">
        <v>95.8</v>
      </c>
    </row>
    <row r="69" spans="5:26" ht="16" thickBot="1">
      <c r="E69" s="123" t="s">
        <v>464</v>
      </c>
      <c r="S69" t="str">
        <f t="shared" si="0"/>
        <v xml:space="preserve">"ESFM-200-1800":95.8, </v>
      </c>
      <c r="U69" s="5" t="s">
        <v>138</v>
      </c>
      <c r="V69" s="7">
        <v>95.8</v>
      </c>
    </row>
    <row r="70" spans="5:26" ht="16" thickBot="1">
      <c r="E70" s="123" t="s">
        <v>466</v>
      </c>
      <c r="S70" t="str">
        <f t="shared" si="0"/>
        <v xml:space="preserve">"ESFM-150-1800":95.8, </v>
      </c>
      <c r="U70" s="5" t="s">
        <v>139</v>
      </c>
      <c r="V70" s="7">
        <v>95.8</v>
      </c>
    </row>
    <row r="71" spans="5:26" ht="16" thickBot="1">
      <c r="E71" s="123" t="s">
        <v>467</v>
      </c>
      <c r="S71" t="str">
        <f t="shared" si="0"/>
        <v xml:space="preserve">"ESFM-125-1800":95.4, </v>
      </c>
      <c r="U71" s="5" t="s">
        <v>140</v>
      </c>
      <c r="V71" s="7">
        <v>95.4</v>
      </c>
    </row>
    <row r="72" spans="5:26" ht="16" thickBot="1">
      <c r="E72" s="123" t="s">
        <v>468</v>
      </c>
      <c r="S72" t="str">
        <f t="shared" si="0"/>
        <v xml:space="preserve">"ESFM-100-1800":95.4, </v>
      </c>
      <c r="U72" s="5" t="s">
        <v>141</v>
      </c>
      <c r="V72" s="7">
        <v>95.4</v>
      </c>
    </row>
    <row r="73" spans="5:26" ht="16" thickBot="1">
      <c r="E73" s="123" t="s">
        <v>469</v>
      </c>
      <c r="S73" t="str">
        <f t="shared" si="0"/>
        <v xml:space="preserve">"ESFM-75-1800":95, </v>
      </c>
      <c r="U73" s="5" t="s">
        <v>142</v>
      </c>
      <c r="V73" s="7">
        <v>95</v>
      </c>
    </row>
    <row r="74" spans="5:26" ht="16" thickBot="1">
      <c r="E74" s="124"/>
      <c r="S74" t="str">
        <f t="shared" si="0"/>
        <v xml:space="preserve">"ESFM-60-1800":95, </v>
      </c>
      <c r="U74" s="5" t="s">
        <v>143</v>
      </c>
      <c r="V74" s="7">
        <v>95</v>
      </c>
    </row>
    <row r="75" spans="5:26" ht="16" thickBot="1">
      <c r="E75" s="124"/>
      <c r="S75" t="str">
        <f t="shared" si="0"/>
        <v xml:space="preserve">"ESFM-50-1800":94.5, </v>
      </c>
      <c r="U75" s="5" t="s">
        <v>144</v>
      </c>
      <c r="V75" s="7">
        <v>94.5</v>
      </c>
    </row>
    <row r="76" spans="5:26" ht="16" thickBot="1">
      <c r="S76" t="str">
        <f t="shared" si="0"/>
        <v xml:space="preserve">"ESFM-40-1800":94.1, </v>
      </c>
      <c r="U76" s="5" t="s">
        <v>145</v>
      </c>
      <c r="V76" s="7">
        <v>94.1</v>
      </c>
    </row>
    <row r="77" spans="5:26" ht="16" thickBot="1">
      <c r="S77" t="str">
        <f t="shared" si="0"/>
        <v xml:space="preserve">"ESFM-30-1800":93.6, </v>
      </c>
      <c r="U77" s="5" t="s">
        <v>146</v>
      </c>
      <c r="V77" s="7">
        <v>93.6</v>
      </c>
    </row>
    <row r="78" spans="5:26" ht="16" thickBot="1">
      <c r="S78" t="str">
        <f t="shared" si="0"/>
        <v xml:space="preserve">"ESFM-25-1800":93.6, </v>
      </c>
      <c r="U78" s="5" t="s">
        <v>147</v>
      </c>
      <c r="V78" s="7">
        <v>93.6</v>
      </c>
    </row>
    <row r="79" spans="5:26" ht="16" thickBot="1">
      <c r="S79" t="str">
        <f t="shared" si="0"/>
        <v xml:space="preserve">"ESFM-20-1800":93, </v>
      </c>
      <c r="U79" s="5" t="s">
        <v>148</v>
      </c>
      <c r="V79" s="7">
        <v>93</v>
      </c>
    </row>
    <row r="80" spans="5:26" ht="16" thickBot="1">
      <c r="S80" t="str">
        <f t="shared" si="0"/>
        <v xml:space="preserve">"ESFM-15-1800":92.4, </v>
      </c>
      <c r="U80" s="5" t="s">
        <v>149</v>
      </c>
      <c r="V80" s="7">
        <v>92.4</v>
      </c>
    </row>
    <row r="81" spans="19:22" ht="16" thickBot="1">
      <c r="S81" t="str">
        <f t="shared" si="0"/>
        <v xml:space="preserve">"ESFM-10-1800":91.7, </v>
      </c>
      <c r="U81" s="15" t="s">
        <v>150</v>
      </c>
      <c r="V81" s="7">
        <v>91.7</v>
      </c>
    </row>
    <row r="82" spans="19:22" ht="16" thickBot="1">
      <c r="S82" t="str">
        <f t="shared" si="0"/>
        <v xml:space="preserve">"ESFM-7.5-1800":91, </v>
      </c>
      <c r="U82" s="5" t="s">
        <v>151</v>
      </c>
      <c r="V82" s="7">
        <v>91</v>
      </c>
    </row>
    <row r="83" spans="19:22" ht="16" thickBot="1">
      <c r="S83" t="str">
        <f t="shared" si="0"/>
        <v xml:space="preserve">"ESFM-5-1800":89.5, </v>
      </c>
      <c r="U83" s="15" t="s">
        <v>152</v>
      </c>
      <c r="V83" s="7">
        <v>89.5</v>
      </c>
    </row>
    <row r="84" spans="19:22" ht="16" thickBot="1">
      <c r="S84" t="str">
        <f t="shared" si="0"/>
        <v xml:space="preserve">"ESFM-3-1800":89.5, </v>
      </c>
      <c r="U84" s="15" t="s">
        <v>153</v>
      </c>
      <c r="V84" s="7">
        <v>89.5</v>
      </c>
    </row>
    <row r="85" spans="19:22" ht="16" thickBot="1">
      <c r="S85" t="str">
        <f t="shared" si="0"/>
        <v xml:space="preserve">"ESFM-2-1800":86.5, </v>
      </c>
      <c r="U85" s="15" t="s">
        <v>154</v>
      </c>
      <c r="V85" s="7">
        <v>86.5</v>
      </c>
    </row>
    <row r="86" spans="19:22" ht="16" thickBot="1">
      <c r="S86" t="str">
        <f t="shared" si="0"/>
        <v xml:space="preserve">"ESFM-1.5-1800":86.5, </v>
      </c>
      <c r="U86" s="15" t="s">
        <v>155</v>
      </c>
      <c r="V86" s="7">
        <v>86.5</v>
      </c>
    </row>
    <row r="87" spans="19:22" ht="16" thickBot="1">
      <c r="S87" t="str">
        <f t="shared" si="0"/>
        <v xml:space="preserve">"ESFM-1-1800":85.5, </v>
      </c>
      <c r="U87" s="15" t="s">
        <v>156</v>
      </c>
      <c r="V87" s="7">
        <v>85.5</v>
      </c>
    </row>
    <row r="88" spans="19:22" ht="16" thickBot="1">
      <c r="S88" t="str">
        <f t="shared" si="0"/>
        <v xml:space="preserve">"ESFM-250-3600":95, </v>
      </c>
      <c r="U88" s="5" t="s">
        <v>157</v>
      </c>
      <c r="V88" s="7">
        <v>95</v>
      </c>
    </row>
    <row r="89" spans="19:22" ht="16" thickBot="1">
      <c r="S89" t="str">
        <f t="shared" si="0"/>
        <v xml:space="preserve">"ESFM-200-3600":95, </v>
      </c>
      <c r="U89" s="5" t="s">
        <v>158</v>
      </c>
      <c r="V89" s="7">
        <v>95</v>
      </c>
    </row>
    <row r="90" spans="19:22" ht="16" thickBot="1">
      <c r="S90" t="str">
        <f t="shared" si="0"/>
        <v xml:space="preserve">"ESFM-150-3600":94.1, </v>
      </c>
      <c r="U90" s="5" t="s">
        <v>159</v>
      </c>
      <c r="V90" s="7">
        <v>94.1</v>
      </c>
    </row>
    <row r="91" spans="19:22" ht="16" thickBot="1">
      <c r="S91" t="str">
        <f t="shared" si="0"/>
        <v xml:space="preserve">"ESFM-125-3600":94.1, </v>
      </c>
      <c r="U91" s="5" t="s">
        <v>160</v>
      </c>
      <c r="V91" s="7">
        <v>94.1</v>
      </c>
    </row>
    <row r="92" spans="19:22" ht="16" thickBot="1">
      <c r="S92" t="str">
        <f t="shared" si="0"/>
        <v xml:space="preserve">"ESFM-100-3600":93.6, </v>
      </c>
      <c r="U92" s="5" t="s">
        <v>161</v>
      </c>
      <c r="V92" s="7">
        <v>93.6</v>
      </c>
    </row>
    <row r="93" spans="19:22" ht="16" thickBot="1">
      <c r="S93" t="str">
        <f t="shared" ref="S93:S156" si="1">CONCATENATE("""", U93,""":", V93, ", ")</f>
        <v xml:space="preserve">"ESFM-75-3600":93.6, </v>
      </c>
      <c r="U93" s="5" t="s">
        <v>162</v>
      </c>
      <c r="V93" s="7">
        <v>93.6</v>
      </c>
    </row>
    <row r="94" spans="19:22" ht="16" thickBot="1">
      <c r="S94" t="str">
        <f t="shared" si="1"/>
        <v xml:space="preserve">"ESFM-60-3600":93.6, </v>
      </c>
      <c r="U94" s="5" t="s">
        <v>163</v>
      </c>
      <c r="V94" s="7">
        <v>93.6</v>
      </c>
    </row>
    <row r="95" spans="19:22" ht="16" thickBot="1">
      <c r="S95" t="str">
        <f t="shared" si="1"/>
        <v xml:space="preserve">"ESFM-50-3600":93, </v>
      </c>
      <c r="U95" s="5" t="s">
        <v>164</v>
      </c>
      <c r="V95" s="7">
        <v>93</v>
      </c>
    </row>
    <row r="96" spans="19:22" ht="16" thickBot="1">
      <c r="S96" t="str">
        <f t="shared" si="1"/>
        <v xml:space="preserve">"ESFM-40-3600":92.4, </v>
      </c>
      <c r="U96" s="5" t="s">
        <v>165</v>
      </c>
      <c r="V96" s="7">
        <v>92.4</v>
      </c>
    </row>
    <row r="97" spans="19:22" ht="16" thickBot="1">
      <c r="S97" t="str">
        <f t="shared" si="1"/>
        <v xml:space="preserve">"ESFM-30-3600":91.7, </v>
      </c>
      <c r="U97" s="5" t="s">
        <v>166</v>
      </c>
      <c r="V97" s="7">
        <v>91.7</v>
      </c>
    </row>
    <row r="98" spans="19:22" ht="16" thickBot="1">
      <c r="S98" t="str">
        <f t="shared" si="1"/>
        <v xml:space="preserve">"ESFM-25-3600":91.7, </v>
      </c>
      <c r="U98" s="5" t="s">
        <v>167</v>
      </c>
      <c r="V98" s="7">
        <v>91.7</v>
      </c>
    </row>
    <row r="99" spans="19:22" ht="16" thickBot="1">
      <c r="S99" t="str">
        <f t="shared" si="1"/>
        <v xml:space="preserve">"ESFM-20-3600":91, </v>
      </c>
      <c r="U99" s="5" t="s">
        <v>168</v>
      </c>
      <c r="V99" s="7">
        <v>91</v>
      </c>
    </row>
    <row r="100" spans="19:22" ht="16" thickBot="1">
      <c r="S100" t="str">
        <f t="shared" si="1"/>
        <v xml:space="preserve">"ESFM-15-3600":90.2, </v>
      </c>
      <c r="U100" s="5" t="s">
        <v>169</v>
      </c>
      <c r="V100" s="7">
        <v>90.2</v>
      </c>
    </row>
    <row r="101" spans="19:22" ht="16" thickBot="1">
      <c r="S101" t="str">
        <f t="shared" si="1"/>
        <v xml:space="preserve">"ESFM-10-3600":89.5, </v>
      </c>
      <c r="U101" s="15" t="s">
        <v>170</v>
      </c>
      <c r="V101" s="7">
        <v>89.5</v>
      </c>
    </row>
    <row r="102" spans="19:22" ht="16" thickBot="1">
      <c r="S102" t="str">
        <f t="shared" si="1"/>
        <v xml:space="preserve">"ESFM-7.5-3600":88.5, </v>
      </c>
      <c r="U102" s="5" t="s">
        <v>171</v>
      </c>
      <c r="V102" s="7">
        <v>88.5</v>
      </c>
    </row>
    <row r="103" spans="19:22" ht="16" thickBot="1">
      <c r="S103" t="str">
        <f t="shared" si="1"/>
        <v xml:space="preserve">"ESFM-5-3600":86.5, </v>
      </c>
      <c r="U103" s="15" t="s">
        <v>172</v>
      </c>
      <c r="V103" s="7">
        <v>86.5</v>
      </c>
    </row>
    <row r="104" spans="19:22" ht="16" thickBot="1">
      <c r="S104" t="str">
        <f t="shared" si="1"/>
        <v xml:space="preserve">"ESFM-3-3600":85.5, </v>
      </c>
      <c r="U104" s="15" t="s">
        <v>173</v>
      </c>
      <c r="V104" s="7">
        <v>85.5</v>
      </c>
    </row>
    <row r="105" spans="19:22" ht="16" thickBot="1">
      <c r="S105" t="str">
        <f t="shared" si="1"/>
        <v xml:space="preserve">"ESFM-2-3600":85.5, </v>
      </c>
      <c r="U105" s="15" t="s">
        <v>174</v>
      </c>
      <c r="V105" s="7">
        <v>85.5</v>
      </c>
    </row>
    <row r="106" spans="19:22" ht="16" thickBot="1">
      <c r="S106" t="str">
        <f t="shared" si="1"/>
        <v xml:space="preserve">"ESFM-1.5-3600":84, </v>
      </c>
      <c r="U106" s="15" t="s">
        <v>175</v>
      </c>
      <c r="V106" s="7">
        <v>84</v>
      </c>
    </row>
    <row r="107" spans="19:22" ht="16" thickBot="1">
      <c r="S107" t="str">
        <f t="shared" si="1"/>
        <v xml:space="preserve">"ESFM-1-3600":77, </v>
      </c>
      <c r="U107" s="15" t="s">
        <v>176</v>
      </c>
      <c r="V107" s="7">
        <v>77</v>
      </c>
    </row>
    <row r="108" spans="19:22" ht="16" thickBot="1">
      <c r="S108" t="str">
        <f t="shared" si="1"/>
        <v xml:space="preserve">"IL-250-1800":95.8, </v>
      </c>
      <c r="U108" s="5" t="s">
        <v>177</v>
      </c>
      <c r="V108" s="7">
        <v>95.8</v>
      </c>
    </row>
    <row r="109" spans="19:22" ht="16" thickBot="1">
      <c r="S109" t="str">
        <f t="shared" si="1"/>
        <v xml:space="preserve">"IL-200-1800":95.8, </v>
      </c>
      <c r="U109" s="5" t="s">
        <v>178</v>
      </c>
      <c r="V109" s="7">
        <v>95.8</v>
      </c>
    </row>
    <row r="110" spans="19:22" ht="16" thickBot="1">
      <c r="S110" t="str">
        <f t="shared" si="1"/>
        <v xml:space="preserve">"IL-150-1800":95.8, </v>
      </c>
      <c r="U110" s="5" t="s">
        <v>179</v>
      </c>
      <c r="V110" s="7">
        <v>95.8</v>
      </c>
    </row>
    <row r="111" spans="19:22" ht="16" thickBot="1">
      <c r="S111" t="str">
        <f t="shared" si="1"/>
        <v xml:space="preserve">"IL-125-1800":95.4, </v>
      </c>
      <c r="U111" s="5" t="s">
        <v>180</v>
      </c>
      <c r="V111" s="7">
        <v>95.4</v>
      </c>
    </row>
    <row r="112" spans="19:22" ht="16" thickBot="1">
      <c r="S112" t="str">
        <f t="shared" si="1"/>
        <v xml:space="preserve">"IL-100-1800":95.4, </v>
      </c>
      <c r="U112" s="5" t="s">
        <v>181</v>
      </c>
      <c r="V112" s="7">
        <v>95.4</v>
      </c>
    </row>
    <row r="113" spans="19:22" ht="16" thickBot="1">
      <c r="S113" t="str">
        <f t="shared" si="1"/>
        <v xml:space="preserve">"IL-75-1800":95, </v>
      </c>
      <c r="U113" s="5" t="s">
        <v>182</v>
      </c>
      <c r="V113" s="7">
        <v>95</v>
      </c>
    </row>
    <row r="114" spans="19:22" ht="16" thickBot="1">
      <c r="S114" t="str">
        <f t="shared" si="1"/>
        <v xml:space="preserve">"IL-60-1800":95, </v>
      </c>
      <c r="U114" s="5" t="s">
        <v>183</v>
      </c>
      <c r="V114" s="7">
        <v>95</v>
      </c>
    </row>
    <row r="115" spans="19:22" ht="16" thickBot="1">
      <c r="S115" t="str">
        <f t="shared" si="1"/>
        <v xml:space="preserve">"IL-50-1800":94.5, </v>
      </c>
      <c r="U115" s="5" t="s">
        <v>184</v>
      </c>
      <c r="V115" s="7">
        <v>94.5</v>
      </c>
    </row>
    <row r="116" spans="19:22" ht="16" thickBot="1">
      <c r="S116" t="str">
        <f t="shared" si="1"/>
        <v xml:space="preserve">"IL-40-1800":94.1, </v>
      </c>
      <c r="U116" s="5" t="s">
        <v>185</v>
      </c>
      <c r="V116" s="7">
        <v>94.1</v>
      </c>
    </row>
    <row r="117" spans="19:22" ht="16" thickBot="1">
      <c r="S117" t="str">
        <f t="shared" si="1"/>
        <v xml:space="preserve">"IL-30-1800":93.6, </v>
      </c>
      <c r="U117" s="5" t="s">
        <v>186</v>
      </c>
      <c r="V117" s="7">
        <v>93.6</v>
      </c>
    </row>
    <row r="118" spans="19:22" ht="16" thickBot="1">
      <c r="S118" t="str">
        <f t="shared" si="1"/>
        <v xml:space="preserve">"IL-25-1800":93.6, </v>
      </c>
      <c r="U118" s="5" t="s">
        <v>187</v>
      </c>
      <c r="V118" s="7">
        <v>93.6</v>
      </c>
    </row>
    <row r="119" spans="19:22" ht="16" thickBot="1">
      <c r="S119" t="str">
        <f t="shared" si="1"/>
        <v xml:space="preserve">"IL-20-1800":93, </v>
      </c>
      <c r="U119" s="5" t="s">
        <v>188</v>
      </c>
      <c r="V119" s="7">
        <v>93</v>
      </c>
    </row>
    <row r="120" spans="19:22" ht="16" thickBot="1">
      <c r="S120" t="str">
        <f t="shared" si="1"/>
        <v xml:space="preserve">"IL-15-1800":92.4, </v>
      </c>
      <c r="U120" s="5" t="s">
        <v>189</v>
      </c>
      <c r="V120" s="7">
        <v>92.4</v>
      </c>
    </row>
    <row r="121" spans="19:22" ht="16" thickBot="1">
      <c r="S121" t="str">
        <f t="shared" si="1"/>
        <v xml:space="preserve">"IL-10-1800":91.7, </v>
      </c>
      <c r="U121" s="15" t="s">
        <v>190</v>
      </c>
      <c r="V121" s="7">
        <v>91.7</v>
      </c>
    </row>
    <row r="122" spans="19:22" ht="16" thickBot="1">
      <c r="S122" t="str">
        <f t="shared" si="1"/>
        <v xml:space="preserve">"IL-7.5-1800":91, </v>
      </c>
      <c r="U122" s="5" t="s">
        <v>191</v>
      </c>
      <c r="V122" s="7">
        <v>91</v>
      </c>
    </row>
    <row r="123" spans="19:22" ht="16" thickBot="1">
      <c r="S123" t="str">
        <f t="shared" si="1"/>
        <v xml:space="preserve">"IL-5-1800":89.5, </v>
      </c>
      <c r="U123" s="15" t="s">
        <v>192</v>
      </c>
      <c r="V123" s="7">
        <v>89.5</v>
      </c>
    </row>
    <row r="124" spans="19:22" ht="16" thickBot="1">
      <c r="S124" t="str">
        <f t="shared" si="1"/>
        <v xml:space="preserve">"IL-3-1800":89.5, </v>
      </c>
      <c r="U124" s="15" t="s">
        <v>193</v>
      </c>
      <c r="V124" s="7">
        <v>89.5</v>
      </c>
    </row>
    <row r="125" spans="19:22" ht="16" thickBot="1">
      <c r="S125" t="str">
        <f t="shared" si="1"/>
        <v xml:space="preserve">"IL-2-1800":86.5, </v>
      </c>
      <c r="U125" s="15" t="s">
        <v>194</v>
      </c>
      <c r="V125" s="7">
        <v>86.5</v>
      </c>
    </row>
    <row r="126" spans="19:22" ht="16" thickBot="1">
      <c r="S126" t="str">
        <f t="shared" si="1"/>
        <v xml:space="preserve">"IL-1.5-1800":86.5, </v>
      </c>
      <c r="U126" s="15" t="s">
        <v>195</v>
      </c>
      <c r="V126" s="7">
        <v>86.5</v>
      </c>
    </row>
    <row r="127" spans="19:22" ht="16" thickBot="1">
      <c r="S127" t="str">
        <f t="shared" si="1"/>
        <v xml:space="preserve">"IL-1-1800":85.5, </v>
      </c>
      <c r="U127" s="15" t="s">
        <v>196</v>
      </c>
      <c r="V127" s="7">
        <v>85.5</v>
      </c>
    </row>
    <row r="128" spans="19:22" ht="16" thickBot="1">
      <c r="S128" t="str">
        <f t="shared" si="1"/>
        <v xml:space="preserve">"IL-250-3600":95, </v>
      </c>
      <c r="U128" s="5" t="s">
        <v>197</v>
      </c>
      <c r="V128" s="7">
        <v>95</v>
      </c>
    </row>
    <row r="129" spans="19:22" ht="16" thickBot="1">
      <c r="S129" t="str">
        <f t="shared" si="1"/>
        <v xml:space="preserve">"IL-200-3600":95, </v>
      </c>
      <c r="U129" s="5" t="s">
        <v>198</v>
      </c>
      <c r="V129" s="7">
        <v>95</v>
      </c>
    </row>
    <row r="130" spans="19:22" ht="16" thickBot="1">
      <c r="S130" t="str">
        <f t="shared" si="1"/>
        <v xml:space="preserve">"IL-150-3600":94.1, </v>
      </c>
      <c r="U130" s="5" t="s">
        <v>199</v>
      </c>
      <c r="V130" s="7">
        <v>94.1</v>
      </c>
    </row>
    <row r="131" spans="19:22" ht="16" thickBot="1">
      <c r="S131" t="str">
        <f t="shared" si="1"/>
        <v xml:space="preserve">"IL-125-3600":94.1, </v>
      </c>
      <c r="U131" s="5" t="s">
        <v>200</v>
      </c>
      <c r="V131" s="7">
        <v>94.1</v>
      </c>
    </row>
    <row r="132" spans="19:22" ht="16" thickBot="1">
      <c r="S132" t="str">
        <f t="shared" si="1"/>
        <v xml:space="preserve">"IL-100-3600":93.6, </v>
      </c>
      <c r="U132" s="5" t="s">
        <v>201</v>
      </c>
      <c r="V132" s="7">
        <v>93.6</v>
      </c>
    </row>
    <row r="133" spans="19:22" ht="16" thickBot="1">
      <c r="S133" t="str">
        <f t="shared" si="1"/>
        <v xml:space="preserve">"IL-75-3600":93.6, </v>
      </c>
      <c r="U133" s="5" t="s">
        <v>202</v>
      </c>
      <c r="V133" s="7">
        <v>93.6</v>
      </c>
    </row>
    <row r="134" spans="19:22" ht="16" thickBot="1">
      <c r="S134" t="str">
        <f t="shared" si="1"/>
        <v xml:space="preserve">"IL-60-3600":93.6, </v>
      </c>
      <c r="U134" s="5" t="s">
        <v>203</v>
      </c>
      <c r="V134" s="7">
        <v>93.6</v>
      </c>
    </row>
    <row r="135" spans="19:22" ht="16" thickBot="1">
      <c r="S135" t="str">
        <f t="shared" si="1"/>
        <v xml:space="preserve">"IL-50-3600":93, </v>
      </c>
      <c r="U135" s="5" t="s">
        <v>204</v>
      </c>
      <c r="V135" s="7">
        <v>93</v>
      </c>
    </row>
    <row r="136" spans="19:22" ht="16" thickBot="1">
      <c r="S136" t="str">
        <f t="shared" si="1"/>
        <v xml:space="preserve">"IL-40-3600":92.4, </v>
      </c>
      <c r="U136" s="5" t="s">
        <v>205</v>
      </c>
      <c r="V136" s="7">
        <v>92.4</v>
      </c>
    </row>
    <row r="137" spans="19:22" ht="16" thickBot="1">
      <c r="S137" t="str">
        <f t="shared" si="1"/>
        <v xml:space="preserve">"IL-30-3600":91.7, </v>
      </c>
      <c r="U137" s="5" t="s">
        <v>206</v>
      </c>
      <c r="V137" s="7">
        <v>91.7</v>
      </c>
    </row>
    <row r="138" spans="19:22" ht="16" thickBot="1">
      <c r="S138" t="str">
        <f t="shared" si="1"/>
        <v xml:space="preserve">"IL-25-3600":91.7, </v>
      </c>
      <c r="U138" s="5" t="s">
        <v>207</v>
      </c>
      <c r="V138" s="7">
        <v>91.7</v>
      </c>
    </row>
    <row r="139" spans="19:22" ht="16" thickBot="1">
      <c r="S139" t="str">
        <f t="shared" si="1"/>
        <v xml:space="preserve">"IL-20-3600":91, </v>
      </c>
      <c r="U139" s="5" t="s">
        <v>208</v>
      </c>
      <c r="V139" s="7">
        <v>91</v>
      </c>
    </row>
    <row r="140" spans="19:22" ht="16" thickBot="1">
      <c r="S140" t="str">
        <f t="shared" si="1"/>
        <v xml:space="preserve">"IL-15-3600":90.2, </v>
      </c>
      <c r="U140" s="5" t="s">
        <v>209</v>
      </c>
      <c r="V140" s="7">
        <v>90.2</v>
      </c>
    </row>
    <row r="141" spans="19:22" ht="16" thickBot="1">
      <c r="S141" t="str">
        <f t="shared" si="1"/>
        <v xml:space="preserve">"IL-10-3600":89.5, </v>
      </c>
      <c r="U141" s="15" t="s">
        <v>210</v>
      </c>
      <c r="V141" s="7">
        <v>89.5</v>
      </c>
    </row>
    <row r="142" spans="19:22" ht="16" thickBot="1">
      <c r="S142" t="str">
        <f t="shared" si="1"/>
        <v xml:space="preserve">"IL-7.5-3600":88.5, </v>
      </c>
      <c r="U142" s="5" t="s">
        <v>211</v>
      </c>
      <c r="V142" s="7">
        <v>88.5</v>
      </c>
    </row>
    <row r="143" spans="19:22" ht="16" thickBot="1">
      <c r="S143" t="str">
        <f t="shared" si="1"/>
        <v xml:space="preserve">"IL-5-3600":86.5, </v>
      </c>
      <c r="U143" s="15" t="s">
        <v>212</v>
      </c>
      <c r="V143" s="7">
        <v>86.5</v>
      </c>
    </row>
    <row r="144" spans="19:22" ht="16" thickBot="1">
      <c r="S144" t="str">
        <f t="shared" si="1"/>
        <v xml:space="preserve">"IL-3-3600":85.5, </v>
      </c>
      <c r="U144" s="15" t="s">
        <v>213</v>
      </c>
      <c r="V144" s="7">
        <v>85.5</v>
      </c>
    </row>
    <row r="145" spans="19:22" ht="16" thickBot="1">
      <c r="S145" t="str">
        <f t="shared" si="1"/>
        <v xml:space="preserve">"IL-2-3600":85.5, </v>
      </c>
      <c r="U145" s="15" t="s">
        <v>214</v>
      </c>
      <c r="V145" s="7">
        <v>85.5</v>
      </c>
    </row>
    <row r="146" spans="19:22" ht="16" thickBot="1">
      <c r="S146" t="str">
        <f t="shared" si="1"/>
        <v xml:space="preserve">"IL-1.5-3600":84, </v>
      </c>
      <c r="U146" s="15" t="s">
        <v>215</v>
      </c>
      <c r="V146" s="7">
        <v>84</v>
      </c>
    </row>
    <row r="147" spans="19:22" ht="16" thickBot="1">
      <c r="S147" t="str">
        <f t="shared" si="1"/>
        <v xml:space="preserve">"IL-1-3600":77, </v>
      </c>
      <c r="U147" s="15" t="s">
        <v>216</v>
      </c>
      <c r="V147" s="7">
        <v>77</v>
      </c>
    </row>
    <row r="148" spans="19:22" ht="16" thickBot="1">
      <c r="S148" t="str">
        <f t="shared" si="1"/>
        <v xml:space="preserve">"RSV-250-1800":95.8, </v>
      </c>
      <c r="U148" s="5" t="s">
        <v>217</v>
      </c>
      <c r="V148" s="7">
        <v>95.8</v>
      </c>
    </row>
    <row r="149" spans="19:22" ht="16" thickBot="1">
      <c r="S149" t="str">
        <f t="shared" si="1"/>
        <v xml:space="preserve">"RSV-200-1800":95.8, </v>
      </c>
      <c r="U149" s="5" t="s">
        <v>218</v>
      </c>
      <c r="V149" s="7">
        <v>95.8</v>
      </c>
    </row>
    <row r="150" spans="19:22" ht="16" thickBot="1">
      <c r="S150" t="str">
        <f t="shared" si="1"/>
        <v xml:space="preserve">"RSV-150-1800":95.8, </v>
      </c>
      <c r="U150" s="5" t="s">
        <v>219</v>
      </c>
      <c r="V150" s="7">
        <v>95.8</v>
      </c>
    </row>
    <row r="151" spans="19:22" ht="16" thickBot="1">
      <c r="S151" t="str">
        <f t="shared" si="1"/>
        <v xml:space="preserve">"RSV-125-1800":95.4, </v>
      </c>
      <c r="U151" s="5" t="s">
        <v>220</v>
      </c>
      <c r="V151" s="7">
        <v>95.4</v>
      </c>
    </row>
    <row r="152" spans="19:22" ht="16" thickBot="1">
      <c r="S152" t="str">
        <f t="shared" si="1"/>
        <v xml:space="preserve">"RSV-100-1800":95.4, </v>
      </c>
      <c r="U152" s="5" t="s">
        <v>221</v>
      </c>
      <c r="V152" s="7">
        <v>95.4</v>
      </c>
    </row>
    <row r="153" spans="19:22" ht="16" thickBot="1">
      <c r="S153" t="str">
        <f t="shared" si="1"/>
        <v xml:space="preserve">"RSV-75-1800":95, </v>
      </c>
      <c r="U153" s="5" t="s">
        <v>222</v>
      </c>
      <c r="V153" s="7">
        <v>95</v>
      </c>
    </row>
    <row r="154" spans="19:22" ht="16" thickBot="1">
      <c r="S154" t="str">
        <f t="shared" si="1"/>
        <v xml:space="preserve">"RSV-60-1800":95, </v>
      </c>
      <c r="U154" s="5" t="s">
        <v>223</v>
      </c>
      <c r="V154" s="7">
        <v>95</v>
      </c>
    </row>
    <row r="155" spans="19:22" ht="16" thickBot="1">
      <c r="S155" t="str">
        <f t="shared" si="1"/>
        <v xml:space="preserve">"RSV-50-1800":94.5, </v>
      </c>
      <c r="U155" s="5" t="s">
        <v>224</v>
      </c>
      <c r="V155" s="7">
        <v>94.5</v>
      </c>
    </row>
    <row r="156" spans="19:22" ht="16" thickBot="1">
      <c r="S156" t="str">
        <f t="shared" si="1"/>
        <v xml:space="preserve">"RSV-40-1800":94.1, </v>
      </c>
      <c r="U156" s="5" t="s">
        <v>225</v>
      </c>
      <c r="V156" s="7">
        <v>94.1</v>
      </c>
    </row>
    <row r="157" spans="19:22" ht="16" thickBot="1">
      <c r="S157" t="str">
        <f t="shared" ref="S157:S220" si="2">CONCATENATE("""", U157,""":", V157, ", ")</f>
        <v xml:space="preserve">"RSV-30-1800":93.6, </v>
      </c>
      <c r="U157" s="5" t="s">
        <v>226</v>
      </c>
      <c r="V157" s="7">
        <v>93.6</v>
      </c>
    </row>
    <row r="158" spans="19:22" ht="16" thickBot="1">
      <c r="S158" t="str">
        <f t="shared" si="2"/>
        <v xml:space="preserve">"RSV-25-1800":93.6, </v>
      </c>
      <c r="U158" s="5" t="s">
        <v>227</v>
      </c>
      <c r="V158" s="7">
        <v>93.6</v>
      </c>
    </row>
    <row r="159" spans="19:22" ht="16" thickBot="1">
      <c r="S159" t="str">
        <f t="shared" si="2"/>
        <v xml:space="preserve">"RSV-20-1800":93, </v>
      </c>
      <c r="U159" s="5" t="s">
        <v>228</v>
      </c>
      <c r="V159" s="7">
        <v>93</v>
      </c>
    </row>
    <row r="160" spans="19:22" ht="16" thickBot="1">
      <c r="S160" t="str">
        <f t="shared" si="2"/>
        <v xml:space="preserve">"RSV-15-1800":92.4, </v>
      </c>
      <c r="U160" s="5" t="s">
        <v>229</v>
      </c>
      <c r="V160" s="7">
        <v>92.4</v>
      </c>
    </row>
    <row r="161" spans="19:22" ht="16" thickBot="1">
      <c r="S161" t="str">
        <f t="shared" si="2"/>
        <v xml:space="preserve">"RSV-10-1800":91.7, </v>
      </c>
      <c r="U161" s="15" t="s">
        <v>230</v>
      </c>
      <c r="V161" s="7">
        <v>91.7</v>
      </c>
    </row>
    <row r="162" spans="19:22" ht="16" thickBot="1">
      <c r="S162" t="str">
        <f t="shared" si="2"/>
        <v xml:space="preserve">"RSV-7.5-1800":91, </v>
      </c>
      <c r="U162" s="5" t="s">
        <v>231</v>
      </c>
      <c r="V162" s="7">
        <v>91</v>
      </c>
    </row>
    <row r="163" spans="19:22" ht="16" thickBot="1">
      <c r="S163" t="str">
        <f t="shared" si="2"/>
        <v xml:space="preserve">"RSV-5-1800":89.5, </v>
      </c>
      <c r="U163" s="15" t="s">
        <v>232</v>
      </c>
      <c r="V163" s="7">
        <v>89.5</v>
      </c>
    </row>
    <row r="164" spans="19:22" ht="16" thickBot="1">
      <c r="S164" t="str">
        <f t="shared" si="2"/>
        <v xml:space="preserve">"RSV-3-1800":89.5, </v>
      </c>
      <c r="U164" s="15" t="s">
        <v>233</v>
      </c>
      <c r="V164" s="7">
        <v>89.5</v>
      </c>
    </row>
    <row r="165" spans="19:22" ht="16" thickBot="1">
      <c r="S165" t="str">
        <f t="shared" si="2"/>
        <v xml:space="preserve">"RSV-2-1800":86.5, </v>
      </c>
      <c r="U165" s="15" t="s">
        <v>234</v>
      </c>
      <c r="V165" s="7">
        <v>86.5</v>
      </c>
    </row>
    <row r="166" spans="19:22" ht="16" thickBot="1">
      <c r="S166" t="str">
        <f t="shared" si="2"/>
        <v xml:space="preserve">"RSV-1.5-1800":86.5, </v>
      </c>
      <c r="U166" s="15" t="s">
        <v>235</v>
      </c>
      <c r="V166" s="7">
        <v>86.5</v>
      </c>
    </row>
    <row r="167" spans="19:22" ht="16" thickBot="1">
      <c r="S167" t="str">
        <f t="shared" si="2"/>
        <v xml:space="preserve">"RSV-1-1800":85.5, </v>
      </c>
      <c r="U167" s="15" t="s">
        <v>236</v>
      </c>
      <c r="V167" s="7">
        <v>85.5</v>
      </c>
    </row>
    <row r="168" spans="19:22" ht="16" thickBot="1">
      <c r="S168" t="str">
        <f t="shared" si="2"/>
        <v xml:space="preserve">"RSV-250-3600":95, </v>
      </c>
      <c r="U168" s="5" t="s">
        <v>237</v>
      </c>
      <c r="V168" s="7">
        <v>95</v>
      </c>
    </row>
    <row r="169" spans="19:22" ht="16" thickBot="1">
      <c r="S169" t="str">
        <f t="shared" si="2"/>
        <v xml:space="preserve">"RSV-200-3600":95, </v>
      </c>
      <c r="U169" s="5" t="s">
        <v>238</v>
      </c>
      <c r="V169" s="7">
        <v>95</v>
      </c>
    </row>
    <row r="170" spans="19:22" ht="16" thickBot="1">
      <c r="S170" t="str">
        <f t="shared" si="2"/>
        <v xml:space="preserve">"RSV-150-3600":94.1, </v>
      </c>
      <c r="U170" s="5" t="s">
        <v>239</v>
      </c>
      <c r="V170" s="7">
        <v>94.1</v>
      </c>
    </row>
    <row r="171" spans="19:22" ht="16" thickBot="1">
      <c r="S171" t="str">
        <f t="shared" si="2"/>
        <v xml:space="preserve">"RSV-125-3600":94.1, </v>
      </c>
      <c r="U171" s="5" t="s">
        <v>240</v>
      </c>
      <c r="V171" s="7">
        <v>94.1</v>
      </c>
    </row>
    <row r="172" spans="19:22" ht="16" thickBot="1">
      <c r="S172" t="str">
        <f t="shared" si="2"/>
        <v xml:space="preserve">"RSV-100-3600":93.6, </v>
      </c>
      <c r="U172" s="5" t="s">
        <v>241</v>
      </c>
      <c r="V172" s="7">
        <v>93.6</v>
      </c>
    </row>
    <row r="173" spans="19:22" ht="16" thickBot="1">
      <c r="S173" t="str">
        <f t="shared" si="2"/>
        <v xml:space="preserve">"RSV-75-3600":93.6, </v>
      </c>
      <c r="U173" s="5" t="s">
        <v>242</v>
      </c>
      <c r="V173" s="7">
        <v>93.6</v>
      </c>
    </row>
    <row r="174" spans="19:22" ht="16" thickBot="1">
      <c r="S174" t="str">
        <f t="shared" si="2"/>
        <v xml:space="preserve">"RSV-60-3600":93.6, </v>
      </c>
      <c r="U174" s="5" t="s">
        <v>243</v>
      </c>
      <c r="V174" s="7">
        <v>93.6</v>
      </c>
    </row>
    <row r="175" spans="19:22" ht="16" thickBot="1">
      <c r="S175" t="str">
        <f t="shared" si="2"/>
        <v xml:space="preserve">"RSV-50-3600":93, </v>
      </c>
      <c r="U175" s="5" t="s">
        <v>244</v>
      </c>
      <c r="V175" s="7">
        <v>93</v>
      </c>
    </row>
    <row r="176" spans="19:22" ht="16" thickBot="1">
      <c r="S176" t="str">
        <f t="shared" si="2"/>
        <v xml:space="preserve">"RSV-40-3600":92.4, </v>
      </c>
      <c r="U176" s="5" t="s">
        <v>245</v>
      </c>
      <c r="V176" s="7">
        <v>92.4</v>
      </c>
    </row>
    <row r="177" spans="19:22" ht="16" thickBot="1">
      <c r="S177" t="str">
        <f t="shared" si="2"/>
        <v xml:space="preserve">"RSV-30-3600":91.7, </v>
      </c>
      <c r="U177" s="5" t="s">
        <v>246</v>
      </c>
      <c r="V177" s="7">
        <v>91.7</v>
      </c>
    </row>
    <row r="178" spans="19:22" ht="16" thickBot="1">
      <c r="S178" t="str">
        <f t="shared" si="2"/>
        <v xml:space="preserve">"RSV-25-3600":91.7, </v>
      </c>
      <c r="U178" s="5" t="s">
        <v>247</v>
      </c>
      <c r="V178" s="7">
        <v>91.7</v>
      </c>
    </row>
    <row r="179" spans="19:22" ht="16" thickBot="1">
      <c r="S179" t="str">
        <f t="shared" si="2"/>
        <v xml:space="preserve">"RSV-20-3600":91, </v>
      </c>
      <c r="U179" s="5" t="s">
        <v>248</v>
      </c>
      <c r="V179" s="7">
        <v>91</v>
      </c>
    </row>
    <row r="180" spans="19:22" ht="16" thickBot="1">
      <c r="S180" t="str">
        <f t="shared" si="2"/>
        <v xml:space="preserve">"RSV-15-3600":90.2, </v>
      </c>
      <c r="U180" s="5" t="s">
        <v>249</v>
      </c>
      <c r="V180" s="7">
        <v>90.2</v>
      </c>
    </row>
    <row r="181" spans="19:22" ht="16" thickBot="1">
      <c r="S181" t="str">
        <f t="shared" si="2"/>
        <v xml:space="preserve">"RSV-10-3600":89.5, </v>
      </c>
      <c r="U181" s="15" t="s">
        <v>250</v>
      </c>
      <c r="V181" s="7">
        <v>89.5</v>
      </c>
    </row>
    <row r="182" spans="19:22" ht="16" thickBot="1">
      <c r="S182" t="str">
        <f t="shared" si="2"/>
        <v xml:space="preserve">"RSV-7.5-3600":88.5, </v>
      </c>
      <c r="U182" s="5" t="s">
        <v>251</v>
      </c>
      <c r="V182" s="7">
        <v>88.5</v>
      </c>
    </row>
    <row r="183" spans="19:22" ht="16" thickBot="1">
      <c r="S183" t="str">
        <f t="shared" si="2"/>
        <v xml:space="preserve">"RSV-5-3600":86.5, </v>
      </c>
      <c r="U183" s="15" t="s">
        <v>252</v>
      </c>
      <c r="V183" s="7">
        <v>86.5</v>
      </c>
    </row>
    <row r="184" spans="19:22" ht="16" thickBot="1">
      <c r="S184" t="str">
        <f t="shared" si="2"/>
        <v xml:space="preserve">"RSV-3-3600":85.5, </v>
      </c>
      <c r="U184" s="15" t="s">
        <v>253</v>
      </c>
      <c r="V184" s="7">
        <v>85.5</v>
      </c>
    </row>
    <row r="185" spans="19:22" ht="16" thickBot="1">
      <c r="S185" t="str">
        <f t="shared" si="2"/>
        <v xml:space="preserve">"RSV-2-3600":85.5, </v>
      </c>
      <c r="U185" s="15" t="s">
        <v>254</v>
      </c>
      <c r="V185" s="7">
        <v>85.5</v>
      </c>
    </row>
    <row r="186" spans="19:22" ht="16" thickBot="1">
      <c r="S186" t="str">
        <f t="shared" si="2"/>
        <v xml:space="preserve">"RSV-1.5-3600":84, </v>
      </c>
      <c r="U186" s="15" t="s">
        <v>255</v>
      </c>
      <c r="V186" s="7">
        <v>84</v>
      </c>
    </row>
    <row r="187" spans="19:22" ht="16" thickBot="1">
      <c r="S187" t="str">
        <f t="shared" si="2"/>
        <v xml:space="preserve">"RSV-1-3600":77, </v>
      </c>
      <c r="U187" s="15" t="s">
        <v>256</v>
      </c>
      <c r="V187" s="7">
        <v>77</v>
      </c>
    </row>
    <row r="188" spans="19:22" ht="16" thickBot="1">
      <c r="S188" t="str">
        <f t="shared" si="2"/>
        <v xml:space="preserve">"ST-250-1800":86.5, </v>
      </c>
      <c r="U188" s="5" t="s">
        <v>257</v>
      </c>
      <c r="V188" s="12">
        <v>86.5</v>
      </c>
    </row>
    <row r="189" spans="19:22" ht="16" thickBot="1">
      <c r="S189" t="str">
        <f t="shared" si="2"/>
        <v xml:space="preserve">"ST-200-1800":86.5, </v>
      </c>
      <c r="U189" s="5" t="s">
        <v>258</v>
      </c>
      <c r="V189" s="13">
        <v>86.5</v>
      </c>
    </row>
    <row r="190" spans="19:22" ht="16" thickBot="1">
      <c r="S190" t="str">
        <f t="shared" si="2"/>
        <v xml:space="preserve">"ST-150-1800":85.5, </v>
      </c>
      <c r="U190" s="5" t="s">
        <v>259</v>
      </c>
      <c r="V190" s="14">
        <v>85.5</v>
      </c>
    </row>
    <row r="191" spans="19:22" ht="16" thickBot="1">
      <c r="S191" t="str">
        <f t="shared" si="2"/>
        <v xml:space="preserve">"ST-125-1800":84, </v>
      </c>
      <c r="U191" s="5" t="s">
        <v>260</v>
      </c>
      <c r="V191" s="14">
        <v>84</v>
      </c>
    </row>
    <row r="192" spans="19:22" ht="16" thickBot="1">
      <c r="S192" t="str">
        <f t="shared" si="2"/>
        <v xml:space="preserve">"ST-100-1800":84, </v>
      </c>
      <c r="U192" s="5" t="s">
        <v>261</v>
      </c>
      <c r="V192" s="14">
        <v>84</v>
      </c>
    </row>
    <row r="193" spans="19:22" ht="16" thickBot="1">
      <c r="S193" t="str">
        <f t="shared" si="2"/>
        <v xml:space="preserve">"ST-75-1800":85.5, </v>
      </c>
      <c r="U193" s="5" t="s">
        <v>262</v>
      </c>
      <c r="V193" s="14">
        <v>85.5</v>
      </c>
    </row>
    <row r="194" spans="19:22" ht="16" thickBot="1">
      <c r="S194" t="str">
        <f t="shared" si="2"/>
        <v xml:space="preserve">"ST-60-1800":84, </v>
      </c>
      <c r="U194" s="5" t="s">
        <v>263</v>
      </c>
      <c r="V194" s="14">
        <v>84</v>
      </c>
    </row>
    <row r="195" spans="19:22" ht="16" thickBot="1">
      <c r="S195" t="str">
        <f t="shared" si="2"/>
        <v xml:space="preserve">"ST-50-1800":82.5, </v>
      </c>
      <c r="U195" s="5" t="s">
        <v>264</v>
      </c>
      <c r="V195" s="14">
        <v>82.5</v>
      </c>
    </row>
    <row r="196" spans="19:22" ht="16" thickBot="1">
      <c r="S196" t="str">
        <f t="shared" si="2"/>
        <v xml:space="preserve">"ST-40-1800":81.5, </v>
      </c>
      <c r="U196" s="5" t="s">
        <v>265</v>
      </c>
      <c r="V196" s="14">
        <v>81.5</v>
      </c>
    </row>
    <row r="197" spans="19:22" ht="16" thickBot="1">
      <c r="S197" t="str">
        <f t="shared" si="2"/>
        <v xml:space="preserve">"ST-30-1800":80, </v>
      </c>
      <c r="U197" s="5" t="s">
        <v>266</v>
      </c>
      <c r="V197" s="14">
        <v>80</v>
      </c>
    </row>
    <row r="198" spans="19:22" ht="16" thickBot="1">
      <c r="S198" t="str">
        <f t="shared" si="2"/>
        <v xml:space="preserve">"ST-25-1800":78.5, </v>
      </c>
      <c r="U198" s="5" t="s">
        <v>267</v>
      </c>
      <c r="V198" s="14">
        <v>78.5</v>
      </c>
    </row>
    <row r="199" spans="19:22" ht="16" thickBot="1">
      <c r="S199" t="str">
        <f t="shared" si="2"/>
        <v xml:space="preserve">"ST-20-1800":77, </v>
      </c>
      <c r="U199" s="5" t="s">
        <v>268</v>
      </c>
      <c r="V199" s="14">
        <v>77</v>
      </c>
    </row>
    <row r="200" spans="19:22" ht="16" thickBot="1">
      <c r="S200" t="str">
        <f t="shared" si="2"/>
        <v xml:space="preserve">"ST-15-1800":75.5, </v>
      </c>
      <c r="U200" s="5" t="s">
        <v>269</v>
      </c>
      <c r="V200" s="14">
        <v>75.5</v>
      </c>
    </row>
    <row r="201" spans="19:22" ht="16" thickBot="1">
      <c r="S201" t="str">
        <f t="shared" si="2"/>
        <v xml:space="preserve">"ST-10-1800":74, </v>
      </c>
      <c r="U201" s="15" t="s">
        <v>270</v>
      </c>
      <c r="V201" s="14">
        <v>74</v>
      </c>
    </row>
    <row r="202" spans="19:22" ht="16" thickBot="1">
      <c r="S202" t="str">
        <f t="shared" si="2"/>
        <v xml:space="preserve">"ST-7.5-1800":74, </v>
      </c>
      <c r="U202" s="5" t="s">
        <v>271</v>
      </c>
      <c r="V202" s="14">
        <v>74</v>
      </c>
    </row>
    <row r="203" spans="19:22" ht="16" thickBot="1">
      <c r="S203" t="str">
        <f t="shared" si="2"/>
        <v xml:space="preserve">"ST-5-1800":75.5, </v>
      </c>
      <c r="U203" s="15" t="s">
        <v>272</v>
      </c>
      <c r="V203" s="14">
        <v>75.5</v>
      </c>
    </row>
    <row r="204" spans="19:22" ht="16" thickBot="1">
      <c r="S204" t="str">
        <f t="shared" si="2"/>
        <v xml:space="preserve">"ST-3-1800":75.5, </v>
      </c>
      <c r="U204" s="15" t="s">
        <v>273</v>
      </c>
      <c r="V204" s="14">
        <v>75.5</v>
      </c>
    </row>
    <row r="205" spans="19:22" ht="16" thickBot="1">
      <c r="S205" t="str">
        <f t="shared" si="2"/>
        <v xml:space="preserve">"ST-2-1800":70, </v>
      </c>
      <c r="U205" s="15" t="s">
        <v>274</v>
      </c>
      <c r="V205" s="14">
        <v>70</v>
      </c>
    </row>
    <row r="206" spans="19:22" ht="16" thickBot="1">
      <c r="S206" t="str">
        <f t="shared" si="2"/>
        <v xml:space="preserve">"ST-1.5-1800":70, </v>
      </c>
      <c r="U206" s="15" t="s">
        <v>275</v>
      </c>
      <c r="V206" s="14">
        <v>70</v>
      </c>
    </row>
    <row r="207" spans="19:22" ht="16" thickBot="1">
      <c r="S207" t="str">
        <f t="shared" si="2"/>
        <v xml:space="preserve">"ST-1-1800":68, </v>
      </c>
      <c r="U207" s="15" t="s">
        <v>276</v>
      </c>
      <c r="V207" s="7">
        <v>68</v>
      </c>
    </row>
    <row r="208" spans="19:22" ht="16" thickBot="1">
      <c r="S208" t="str">
        <f t="shared" si="2"/>
        <v xml:space="preserve">"ST-250-3600":86.5, </v>
      </c>
      <c r="U208" s="5" t="s">
        <v>277</v>
      </c>
      <c r="V208" s="12">
        <v>86.5</v>
      </c>
    </row>
    <row r="209" spans="19:22" ht="16" thickBot="1">
      <c r="S209" t="str">
        <f t="shared" si="2"/>
        <v xml:space="preserve">"ST-200-3600":85.5, </v>
      </c>
      <c r="U209" s="5" t="s">
        <v>278</v>
      </c>
      <c r="V209" s="13">
        <v>85.5</v>
      </c>
    </row>
    <row r="210" spans="19:22" ht="16" thickBot="1">
      <c r="S210" t="str">
        <f t="shared" si="2"/>
        <v xml:space="preserve">"ST-150-3600":84, </v>
      </c>
      <c r="U210" s="5" t="s">
        <v>279</v>
      </c>
      <c r="V210" s="14">
        <v>84</v>
      </c>
    </row>
    <row r="211" spans="19:22" ht="16" thickBot="1">
      <c r="S211" t="str">
        <f t="shared" si="2"/>
        <v xml:space="preserve">"ST-125-3600":84, </v>
      </c>
      <c r="U211" s="5" t="s">
        <v>280</v>
      </c>
      <c r="V211" s="14">
        <v>84</v>
      </c>
    </row>
    <row r="212" spans="19:22" ht="16" thickBot="1">
      <c r="S212" t="str">
        <f t="shared" si="2"/>
        <v xml:space="preserve">"ST-100-3600":81.5, </v>
      </c>
      <c r="U212" s="5" t="s">
        <v>281</v>
      </c>
      <c r="V212" s="14">
        <v>81.5</v>
      </c>
    </row>
    <row r="213" spans="19:22" ht="16" thickBot="1">
      <c r="S213" t="str">
        <f t="shared" si="2"/>
        <v xml:space="preserve">"ST-75-3600":81.5, </v>
      </c>
      <c r="U213" s="5" t="s">
        <v>282</v>
      </c>
      <c r="V213" s="14">
        <v>81.5</v>
      </c>
    </row>
    <row r="214" spans="19:22" ht="16" thickBot="1">
      <c r="S214" t="str">
        <f t="shared" si="2"/>
        <v xml:space="preserve">"ST-60-3600":81.5, </v>
      </c>
      <c r="U214" s="5" t="s">
        <v>283</v>
      </c>
      <c r="V214" s="14">
        <v>81.5</v>
      </c>
    </row>
    <row r="215" spans="19:22" ht="16" thickBot="1">
      <c r="S215" t="str">
        <f t="shared" si="2"/>
        <v xml:space="preserve">"ST-50-3600":80, </v>
      </c>
      <c r="U215" s="5" t="s">
        <v>284</v>
      </c>
      <c r="V215" s="14">
        <v>80</v>
      </c>
    </row>
    <row r="216" spans="19:22" ht="16" thickBot="1">
      <c r="S216" t="str">
        <f t="shared" si="2"/>
        <v xml:space="preserve">"ST-40-3600":78.5, </v>
      </c>
      <c r="U216" s="5" t="s">
        <v>285</v>
      </c>
      <c r="V216" s="14">
        <v>78.5</v>
      </c>
    </row>
    <row r="217" spans="19:22" ht="16" thickBot="1">
      <c r="S217" t="str">
        <f t="shared" si="2"/>
        <v xml:space="preserve">"ST-30-3600":77, </v>
      </c>
      <c r="U217" s="5" t="s">
        <v>286</v>
      </c>
      <c r="V217" s="14">
        <v>77</v>
      </c>
    </row>
    <row r="218" spans="19:22" ht="16" thickBot="1">
      <c r="S218" t="str">
        <f t="shared" si="2"/>
        <v xml:space="preserve">"ST-25-3600":74, </v>
      </c>
      <c r="U218" s="5" t="s">
        <v>287</v>
      </c>
      <c r="V218" s="14">
        <v>74</v>
      </c>
    </row>
    <row r="219" spans="19:22" ht="16" thickBot="1">
      <c r="S219" t="str">
        <f t="shared" si="2"/>
        <v xml:space="preserve">"ST-20-3600":72, </v>
      </c>
      <c r="U219" s="5" t="s">
        <v>288</v>
      </c>
      <c r="V219" s="14">
        <v>72</v>
      </c>
    </row>
    <row r="220" spans="19:22" ht="16" thickBot="1">
      <c r="S220" t="str">
        <f t="shared" si="2"/>
        <v xml:space="preserve">"ST-15-3600":72, </v>
      </c>
      <c r="U220" s="5" t="s">
        <v>289</v>
      </c>
      <c r="V220" s="14">
        <v>72</v>
      </c>
    </row>
    <row r="221" spans="19:22" ht="16" thickBot="1">
      <c r="S221" t="str">
        <f t="shared" ref="S221:S227" si="3">CONCATENATE("""", U221,""":", V221, ", ")</f>
        <v xml:space="preserve">"ST-10-3600":70, </v>
      </c>
      <c r="U221" s="15" t="s">
        <v>290</v>
      </c>
      <c r="V221" s="14">
        <v>70</v>
      </c>
    </row>
    <row r="222" spans="19:22" ht="16" thickBot="1">
      <c r="S222" t="str">
        <f t="shared" si="3"/>
        <v xml:space="preserve">"ST-7.5-3600":68, </v>
      </c>
      <c r="U222" s="5" t="s">
        <v>291</v>
      </c>
      <c r="V222" s="14">
        <v>68</v>
      </c>
    </row>
    <row r="223" spans="19:22" ht="16" thickBot="1">
      <c r="S223" t="str">
        <f t="shared" si="3"/>
        <v xml:space="preserve">"ST-5-3600":74, </v>
      </c>
      <c r="U223" s="15" t="s">
        <v>292</v>
      </c>
      <c r="V223" s="14">
        <v>74</v>
      </c>
    </row>
    <row r="224" spans="19:22" ht="16" thickBot="1">
      <c r="S224" t="str">
        <f t="shared" si="3"/>
        <v xml:space="preserve">"ST-3-3600":70, </v>
      </c>
      <c r="U224" s="15" t="s">
        <v>293</v>
      </c>
      <c r="V224" s="14">
        <v>70</v>
      </c>
    </row>
    <row r="225" spans="19:22" ht="16" thickBot="1">
      <c r="S225" t="str">
        <f t="shared" si="3"/>
        <v xml:space="preserve">"ST-2-3600":68, </v>
      </c>
      <c r="U225" s="15" t="s">
        <v>294</v>
      </c>
      <c r="V225" s="14">
        <v>68</v>
      </c>
    </row>
    <row r="226" spans="19:22" ht="16" thickBot="1">
      <c r="S226" t="str">
        <f t="shared" si="3"/>
        <v xml:space="preserve">"ST-1.5-3600":66, </v>
      </c>
      <c r="U226" s="15" t="s">
        <v>295</v>
      </c>
      <c r="V226" s="14">
        <v>66</v>
      </c>
    </row>
    <row r="227" spans="19:22" ht="16" thickBot="1">
      <c r="S227" t="str">
        <f t="shared" si="3"/>
        <v xml:space="preserve">"ST-1-3600":55, </v>
      </c>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opLeftCell="Z1"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188" t="s">
        <v>448</v>
      </c>
      <c r="B2" s="188"/>
      <c r="C2" s="188"/>
      <c r="D2" s="188"/>
      <c r="E2" s="188"/>
      <c r="F2" s="188"/>
      <c r="G2" s="188"/>
      <c r="H2" s="188"/>
      <c r="I2" s="188"/>
      <c r="J2" s="188"/>
      <c r="K2" s="188"/>
      <c r="L2" s="188"/>
      <c r="M2" s="188"/>
      <c r="N2" s="188"/>
      <c r="O2" s="188"/>
    </row>
    <row r="3" spans="1:45" ht="15" thickBot="1"/>
    <row r="4" spans="1:45" s="16" customFormat="1" ht="34.5" customHeight="1" thickBot="1">
      <c r="A4" s="239" t="s">
        <v>447</v>
      </c>
      <c r="B4" s="240"/>
      <c r="C4" s="240"/>
      <c r="D4" s="240"/>
      <c r="E4" s="240"/>
      <c r="F4" s="240"/>
      <c r="G4" s="240"/>
      <c r="H4" s="240"/>
      <c r="I4" s="240"/>
      <c r="J4" s="240"/>
      <c r="K4" s="240"/>
      <c r="L4" s="240"/>
      <c r="M4" s="240"/>
      <c r="N4" s="240"/>
      <c r="O4" s="240"/>
      <c r="P4" s="240"/>
      <c r="Q4" s="240"/>
      <c r="R4" s="240"/>
      <c r="S4" s="240"/>
      <c r="T4" s="241"/>
    </row>
    <row r="5" spans="1:45" s="16" customFormat="1" ht="56">
      <c r="A5" s="66"/>
      <c r="B5" s="95"/>
      <c r="C5" s="95"/>
      <c r="D5" s="95"/>
      <c r="E5" s="96"/>
      <c r="F5" s="95"/>
      <c r="G5" s="58" t="s">
        <v>356</v>
      </c>
      <c r="H5" s="95"/>
      <c r="I5" s="58" t="s">
        <v>442</v>
      </c>
      <c r="J5" s="95"/>
      <c r="K5" s="58" t="s">
        <v>342</v>
      </c>
      <c r="L5" s="58" t="s">
        <v>343</v>
      </c>
      <c r="M5" s="58" t="s">
        <v>345</v>
      </c>
      <c r="N5" s="58" t="s">
        <v>346</v>
      </c>
      <c r="O5" s="58" t="s">
        <v>348</v>
      </c>
      <c r="P5" s="58" t="s">
        <v>349</v>
      </c>
      <c r="Q5" s="95"/>
      <c r="R5" s="58" t="s">
        <v>341</v>
      </c>
      <c r="S5" s="95"/>
      <c r="T5" s="67" t="s">
        <v>443</v>
      </c>
    </row>
    <row r="6" spans="1:45" s="16" customFormat="1" ht="56">
      <c r="A6" s="41" t="s">
        <v>0</v>
      </c>
      <c r="B6" s="77" t="s">
        <v>3</v>
      </c>
      <c r="C6" s="36" t="s">
        <v>12</v>
      </c>
      <c r="D6" s="77" t="s">
        <v>27</v>
      </c>
      <c r="E6" s="81" t="s">
        <v>329</v>
      </c>
      <c r="F6" s="77" t="s">
        <v>89</v>
      </c>
      <c r="G6" s="77" t="s">
        <v>4</v>
      </c>
      <c r="H6" s="77" t="s">
        <v>2</v>
      </c>
      <c r="I6" s="77" t="s">
        <v>63</v>
      </c>
      <c r="J6" s="77" t="s">
        <v>73</v>
      </c>
      <c r="K6" s="77" t="s">
        <v>13</v>
      </c>
      <c r="L6" s="77" t="s">
        <v>24</v>
      </c>
      <c r="M6" s="77" t="s">
        <v>49</v>
      </c>
      <c r="N6" s="77" t="s">
        <v>50</v>
      </c>
      <c r="O6" s="77" t="s">
        <v>51</v>
      </c>
      <c r="P6" s="77" t="s">
        <v>52</v>
      </c>
      <c r="Q6" s="77" t="s">
        <v>14</v>
      </c>
      <c r="R6" s="77" t="s">
        <v>15</v>
      </c>
      <c r="S6" s="77" t="s">
        <v>48</v>
      </c>
      <c r="T6" s="47" t="s">
        <v>43</v>
      </c>
    </row>
    <row r="7" spans="1:45" s="16" customFormat="1" ht="42">
      <c r="A7" s="20" t="s">
        <v>11</v>
      </c>
      <c r="B7" s="17" t="s">
        <v>10</v>
      </c>
      <c r="C7" s="38" t="s">
        <v>7</v>
      </c>
      <c r="D7" s="90" t="s">
        <v>28</v>
      </c>
      <c r="E7" s="92"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77" t="s">
        <v>34</v>
      </c>
      <c r="C8" s="77" t="s">
        <v>36</v>
      </c>
      <c r="D8" s="77" t="s">
        <v>36</v>
      </c>
      <c r="E8" s="81" t="s">
        <v>36</v>
      </c>
      <c r="F8" s="77" t="s">
        <v>35</v>
      </c>
      <c r="G8" s="77" t="s">
        <v>36</v>
      </c>
      <c r="H8" s="77" t="s">
        <v>90</v>
      </c>
      <c r="I8" s="77" t="s">
        <v>72</v>
      </c>
      <c r="J8" s="77" t="s">
        <v>91</v>
      </c>
      <c r="K8" s="189" t="s">
        <v>37</v>
      </c>
      <c r="L8" s="190"/>
      <c r="M8" s="190"/>
      <c r="N8" s="190"/>
      <c r="O8" s="190"/>
      <c r="P8" s="190"/>
      <c r="Q8" s="190"/>
      <c r="R8" s="190"/>
      <c r="S8" s="190"/>
      <c r="T8" s="191"/>
    </row>
    <row r="9" spans="1:45" s="16" customFormat="1" ht="81" customHeight="1" thickBot="1">
      <c r="A9" s="50"/>
      <c r="B9" s="75" t="s">
        <v>5</v>
      </c>
      <c r="C9" s="51"/>
      <c r="D9" s="75"/>
      <c r="E9" s="93" t="s">
        <v>330</v>
      </c>
      <c r="F9" s="51"/>
      <c r="G9" s="75"/>
      <c r="H9" s="75"/>
      <c r="I9" s="75"/>
      <c r="J9" s="52"/>
      <c r="K9" s="75"/>
      <c r="L9" s="75"/>
      <c r="M9" s="75"/>
      <c r="N9" s="75"/>
      <c r="O9" s="75"/>
      <c r="P9" s="75"/>
      <c r="Q9" s="75"/>
      <c r="R9" s="75"/>
      <c r="S9" s="75" t="s">
        <v>6</v>
      </c>
      <c r="T9" s="94"/>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224" t="s">
        <v>336</v>
      </c>
      <c r="B11" s="225"/>
      <c r="C11" s="225"/>
      <c r="D11" s="225"/>
      <c r="E11" s="225"/>
      <c r="F11" s="225"/>
      <c r="G11" s="225"/>
      <c r="H11" s="225"/>
      <c r="I11" s="225"/>
      <c r="J11" s="225"/>
      <c r="K11" s="225"/>
      <c r="L11" s="225"/>
      <c r="M11" s="225"/>
      <c r="N11" s="225"/>
      <c r="O11" s="226"/>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227" t="s">
        <v>322</v>
      </c>
      <c r="B13" s="228"/>
      <c r="C13" s="228"/>
      <c r="D13" s="228"/>
      <c r="E13" s="228"/>
      <c r="F13" s="228"/>
      <c r="G13" s="228"/>
      <c r="H13" s="228"/>
      <c r="I13" s="228"/>
      <c r="J13" s="228"/>
      <c r="K13" s="228"/>
      <c r="L13" s="228"/>
      <c r="M13" s="228"/>
      <c r="N13" s="228"/>
      <c r="O13" s="229"/>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238" t="s">
        <v>331</v>
      </c>
      <c r="B14" s="236"/>
      <c r="C14" s="236"/>
      <c r="D14" s="237"/>
      <c r="E14" s="233" t="s">
        <v>334</v>
      </c>
      <c r="F14" s="235" t="s">
        <v>332</v>
      </c>
      <c r="G14" s="236"/>
      <c r="H14" s="236"/>
      <c r="I14" s="236"/>
      <c r="J14" s="233" t="s">
        <v>334</v>
      </c>
      <c r="K14" s="242" t="s">
        <v>333</v>
      </c>
      <c r="L14" s="242"/>
      <c r="M14" s="242"/>
      <c r="N14" s="242"/>
      <c r="O14" s="243"/>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70" t="s">
        <v>382</v>
      </c>
      <c r="B15" s="70" t="s">
        <v>381</v>
      </c>
      <c r="C15" s="70" t="s">
        <v>383</v>
      </c>
      <c r="D15" s="74"/>
      <c r="E15" s="233"/>
      <c r="F15" s="70" t="s">
        <v>382</v>
      </c>
      <c r="G15" s="70" t="s">
        <v>381</v>
      </c>
      <c r="H15" s="70" t="s">
        <v>383</v>
      </c>
      <c r="I15" s="73"/>
      <c r="J15" s="233"/>
      <c r="K15" s="70" t="s">
        <v>446</v>
      </c>
      <c r="L15" s="70" t="s">
        <v>427</v>
      </c>
      <c r="M15" s="70" t="s">
        <v>428</v>
      </c>
      <c r="N15" s="70" t="s">
        <v>445</v>
      </c>
      <c r="O15" s="80"/>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233"/>
      <c r="F16" s="34" t="s">
        <v>16</v>
      </c>
      <c r="G16" s="34" t="s">
        <v>19</v>
      </c>
      <c r="H16" s="34" t="s">
        <v>17</v>
      </c>
      <c r="I16" s="36" t="s">
        <v>32</v>
      </c>
      <c r="J16" s="233"/>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233"/>
      <c r="F17" s="17">
        <v>35</v>
      </c>
      <c r="G17" s="17">
        <v>40</v>
      </c>
      <c r="H17" s="17">
        <v>45</v>
      </c>
      <c r="I17" s="38">
        <v>4</v>
      </c>
      <c r="J17" s="233"/>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186" t="s">
        <v>38</v>
      </c>
      <c r="B18" s="187"/>
      <c r="C18" s="187"/>
      <c r="D18" s="45" t="s">
        <v>36</v>
      </c>
      <c r="E18" s="234"/>
      <c r="F18" s="187" t="s">
        <v>38</v>
      </c>
      <c r="G18" s="187"/>
      <c r="H18" s="187"/>
      <c r="I18" s="45" t="s">
        <v>36</v>
      </c>
      <c r="J18" s="234"/>
      <c r="K18" s="244" t="s">
        <v>38</v>
      </c>
      <c r="L18" s="244"/>
      <c r="M18" s="244"/>
      <c r="N18" s="244"/>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245" t="s">
        <v>47</v>
      </c>
      <c r="B19" s="246"/>
      <c r="C19" s="246"/>
      <c r="D19" s="246"/>
      <c r="E19" s="246"/>
      <c r="F19" s="246"/>
      <c r="G19" s="246"/>
      <c r="H19" s="246"/>
      <c r="I19" s="246"/>
      <c r="J19" s="246"/>
      <c r="K19" s="246"/>
      <c r="L19" s="246"/>
      <c r="M19" s="246"/>
      <c r="N19" s="246"/>
      <c r="O19" s="246"/>
      <c r="P19" s="247"/>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245"/>
      <c r="B20" s="246"/>
      <c r="C20" s="246"/>
      <c r="D20" s="246"/>
      <c r="E20" s="246"/>
      <c r="F20" s="246"/>
      <c r="G20" s="246"/>
      <c r="H20" s="246"/>
      <c r="I20" s="246"/>
      <c r="J20" s="246"/>
      <c r="K20" s="246"/>
      <c r="L20" s="246"/>
      <c r="M20" s="246"/>
      <c r="N20" s="246"/>
      <c r="O20" s="246"/>
      <c r="P20" s="248"/>
      <c r="AP20"/>
      <c r="AQ20"/>
      <c r="AR20"/>
      <c r="AS20"/>
    </row>
    <row r="21" spans="1:51" ht="31" thickBot="1">
      <c r="A21" s="227" t="s">
        <v>323</v>
      </c>
      <c r="B21" s="228"/>
      <c r="C21" s="228"/>
      <c r="D21" s="228"/>
      <c r="E21" s="228"/>
      <c r="F21" s="228"/>
      <c r="G21" s="228"/>
      <c r="H21" s="228"/>
      <c r="I21" s="228"/>
      <c r="J21" s="228"/>
      <c r="K21" s="228"/>
      <c r="L21" s="228"/>
      <c r="M21" s="228"/>
      <c r="N21" s="228"/>
      <c r="O21" s="228"/>
      <c r="P21" s="229"/>
      <c r="AP21"/>
      <c r="AQ21"/>
      <c r="AR21"/>
      <c r="AS21"/>
    </row>
    <row r="22" spans="1:51" ht="24" thickBot="1">
      <c r="A22" s="238" t="s">
        <v>331</v>
      </c>
      <c r="B22" s="236"/>
      <c r="C22" s="237"/>
      <c r="D22" s="233" t="s">
        <v>334</v>
      </c>
      <c r="E22" s="235" t="s">
        <v>332</v>
      </c>
      <c r="F22" s="236"/>
      <c r="G22" s="236"/>
      <c r="H22" s="236"/>
      <c r="I22" s="237"/>
      <c r="J22" s="233" t="s">
        <v>334</v>
      </c>
      <c r="K22" s="230" t="s">
        <v>333</v>
      </c>
      <c r="L22" s="231"/>
      <c r="M22" s="231"/>
      <c r="N22" s="231"/>
      <c r="O22" s="231"/>
      <c r="P22" s="232"/>
      <c r="AM22"/>
      <c r="AN22"/>
      <c r="AO22"/>
      <c r="AP22"/>
      <c r="AQ22"/>
      <c r="AR22"/>
      <c r="AS22"/>
    </row>
    <row r="23" spans="1:51" ht="32">
      <c r="A23" s="70" t="s">
        <v>382</v>
      </c>
      <c r="B23" s="70" t="s">
        <v>381</v>
      </c>
      <c r="C23" s="70" t="s">
        <v>383</v>
      </c>
      <c r="D23" s="233"/>
      <c r="E23" s="70" t="s">
        <v>382</v>
      </c>
      <c r="F23" s="70" t="s">
        <v>381</v>
      </c>
      <c r="G23" s="70" t="s">
        <v>383</v>
      </c>
      <c r="H23" s="73"/>
      <c r="I23" s="74"/>
      <c r="J23" s="233"/>
      <c r="K23" s="70" t="s">
        <v>446</v>
      </c>
      <c r="L23" s="70" t="s">
        <v>427</v>
      </c>
      <c r="M23" s="70" t="s">
        <v>428</v>
      </c>
      <c r="N23" s="70" t="s">
        <v>445</v>
      </c>
      <c r="O23" s="78"/>
      <c r="P23" s="79"/>
      <c r="AM23"/>
      <c r="AN23"/>
      <c r="AO23"/>
      <c r="AP23"/>
      <c r="AQ23"/>
      <c r="AR23"/>
      <c r="AS23"/>
    </row>
    <row r="24" spans="1:51" ht="42">
      <c r="A24" s="41" t="s">
        <v>16</v>
      </c>
      <c r="B24" s="34" t="s">
        <v>19</v>
      </c>
      <c r="C24" s="34" t="s">
        <v>17</v>
      </c>
      <c r="D24" s="233"/>
      <c r="E24" s="34" t="s">
        <v>16</v>
      </c>
      <c r="F24" s="34" t="s">
        <v>19</v>
      </c>
      <c r="G24" s="34" t="s">
        <v>17</v>
      </c>
      <c r="H24" s="40" t="s">
        <v>44</v>
      </c>
      <c r="I24" s="34" t="s">
        <v>46</v>
      </c>
      <c r="J24" s="233"/>
      <c r="K24" s="34" t="s">
        <v>18</v>
      </c>
      <c r="L24" s="34" t="s">
        <v>20</v>
      </c>
      <c r="M24" s="34" t="s">
        <v>21</v>
      </c>
      <c r="N24" s="34" t="s">
        <v>22</v>
      </c>
      <c r="O24" s="40" t="s">
        <v>44</v>
      </c>
      <c r="P24" s="47" t="s">
        <v>46</v>
      </c>
      <c r="AN24"/>
      <c r="AO24"/>
      <c r="AP24"/>
      <c r="AQ24"/>
      <c r="AR24"/>
      <c r="AS24"/>
    </row>
    <row r="25" spans="1:51">
      <c r="A25" s="20">
        <v>35</v>
      </c>
      <c r="B25" s="17">
        <v>40</v>
      </c>
      <c r="C25" s="17">
        <v>45</v>
      </c>
      <c r="D25" s="233"/>
      <c r="E25" s="17">
        <v>35</v>
      </c>
      <c r="F25" s="17">
        <v>40</v>
      </c>
      <c r="G25" s="17">
        <v>45</v>
      </c>
      <c r="H25" s="38" t="s">
        <v>1</v>
      </c>
      <c r="I25" s="17">
        <v>95</v>
      </c>
      <c r="J25" s="233"/>
      <c r="K25" s="17">
        <v>2.5</v>
      </c>
      <c r="L25" s="17">
        <v>10</v>
      </c>
      <c r="M25" s="17">
        <v>18</v>
      </c>
      <c r="N25" s="17">
        <v>40</v>
      </c>
      <c r="O25" s="38" t="s">
        <v>1</v>
      </c>
      <c r="P25" s="48">
        <v>95</v>
      </c>
      <c r="AN25"/>
      <c r="AO25"/>
      <c r="AP25"/>
      <c r="AQ25"/>
      <c r="AR25"/>
      <c r="AS25"/>
    </row>
    <row r="26" spans="1:51" ht="50.25" customHeight="1" thickBot="1">
      <c r="A26" s="186" t="s">
        <v>38</v>
      </c>
      <c r="B26" s="187"/>
      <c r="C26" s="187"/>
      <c r="D26" s="234"/>
      <c r="E26" s="187" t="s">
        <v>38</v>
      </c>
      <c r="F26" s="187"/>
      <c r="G26" s="187"/>
      <c r="H26" s="45" t="s">
        <v>36</v>
      </c>
      <c r="I26" s="45" t="s">
        <v>38</v>
      </c>
      <c r="J26" s="234"/>
      <c r="K26" s="244" t="s">
        <v>38</v>
      </c>
      <c r="L26" s="244"/>
      <c r="M26" s="244"/>
      <c r="N26" s="244"/>
      <c r="O26" s="45" t="s">
        <v>36</v>
      </c>
      <c r="P26" s="46" t="s">
        <v>38</v>
      </c>
      <c r="AN26"/>
      <c r="AO26"/>
      <c r="AP26"/>
      <c r="AQ26"/>
      <c r="AR26"/>
      <c r="AS26"/>
    </row>
    <row r="27" spans="1:51">
      <c r="AQ27"/>
      <c r="AR27"/>
      <c r="AS27"/>
    </row>
    <row r="29" spans="1:51" ht="15" thickBot="1"/>
    <row r="30" spans="1:51" ht="30.75" customHeight="1" thickBot="1">
      <c r="A30" s="183" t="s">
        <v>444</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5"/>
    </row>
    <row r="31" spans="1:51" s="23" customFormat="1" ht="30.75" customHeight="1">
      <c r="A31" s="69" t="s">
        <v>357</v>
      </c>
      <c r="B31" s="64" t="s">
        <v>361</v>
      </c>
      <c r="C31" s="64" t="s">
        <v>385</v>
      </c>
      <c r="D31" s="64"/>
      <c r="E31" s="83" t="s">
        <v>359</v>
      </c>
      <c r="F31" s="64" t="s">
        <v>360</v>
      </c>
      <c r="G31" s="84" t="s">
        <v>362</v>
      </c>
      <c r="H31" s="84" t="s">
        <v>386</v>
      </c>
      <c r="I31" s="64" t="s">
        <v>363</v>
      </c>
      <c r="J31" s="64" t="s">
        <v>364</v>
      </c>
      <c r="K31" s="64" t="s">
        <v>365</v>
      </c>
      <c r="L31" s="70" t="s">
        <v>366</v>
      </c>
      <c r="M31" s="70" t="s">
        <v>396</v>
      </c>
      <c r="N31" s="70" t="s">
        <v>367</v>
      </c>
      <c r="O31" s="70" t="s">
        <v>387</v>
      </c>
      <c r="P31" s="70" t="s">
        <v>388</v>
      </c>
      <c r="Q31" s="70" t="s">
        <v>389</v>
      </c>
      <c r="R31" s="64" t="s">
        <v>390</v>
      </c>
      <c r="S31" s="64" t="s">
        <v>391</v>
      </c>
      <c r="T31" s="64" t="s">
        <v>392</v>
      </c>
      <c r="U31" s="64" t="s">
        <v>400</v>
      </c>
      <c r="V31" s="64" t="s">
        <v>401</v>
      </c>
      <c r="W31" s="64" t="s">
        <v>402</v>
      </c>
      <c r="X31" s="64" t="s">
        <v>393</v>
      </c>
      <c r="Y31" s="64" t="s">
        <v>394</v>
      </c>
      <c r="Z31" s="64" t="s">
        <v>395</v>
      </c>
      <c r="AA31" s="64" t="s">
        <v>403</v>
      </c>
      <c r="AB31" s="64" t="s">
        <v>404</v>
      </c>
      <c r="AC31" s="64" t="s">
        <v>405</v>
      </c>
      <c r="AD31" s="64" t="s">
        <v>397</v>
      </c>
      <c r="AE31" s="64" t="s">
        <v>398</v>
      </c>
      <c r="AF31" s="64" t="s">
        <v>399</v>
      </c>
      <c r="AG31" s="64" t="s">
        <v>406</v>
      </c>
      <c r="AH31" s="64" t="s">
        <v>407</v>
      </c>
      <c r="AI31" s="64" t="s">
        <v>408</v>
      </c>
      <c r="AJ31" s="70" t="s">
        <v>377</v>
      </c>
      <c r="AK31" s="70" t="s">
        <v>378</v>
      </c>
      <c r="AL31" s="70" t="s">
        <v>379</v>
      </c>
      <c r="AM31" s="70" t="s">
        <v>409</v>
      </c>
      <c r="AN31" s="70" t="s">
        <v>410</v>
      </c>
      <c r="AO31" s="70" t="s">
        <v>411</v>
      </c>
      <c r="AP31" s="85" t="s">
        <v>380</v>
      </c>
      <c r="AQ31" s="85" t="s">
        <v>412</v>
      </c>
      <c r="AR31" s="85" t="s">
        <v>413</v>
      </c>
      <c r="AS31" s="86" t="s">
        <v>414</v>
      </c>
    </row>
    <row r="32" spans="1:51" ht="42">
      <c r="A32" s="41" t="s">
        <v>23</v>
      </c>
      <c r="B32" s="77" t="s">
        <v>54</v>
      </c>
      <c r="C32" s="77" t="s">
        <v>53</v>
      </c>
      <c r="D32" s="77" t="s">
        <v>96</v>
      </c>
      <c r="E32" s="77" t="s">
        <v>297</v>
      </c>
      <c r="F32" s="54" t="s">
        <v>298</v>
      </c>
      <c r="G32" s="77" t="s">
        <v>55</v>
      </c>
      <c r="H32" s="77" t="s">
        <v>59</v>
      </c>
      <c r="I32" s="54" t="s">
        <v>56</v>
      </c>
      <c r="J32" s="54" t="s">
        <v>57</v>
      </c>
      <c r="K32" s="54" t="s">
        <v>58</v>
      </c>
      <c r="L32" s="54" t="s">
        <v>60</v>
      </c>
      <c r="M32" s="54" t="s">
        <v>61</v>
      </c>
      <c r="N32" s="54" t="s">
        <v>62</v>
      </c>
      <c r="O32" s="54" t="s">
        <v>67</v>
      </c>
      <c r="P32" s="54" t="s">
        <v>66</v>
      </c>
      <c r="Q32" s="54" t="s">
        <v>65</v>
      </c>
      <c r="R32" s="54" t="s">
        <v>302</v>
      </c>
      <c r="S32" s="54" t="s">
        <v>301</v>
      </c>
      <c r="T32" s="54" t="s">
        <v>300</v>
      </c>
      <c r="U32" s="54" t="s">
        <v>303</v>
      </c>
      <c r="V32" s="54" t="s">
        <v>304</v>
      </c>
      <c r="W32" s="54" t="s">
        <v>305</v>
      </c>
      <c r="X32" s="54" t="s">
        <v>306</v>
      </c>
      <c r="Y32" s="54" t="s">
        <v>307</v>
      </c>
      <c r="Z32" s="54" t="s">
        <v>308</v>
      </c>
      <c r="AA32" s="54" t="s">
        <v>309</v>
      </c>
      <c r="AB32" s="54" t="s">
        <v>310</v>
      </c>
      <c r="AC32" s="54" t="s">
        <v>311</v>
      </c>
      <c r="AD32" s="54" t="s">
        <v>316</v>
      </c>
      <c r="AE32" s="54" t="s">
        <v>317</v>
      </c>
      <c r="AF32" s="54" t="s">
        <v>318</v>
      </c>
      <c r="AG32" s="54" t="s">
        <v>319</v>
      </c>
      <c r="AH32" s="54" t="s">
        <v>320</v>
      </c>
      <c r="AI32" s="54" t="s">
        <v>321</v>
      </c>
      <c r="AJ32" s="77" t="s">
        <v>351</v>
      </c>
      <c r="AK32" s="77" t="s">
        <v>352</v>
      </c>
      <c r="AL32" s="77" t="s">
        <v>352</v>
      </c>
      <c r="AM32" s="77" t="s">
        <v>353</v>
      </c>
      <c r="AN32" s="77" t="s">
        <v>354</v>
      </c>
      <c r="AO32" s="77" t="s">
        <v>354</v>
      </c>
      <c r="AP32" s="54" t="s">
        <v>312</v>
      </c>
      <c r="AQ32" s="54" t="s">
        <v>313</v>
      </c>
      <c r="AR32" s="54" t="s">
        <v>314</v>
      </c>
      <c r="AS32" s="91"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76" t="s">
        <v>26</v>
      </c>
      <c r="C34" s="76" t="s">
        <v>26</v>
      </c>
      <c r="D34" s="75" t="s">
        <v>95</v>
      </c>
      <c r="E34" s="76" t="s">
        <v>64</v>
      </c>
      <c r="F34" s="75" t="s">
        <v>299</v>
      </c>
      <c r="G34" s="75" t="s">
        <v>299</v>
      </c>
      <c r="H34" s="75" t="s">
        <v>299</v>
      </c>
      <c r="I34" s="75" t="s">
        <v>299</v>
      </c>
      <c r="J34" s="75" t="s">
        <v>299</v>
      </c>
      <c r="K34" s="75" t="s">
        <v>299</v>
      </c>
      <c r="L34" s="75" t="s">
        <v>299</v>
      </c>
      <c r="M34" s="75" t="s">
        <v>299</v>
      </c>
      <c r="N34" s="75" t="s">
        <v>299</v>
      </c>
      <c r="O34" s="75" t="s">
        <v>299</v>
      </c>
      <c r="P34" s="75" t="s">
        <v>299</v>
      </c>
      <c r="Q34" s="75" t="s">
        <v>299</v>
      </c>
      <c r="R34" s="75" t="s">
        <v>299</v>
      </c>
      <c r="S34" s="75" t="s">
        <v>299</v>
      </c>
      <c r="T34" s="75" t="s">
        <v>299</v>
      </c>
      <c r="U34" s="75" t="s">
        <v>299</v>
      </c>
      <c r="V34" s="75" t="s">
        <v>299</v>
      </c>
      <c r="W34" s="75" t="s">
        <v>299</v>
      </c>
      <c r="X34" s="75" t="s">
        <v>299</v>
      </c>
      <c r="Y34" s="75" t="s">
        <v>299</v>
      </c>
      <c r="Z34" s="75" t="s">
        <v>299</v>
      </c>
      <c r="AA34" s="75" t="s">
        <v>299</v>
      </c>
      <c r="AB34" s="75" t="s">
        <v>299</v>
      </c>
      <c r="AC34" s="75" t="s">
        <v>299</v>
      </c>
      <c r="AD34" s="75" t="s">
        <v>299</v>
      </c>
      <c r="AE34" s="75" t="s">
        <v>299</v>
      </c>
      <c r="AF34" s="75" t="s">
        <v>299</v>
      </c>
      <c r="AG34" s="75" t="s">
        <v>299</v>
      </c>
      <c r="AH34" s="75" t="s">
        <v>299</v>
      </c>
      <c r="AI34" s="75" t="s">
        <v>299</v>
      </c>
      <c r="AJ34" s="75" t="s">
        <v>299</v>
      </c>
      <c r="AK34" s="75" t="s">
        <v>299</v>
      </c>
      <c r="AL34" s="75" t="s">
        <v>299</v>
      </c>
      <c r="AM34" s="75" t="s">
        <v>299</v>
      </c>
      <c r="AN34" s="75" t="s">
        <v>299</v>
      </c>
      <c r="AO34" s="75" t="s">
        <v>299</v>
      </c>
      <c r="AP34" s="75" t="s">
        <v>299</v>
      </c>
      <c r="AQ34" s="75" t="s">
        <v>299</v>
      </c>
      <c r="AR34" s="75"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 ref="A11:O11"/>
    <mergeCell ref="A13:O13"/>
    <mergeCell ref="K22:P22"/>
    <mergeCell ref="J22:J26"/>
    <mergeCell ref="E22:I22"/>
    <mergeCell ref="A14:D14"/>
    <mergeCell ref="E14:E18"/>
    <mergeCell ref="F14:I14"/>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2:AY34"/>
  <sheetViews>
    <sheetView topLeftCell="A11" zoomScale="125" zoomScaleNormal="125" zoomScalePageLayoutView="125" workbookViewId="0">
      <selection activeCell="D24" sqref="D24"/>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31" customWidth="1"/>
    <col min="8" max="8" width="25.5" bestFit="1" customWidth="1"/>
    <col min="9" max="9" width="24.1640625" customWidth="1"/>
    <col min="10" max="10" width="34.6640625"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4"/>
    </row>
    <row r="5" spans="1:32" s="16" customFormat="1" ht="56">
      <c r="A5" s="66"/>
      <c r="B5" s="95"/>
      <c r="C5" s="95"/>
      <c r="D5" s="95"/>
      <c r="E5" s="96"/>
      <c r="F5" s="95"/>
      <c r="G5" s="141"/>
      <c r="H5" s="58" t="s">
        <v>356</v>
      </c>
      <c r="I5" s="95"/>
      <c r="J5" s="58" t="s">
        <v>442</v>
      </c>
      <c r="K5" s="58" t="s">
        <v>342</v>
      </c>
      <c r="L5" s="58" t="s">
        <v>343</v>
      </c>
      <c r="M5" s="58" t="s">
        <v>345</v>
      </c>
      <c r="N5" s="58" t="s">
        <v>346</v>
      </c>
      <c r="O5" s="58" t="s">
        <v>348</v>
      </c>
      <c r="P5" s="58" t="s">
        <v>349</v>
      </c>
      <c r="Q5" s="95"/>
      <c r="R5" s="58" t="s">
        <v>341</v>
      </c>
      <c r="S5" s="95"/>
      <c r="T5" s="67" t="s">
        <v>443</v>
      </c>
    </row>
    <row r="6" spans="1:32" s="16" customFormat="1" ht="42">
      <c r="A6" s="41" t="s">
        <v>0</v>
      </c>
      <c r="B6" s="77" t="s">
        <v>3</v>
      </c>
      <c r="C6" s="36" t="s">
        <v>12</v>
      </c>
      <c r="D6" s="77" t="s">
        <v>27</v>
      </c>
      <c r="E6" s="121" t="s">
        <v>329</v>
      </c>
      <c r="F6" s="77" t="s">
        <v>89</v>
      </c>
      <c r="G6" s="157" t="s">
        <v>556</v>
      </c>
      <c r="H6" s="77" t="s">
        <v>4</v>
      </c>
      <c r="I6" s="77" t="s">
        <v>2</v>
      </c>
      <c r="J6" s="77" t="s">
        <v>63</v>
      </c>
      <c r="K6" s="77" t="s">
        <v>13</v>
      </c>
      <c r="L6" s="77" t="s">
        <v>24</v>
      </c>
      <c r="M6" s="77" t="s">
        <v>49</v>
      </c>
      <c r="N6" s="77" t="s">
        <v>50</v>
      </c>
      <c r="O6" s="77" t="s">
        <v>51</v>
      </c>
      <c r="P6" s="77" t="s">
        <v>52</v>
      </c>
      <c r="Q6" s="77" t="s">
        <v>14</v>
      </c>
      <c r="R6" s="77" t="s">
        <v>15</v>
      </c>
      <c r="S6" s="77" t="s">
        <v>48</v>
      </c>
      <c r="T6" s="47" t="s">
        <v>43</v>
      </c>
    </row>
    <row r="7" spans="1:32" s="16" customFormat="1" ht="42">
      <c r="A7" s="20" t="s">
        <v>11</v>
      </c>
      <c r="B7" s="17" t="s">
        <v>10</v>
      </c>
      <c r="C7" s="38" t="s">
        <v>7</v>
      </c>
      <c r="D7" s="38" t="s">
        <v>28</v>
      </c>
      <c r="E7" s="92" t="s">
        <v>324</v>
      </c>
      <c r="F7" s="37" t="s">
        <v>78</v>
      </c>
      <c r="G7" s="154" t="s">
        <v>449</v>
      </c>
      <c r="H7" s="37">
        <v>3600</v>
      </c>
      <c r="I7" s="35" t="str">
        <f>F7&amp;-H7</f>
        <v>ESFM-3600</v>
      </c>
      <c r="J7" s="162">
        <v>60</v>
      </c>
      <c r="K7" s="17">
        <v>349.83050847457599</v>
      </c>
      <c r="L7" s="17">
        <v>424.42976156276899</v>
      </c>
      <c r="M7" s="17">
        <v>262.37288135593201</v>
      </c>
      <c r="N7" s="17">
        <v>498.891123240448</v>
      </c>
      <c r="O7" s="17">
        <v>384.813559322034</v>
      </c>
      <c r="P7" s="17">
        <v>383.47601264004601</v>
      </c>
      <c r="Q7" s="17" t="s">
        <v>11</v>
      </c>
      <c r="R7" s="17">
        <v>9</v>
      </c>
      <c r="S7" s="17" t="s">
        <v>9</v>
      </c>
      <c r="T7" s="161">
        <v>1.01</v>
      </c>
    </row>
    <row r="8" spans="1:32" s="16" customFormat="1" ht="42">
      <c r="A8" s="20" t="s">
        <v>11</v>
      </c>
      <c r="B8" s="156" t="s">
        <v>10</v>
      </c>
      <c r="C8" s="38" t="s">
        <v>7</v>
      </c>
      <c r="D8" s="38" t="s">
        <v>28</v>
      </c>
      <c r="E8" s="92" t="s">
        <v>324</v>
      </c>
      <c r="F8" s="37" t="s">
        <v>75</v>
      </c>
      <c r="G8" s="154" t="s">
        <v>449</v>
      </c>
      <c r="H8" s="37">
        <v>1800</v>
      </c>
      <c r="I8" s="35" t="str">
        <f>F8&amp;-H8</f>
        <v>RSV-1800</v>
      </c>
      <c r="J8" s="162">
        <v>125</v>
      </c>
      <c r="K8" s="156">
        <v>349.83050847457599</v>
      </c>
      <c r="L8" s="156">
        <v>424.42976156276899</v>
      </c>
      <c r="M8" s="156">
        <v>262.37288135593201</v>
      </c>
      <c r="N8" s="156">
        <v>498.891123240448</v>
      </c>
      <c r="O8" s="156">
        <v>384.813559322034</v>
      </c>
      <c r="P8" s="156">
        <v>383.47601264004601</v>
      </c>
      <c r="Q8" s="156" t="s">
        <v>11</v>
      </c>
      <c r="R8" s="156">
        <v>9</v>
      </c>
      <c r="S8" s="156" t="s">
        <v>9</v>
      </c>
      <c r="T8" s="161">
        <v>1</v>
      </c>
    </row>
    <row r="9" spans="1:32" s="16" customFormat="1" ht="42">
      <c r="A9" s="20" t="s">
        <v>11</v>
      </c>
      <c r="B9" s="156" t="s">
        <v>10</v>
      </c>
      <c r="C9" s="38" t="s">
        <v>7</v>
      </c>
      <c r="D9" s="38" t="s">
        <v>28</v>
      </c>
      <c r="E9" s="92" t="s">
        <v>324</v>
      </c>
      <c r="F9" s="37" t="s">
        <v>76</v>
      </c>
      <c r="G9" s="154">
        <v>4</v>
      </c>
      <c r="H9" s="37">
        <v>3600</v>
      </c>
      <c r="I9" s="35" t="str">
        <f>F9&amp;-H9</f>
        <v>ST-3600</v>
      </c>
      <c r="J9" s="162">
        <v>20</v>
      </c>
      <c r="K9" s="156">
        <v>349.83050847457599</v>
      </c>
      <c r="L9" s="156">
        <v>424.42976156276899</v>
      </c>
      <c r="M9" s="156">
        <v>262.37288135593201</v>
      </c>
      <c r="N9" s="156">
        <v>498.891123240448</v>
      </c>
      <c r="O9" s="156">
        <v>384.813559322034</v>
      </c>
      <c r="P9" s="156">
        <v>383.47601264004601</v>
      </c>
      <c r="Q9" s="156" t="s">
        <v>11</v>
      </c>
      <c r="R9" s="156">
        <v>9</v>
      </c>
      <c r="S9" s="156" t="s">
        <v>9</v>
      </c>
      <c r="T9" s="161">
        <v>0.93</v>
      </c>
    </row>
    <row r="10" spans="1:32" s="18" customFormat="1" ht="48" customHeight="1" thickBot="1">
      <c r="A10" s="41" t="s">
        <v>33</v>
      </c>
      <c r="B10" s="77" t="s">
        <v>34</v>
      </c>
      <c r="C10" s="77" t="s">
        <v>36</v>
      </c>
      <c r="D10" s="77" t="s">
        <v>36</v>
      </c>
      <c r="E10" s="121" t="s">
        <v>36</v>
      </c>
      <c r="F10" s="77" t="s">
        <v>35</v>
      </c>
      <c r="G10" s="147" t="s">
        <v>36</v>
      </c>
      <c r="H10" s="77" t="s">
        <v>36</v>
      </c>
      <c r="I10" s="77" t="s">
        <v>90</v>
      </c>
      <c r="J10" s="77" t="s">
        <v>72</v>
      </c>
      <c r="K10" s="189" t="s">
        <v>37</v>
      </c>
      <c r="L10" s="190"/>
      <c r="M10" s="190"/>
      <c r="N10" s="190"/>
      <c r="O10" s="190"/>
      <c r="P10" s="190"/>
      <c r="Q10" s="190"/>
      <c r="R10" s="190"/>
      <c r="S10" s="190"/>
      <c r="T10" s="191"/>
    </row>
    <row r="11" spans="1:32" s="16" customFormat="1" ht="81" customHeight="1" thickBot="1">
      <c r="A11" s="50"/>
      <c r="B11" s="122" t="s">
        <v>5</v>
      </c>
      <c r="C11" s="51"/>
      <c r="D11" s="122"/>
      <c r="E11" s="93" t="s">
        <v>330</v>
      </c>
      <c r="F11" s="51"/>
      <c r="G11" s="122"/>
      <c r="H11" s="122"/>
      <c r="I11" s="122"/>
      <c r="J11" s="52"/>
      <c r="K11" s="122"/>
      <c r="L11" s="122"/>
      <c r="M11" s="122"/>
      <c r="N11" s="122"/>
      <c r="O11" s="122"/>
      <c r="P11" s="122"/>
      <c r="Q11" s="122"/>
      <c r="R11" s="122"/>
      <c r="S11" s="147" t="s">
        <v>6</v>
      </c>
      <c r="T11" s="94"/>
    </row>
    <row r="12" spans="1:32" ht="15" thickBot="1">
      <c r="C12" s="1"/>
      <c r="D12" s="1"/>
      <c r="E12" s="1"/>
      <c r="F12" s="1"/>
      <c r="G12" s="1"/>
      <c r="H12" s="1"/>
      <c r="I12" s="1"/>
      <c r="K12" s="1"/>
      <c r="L12" s="1"/>
      <c r="M12" s="1"/>
      <c r="N12" s="25"/>
      <c r="O12" s="25"/>
      <c r="P12" s="25"/>
      <c r="Q12" s="25"/>
      <c r="R12" s="25"/>
      <c r="S12" s="25"/>
      <c r="T12" s="25"/>
      <c r="U12" s="25"/>
      <c r="V12" s="25"/>
      <c r="W12" s="25"/>
      <c r="X12" s="25"/>
      <c r="Y12" s="25"/>
      <c r="Z12" s="25"/>
      <c r="AA12" s="25"/>
      <c r="AE12" s="25"/>
      <c r="AF12" s="25"/>
    </row>
    <row r="13" spans="1:32" s="22" customFormat="1" ht="24" customHeight="1" thickBot="1">
      <c r="A13" s="195"/>
      <c r="B13" s="196"/>
      <c r="C13" s="196"/>
      <c r="D13" s="196"/>
      <c r="E13" s="197"/>
      <c r="F13" s="16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2" s="22" customFormat="1" ht="32">
      <c r="A14" s="143" t="s">
        <v>382</v>
      </c>
      <c r="B14" s="68" t="s">
        <v>381</v>
      </c>
      <c r="C14" s="68" t="s">
        <v>383</v>
      </c>
      <c r="D14" s="172" t="s">
        <v>550</v>
      </c>
      <c r="E14" s="144" t="s">
        <v>380</v>
      </c>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1:32" s="22" customFormat="1" ht="42">
      <c r="A15" s="41" t="s">
        <v>16</v>
      </c>
      <c r="B15" s="126" t="s">
        <v>19</v>
      </c>
      <c r="C15" s="126" t="s">
        <v>17</v>
      </c>
      <c r="D15" s="140" t="s">
        <v>549</v>
      </c>
      <c r="E15" s="91" t="s">
        <v>551</v>
      </c>
      <c r="F15" s="150"/>
      <c r="G15" s="26"/>
      <c r="H15" s="26"/>
      <c r="I15" s="26"/>
      <c r="J15" s="26"/>
      <c r="K15" s="26"/>
      <c r="L15" s="26"/>
      <c r="M15" s="26"/>
      <c r="N15" s="26"/>
      <c r="O15" s="26"/>
      <c r="P15" s="26"/>
      <c r="Q15" s="26"/>
      <c r="R15" s="26"/>
      <c r="S15" s="26"/>
      <c r="T15" s="26"/>
      <c r="U15" s="26"/>
      <c r="V15" s="26"/>
      <c r="W15" s="26"/>
      <c r="X15" s="26"/>
      <c r="Y15" s="26"/>
      <c r="Z15" s="26"/>
    </row>
    <row r="16" spans="1:32" s="22" customFormat="1" ht="15" customHeight="1">
      <c r="A16" s="152">
        <v>52.811999999999998</v>
      </c>
      <c r="B16" s="153">
        <v>55.203000000000003</v>
      </c>
      <c r="C16" s="153">
        <v>55.62</v>
      </c>
      <c r="D16" s="155">
        <f>SUM(A16:C16)*0.3333</f>
        <v>54.539545499999996</v>
      </c>
      <c r="E16" s="155">
        <f>D16/T7</f>
        <v>53.999549999999992</v>
      </c>
      <c r="F16" s="151"/>
      <c r="G16" s="26"/>
      <c r="H16" s="26"/>
      <c r="I16" s="26"/>
      <c r="J16" s="26"/>
      <c r="K16" s="26"/>
      <c r="L16" s="26"/>
      <c r="M16" s="26"/>
      <c r="N16" s="26"/>
      <c r="O16" s="26"/>
      <c r="P16" s="26"/>
      <c r="Q16" s="26"/>
      <c r="R16" s="26"/>
      <c r="S16" s="26"/>
      <c r="T16" s="26"/>
      <c r="U16" s="26"/>
      <c r="V16" s="26"/>
      <c r="W16" s="26"/>
      <c r="X16" s="26"/>
      <c r="Y16" s="26"/>
      <c r="Z16" s="26"/>
    </row>
    <row r="17" spans="1:51" s="22" customFormat="1" ht="15" customHeight="1">
      <c r="A17" s="152">
        <v>52.811999999999998</v>
      </c>
      <c r="B17" s="153">
        <v>55.203000000000003</v>
      </c>
      <c r="C17" s="153">
        <v>55.62</v>
      </c>
      <c r="D17" s="155">
        <f>SUM(A17:C17)*0.3333</f>
        <v>54.539545499999996</v>
      </c>
      <c r="E17" s="155">
        <f>D17/T8</f>
        <v>54.539545499999996</v>
      </c>
      <c r="F17" s="151"/>
      <c r="G17" s="26"/>
      <c r="H17" s="26"/>
      <c r="I17" s="26"/>
      <c r="J17" s="26"/>
      <c r="K17" s="26"/>
      <c r="L17" s="26"/>
      <c r="M17" s="26"/>
      <c r="N17" s="26"/>
      <c r="O17" s="26"/>
      <c r="P17" s="26"/>
      <c r="Q17" s="26"/>
      <c r="R17" s="26"/>
      <c r="S17" s="26"/>
      <c r="T17" s="26"/>
      <c r="U17" s="26"/>
      <c r="V17" s="26"/>
      <c r="W17" s="26"/>
      <c r="X17" s="26"/>
      <c r="Y17" s="26"/>
      <c r="Z17" s="26"/>
    </row>
    <row r="18" spans="1:51" s="22" customFormat="1" ht="15" customHeight="1">
      <c r="A18" s="152">
        <v>49</v>
      </c>
      <c r="B18" s="153">
        <v>51</v>
      </c>
      <c r="C18" s="153">
        <v>52</v>
      </c>
      <c r="D18" s="155">
        <f>SUM(A18:C18)*0.3333</f>
        <v>50.6616</v>
      </c>
      <c r="E18" s="155">
        <f>D18/T9</f>
        <v>54.474838709677414</v>
      </c>
      <c r="F18" s="151"/>
      <c r="G18" s="26"/>
      <c r="H18" s="26"/>
      <c r="I18" s="26"/>
      <c r="J18" s="26"/>
      <c r="K18" s="26"/>
      <c r="L18" s="26"/>
      <c r="M18" s="26"/>
      <c r="N18" s="26"/>
      <c r="O18" s="26"/>
      <c r="P18" s="26"/>
      <c r="Q18" s="26"/>
      <c r="R18" s="26"/>
      <c r="S18" s="26"/>
      <c r="T18" s="26"/>
      <c r="U18" s="26"/>
      <c r="V18" s="26"/>
      <c r="W18" s="26"/>
      <c r="X18" s="26"/>
      <c r="Y18" s="26"/>
      <c r="Z18" s="26"/>
    </row>
    <row r="19" spans="1:51" s="22" customFormat="1" ht="15" thickBot="1">
      <c r="A19" s="186"/>
      <c r="B19" s="187"/>
      <c r="C19" s="187"/>
      <c r="D19" s="145" t="s">
        <v>299</v>
      </c>
      <c r="E19" s="146" t="s">
        <v>299</v>
      </c>
      <c r="F19" s="26"/>
      <c r="G19" s="26"/>
      <c r="H19" s="26"/>
      <c r="I19" s="26"/>
      <c r="J19" s="26"/>
      <c r="K19" s="26"/>
      <c r="L19" s="26"/>
      <c r="M19" s="26"/>
      <c r="N19" s="26"/>
      <c r="O19" s="26"/>
      <c r="P19" s="26"/>
      <c r="Q19" s="26"/>
      <c r="R19" s="26"/>
      <c r="S19" s="26"/>
      <c r="T19" s="26"/>
      <c r="U19" s="26"/>
      <c r="V19" s="26"/>
      <c r="W19" s="26"/>
      <c r="X19" s="26"/>
      <c r="Y19" s="26"/>
      <c r="Z19" s="26"/>
    </row>
    <row r="20" spans="1:51" ht="15" thickBot="1"/>
    <row r="21" spans="1:51" ht="30.75" customHeight="1" thickBot="1">
      <c r="A21" s="183" t="s">
        <v>444</v>
      </c>
      <c r="B21" s="184"/>
      <c r="C21" s="184"/>
      <c r="D21" s="184"/>
      <c r="E21" s="184"/>
      <c r="F21" s="184"/>
      <c r="G21" s="184"/>
      <c r="H21" s="184"/>
      <c r="I21" s="184"/>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4"/>
      <c r="AM21" s="184"/>
      <c r="AN21" s="184"/>
      <c r="AO21" s="184"/>
      <c r="AP21" s="184"/>
      <c r="AQ21" s="184"/>
      <c r="AR21" s="184"/>
      <c r="AS21" s="185"/>
    </row>
    <row r="22" spans="1:51" s="23" customFormat="1" ht="30.75" customHeight="1">
      <c r="A22" s="69" t="s">
        <v>357</v>
      </c>
      <c r="B22" s="64" t="s">
        <v>361</v>
      </c>
      <c r="C22" s="64"/>
      <c r="D22" s="83" t="s">
        <v>359</v>
      </c>
      <c r="E22" s="64" t="s">
        <v>360</v>
      </c>
      <c r="F22" s="84" t="s">
        <v>362</v>
      </c>
      <c r="G22" s="64" t="s">
        <v>363</v>
      </c>
      <c r="H22" s="64" t="s">
        <v>364</v>
      </c>
      <c r="I22" s="64" t="s">
        <v>365</v>
      </c>
      <c r="J22" s="70" t="s">
        <v>366</v>
      </c>
      <c r="K22" s="70" t="s">
        <v>396</v>
      </c>
      <c r="L22" s="70" t="s">
        <v>367</v>
      </c>
      <c r="M22" s="64" t="s">
        <v>390</v>
      </c>
      <c r="N22" s="64" t="s">
        <v>391</v>
      </c>
      <c r="O22" s="64" t="s">
        <v>392</v>
      </c>
      <c r="P22" s="64" t="s">
        <v>393</v>
      </c>
      <c r="Q22" s="64" t="s">
        <v>394</v>
      </c>
      <c r="R22" s="64" t="s">
        <v>395</v>
      </c>
      <c r="S22" s="64" t="s">
        <v>397</v>
      </c>
      <c r="T22" s="64" t="s">
        <v>398</v>
      </c>
      <c r="U22" s="64" t="s">
        <v>399</v>
      </c>
      <c r="V22" s="70" t="s">
        <v>377</v>
      </c>
      <c r="W22" s="70" t="s">
        <v>378</v>
      </c>
      <c r="X22" s="70" t="s">
        <v>379</v>
      </c>
      <c r="Y22" s="85" t="s">
        <v>380</v>
      </c>
      <c r="Z22" s="64" t="s">
        <v>385</v>
      </c>
      <c r="AA22" s="84" t="s">
        <v>386</v>
      </c>
      <c r="AB22" s="70" t="s">
        <v>387</v>
      </c>
      <c r="AC22" s="70" t="s">
        <v>388</v>
      </c>
      <c r="AD22" s="70" t="s">
        <v>389</v>
      </c>
      <c r="AE22" s="64" t="s">
        <v>400</v>
      </c>
      <c r="AF22" s="64" t="s">
        <v>401</v>
      </c>
      <c r="AG22" s="64" t="s">
        <v>402</v>
      </c>
      <c r="AH22" s="64" t="s">
        <v>403</v>
      </c>
      <c r="AI22" s="64" t="s">
        <v>404</v>
      </c>
      <c r="AJ22" s="64" t="s">
        <v>405</v>
      </c>
      <c r="AK22" s="64" t="s">
        <v>406</v>
      </c>
      <c r="AL22" s="64" t="s">
        <v>407</v>
      </c>
      <c r="AM22" s="64" t="s">
        <v>408</v>
      </c>
      <c r="AN22" s="70" t="s">
        <v>409</v>
      </c>
      <c r="AO22" s="70" t="s">
        <v>410</v>
      </c>
      <c r="AP22" s="70" t="s">
        <v>411</v>
      </c>
      <c r="AQ22" s="85" t="s">
        <v>412</v>
      </c>
      <c r="AR22" s="85" t="s">
        <v>413</v>
      </c>
      <c r="AS22" s="86" t="s">
        <v>414</v>
      </c>
    </row>
    <row r="23" spans="1:51" ht="28">
      <c r="A23" s="41" t="s">
        <v>23</v>
      </c>
      <c r="B23" s="77" t="s">
        <v>54</v>
      </c>
      <c r="C23" s="77" t="s">
        <v>96</v>
      </c>
      <c r="D23" s="77" t="s">
        <v>297</v>
      </c>
      <c r="E23" s="54" t="s">
        <v>298</v>
      </c>
      <c r="F23" s="77" t="s">
        <v>55</v>
      </c>
      <c r="G23" s="54" t="s">
        <v>56</v>
      </c>
      <c r="H23" s="54" t="s">
        <v>57</v>
      </c>
      <c r="I23" s="54" t="s">
        <v>58</v>
      </c>
      <c r="J23" s="54" t="s">
        <v>60</v>
      </c>
      <c r="K23" s="54" t="s">
        <v>61</v>
      </c>
      <c r="L23" s="54" t="s">
        <v>62</v>
      </c>
      <c r="M23" s="54" t="s">
        <v>302</v>
      </c>
      <c r="N23" s="54" t="s">
        <v>301</v>
      </c>
      <c r="O23" s="54" t="s">
        <v>300</v>
      </c>
      <c r="P23" s="54" t="s">
        <v>306</v>
      </c>
      <c r="Q23" s="54" t="s">
        <v>307</v>
      </c>
      <c r="R23" s="54" t="s">
        <v>308</v>
      </c>
      <c r="S23" s="54" t="s">
        <v>316</v>
      </c>
      <c r="T23" s="54" t="s">
        <v>317</v>
      </c>
      <c r="U23" s="54" t="s">
        <v>318</v>
      </c>
      <c r="V23" s="77" t="s">
        <v>351</v>
      </c>
      <c r="W23" s="77" t="s">
        <v>352</v>
      </c>
      <c r="X23" s="77" t="s">
        <v>352</v>
      </c>
      <c r="Y23" s="54" t="s">
        <v>312</v>
      </c>
      <c r="Z23" s="77" t="s">
        <v>53</v>
      </c>
      <c r="AA23" s="77" t="s">
        <v>59</v>
      </c>
      <c r="AB23" s="54" t="s">
        <v>67</v>
      </c>
      <c r="AC23" s="54" t="s">
        <v>66</v>
      </c>
      <c r="AD23" s="54" t="s">
        <v>65</v>
      </c>
      <c r="AE23" s="54" t="s">
        <v>303</v>
      </c>
      <c r="AF23" s="54" t="s">
        <v>304</v>
      </c>
      <c r="AG23" s="54" t="s">
        <v>305</v>
      </c>
      <c r="AH23" s="54" t="s">
        <v>309</v>
      </c>
      <c r="AI23" s="54" t="s">
        <v>310</v>
      </c>
      <c r="AJ23" s="54" t="s">
        <v>311</v>
      </c>
      <c r="AK23" s="54" t="s">
        <v>319</v>
      </c>
      <c r="AL23" s="54" t="s">
        <v>320</v>
      </c>
      <c r="AM23" s="54" t="s">
        <v>321</v>
      </c>
      <c r="AN23" s="77" t="s">
        <v>353</v>
      </c>
      <c r="AO23" s="77" t="s">
        <v>354</v>
      </c>
      <c r="AP23" s="77" t="s">
        <v>354</v>
      </c>
      <c r="AQ23" s="54" t="s">
        <v>313</v>
      </c>
      <c r="AR23" s="54" t="s">
        <v>314</v>
      </c>
      <c r="AS23" s="91" t="s">
        <v>315</v>
      </c>
      <c r="AT23" s="23"/>
      <c r="AU23" s="23"/>
      <c r="AV23" s="23"/>
      <c r="AW23" s="23"/>
      <c r="AX23" s="23"/>
      <c r="AY23" s="23"/>
    </row>
    <row r="24" spans="1:51">
      <c r="A24" s="42">
        <f>(H7*SQRT(K7)/(L7/R7)^0.75)</f>
        <v>3741.6128749148497</v>
      </c>
      <c r="B24" s="39">
        <f>VLOOKUP($I$7,Lookup!$N$27:$P$36,3,FALSE)</f>
        <v>130.99</v>
      </c>
      <c r="C24" s="35" t="str">
        <f>F7&amp;-J7&amp;-H7</f>
        <v>ESFM-60-3600</v>
      </c>
      <c r="D24" s="39">
        <f>VLOOKUP($C$24,Lookup!$U$28:$V$227,2,FALSE)</f>
        <v>93.6</v>
      </c>
      <c r="E24" s="35">
        <f>J7/(D24/100)-J7</f>
        <v>4.1025641025641022</v>
      </c>
      <c r="F24" s="35">
        <f>-0.85*(LN($K$7))^2-0.38*LN($A$24)*LN($K$7)-11.48*(LN($A$24))^2+17.8*LN($K$7)+179.8*LN($A$24)-(B24+555.6)</f>
        <v>72.402037427420964</v>
      </c>
      <c r="G24" s="35">
        <f>K7*L7/3956</f>
        <v>37.532477072610348</v>
      </c>
      <c r="H24" s="35">
        <f>M7*N7/3956</f>
        <v>33.087841629801247</v>
      </c>
      <c r="I24" s="35">
        <f>O7*P7/3956</f>
        <v>37.302014494094394</v>
      </c>
      <c r="J24" s="35">
        <f>G24/($F$24/100)</f>
        <v>51.838979131263507</v>
      </c>
      <c r="K24" s="35">
        <f>H24/($F$24/100*0.947)</f>
        <v>48.257816953741141</v>
      </c>
      <c r="L24" s="35">
        <f>I24/($F$24/100*0.985)</f>
        <v>52.305248335311845</v>
      </c>
      <c r="M24" s="35">
        <f>IF((J24/$J$7)&gt;1,1,(J24/$J$7))</f>
        <v>0.86398298552105846</v>
      </c>
      <c r="N24" s="35">
        <f t="shared" ref="N24:O24" si="0">IF((K24/$J$7)&gt;1,1,(K24/$J$7))</f>
        <v>0.80429694922901906</v>
      </c>
      <c r="O24" s="35">
        <f t="shared" si="0"/>
        <v>0.87175413892186404</v>
      </c>
      <c r="P24" s="35">
        <f t="shared" ref="P24:R26" si="1">-0.4508*M24^3+1.2399*M24^2+-0.4301*M24+0.641</f>
        <v>0.90420840834627092</v>
      </c>
      <c r="Q24" s="35">
        <f t="shared" si="1"/>
        <v>0.86260645878849274</v>
      </c>
      <c r="R24" s="35">
        <f t="shared" si="1"/>
        <v>0.90967472778435088</v>
      </c>
      <c r="S24" s="35">
        <f t="shared" ref="S24:U26" si="2">P24*$E$24</f>
        <v>3.7095729573180343</v>
      </c>
      <c r="T24" s="35">
        <f t="shared" si="2"/>
        <v>3.5388982924656109</v>
      </c>
      <c r="U24" s="35">
        <f t="shared" si="2"/>
        <v>3.7319988832178494</v>
      </c>
      <c r="V24" s="35">
        <f t="shared" ref="V24:X26" si="3">S24+J24</f>
        <v>55.548552088581545</v>
      </c>
      <c r="W24" s="35">
        <f t="shared" si="3"/>
        <v>51.796715246206752</v>
      </c>
      <c r="X24" s="35">
        <f t="shared" si="3"/>
        <v>56.037247218529693</v>
      </c>
      <c r="Y24" s="35">
        <f>(0.3333*(J24+S24)+0.3333*(K24+T24)+0.3333*(L24+U24))</f>
        <v>54.455392100620884</v>
      </c>
      <c r="Z24" s="39">
        <f>VLOOKUP($I$7,Lookup!$N$27:$P$36,2,FALSE)</f>
        <v>136.59</v>
      </c>
      <c r="AA24" s="35">
        <f>-0.85*(LN($K$7))^2-0.38*LN($A$24)*LN($K$7)-11.48*(LN($A$24))^2+17.8*LN($K$7)+179.8*LN($A$24)-(Z24+555.6)</f>
        <v>66.802037427420942</v>
      </c>
      <c r="AB24" s="35">
        <f>G24/($AA$24/100)</f>
        <v>56.184629268813275</v>
      </c>
      <c r="AC24" s="35">
        <f>H24/($AA$24/100*0.947)</f>
        <v>52.30325905922431</v>
      </c>
      <c r="AD24" s="35">
        <f>I24/($AA$24/100*0.985)</f>
        <v>56.689985716952151</v>
      </c>
      <c r="AE24" s="35">
        <f>IF((AB24/$J$7)&gt;1,1,(AB24/$J$7))</f>
        <v>0.93641048781355463</v>
      </c>
      <c r="AF24" s="35">
        <f t="shared" ref="AF24" si="4">IF((AC24/$J$7)&gt;1,1,(AC24/$J$7))</f>
        <v>0.87172098432040512</v>
      </c>
      <c r="AG24" s="35">
        <f t="shared" ref="AG24" si="5">IF((AD24/$J$7)&gt;1,1,(AD24/$J$7))</f>
        <v>0.9448330952825359</v>
      </c>
      <c r="AH24" s="35">
        <f t="shared" ref="AH24:AJ26" si="6">-0.4508*AE24^3+1.2399*AE24^2+-0.4301*AE24+0.641</f>
        <v>0.9553200404202784</v>
      </c>
      <c r="AI24" s="35">
        <f t="shared" si="6"/>
        <v>0.90965138991644412</v>
      </c>
      <c r="AJ24" s="35">
        <f t="shared" si="6"/>
        <v>0.96126542299373785</v>
      </c>
      <c r="AK24" s="35">
        <f t="shared" ref="AK24:AM26" si="7">AH24*$E$24</f>
        <v>3.9192617042883211</v>
      </c>
      <c r="AL24" s="35">
        <f t="shared" si="7"/>
        <v>3.7319031381187449</v>
      </c>
      <c r="AM24" s="35">
        <f t="shared" si="7"/>
        <v>3.943653017410206</v>
      </c>
      <c r="AN24" s="35">
        <f t="shared" ref="AN24:AP26" si="8">AK24+AB24</f>
        <v>60.103890973101599</v>
      </c>
      <c r="AO24" s="35">
        <f t="shared" si="8"/>
        <v>56.035162197343055</v>
      </c>
      <c r="AP24" s="35">
        <f t="shared" si="8"/>
        <v>60.633638734362357</v>
      </c>
      <c r="AQ24" s="35">
        <f>0.3333*(AB24+AK24)+0.3333*(AC24+AL24)+0.3333*(AD24+AM24)</f>
        <v>58.918338211872182</v>
      </c>
      <c r="AR24" s="35">
        <f>AQ24/Y24</f>
        <v>1.0819559999311879</v>
      </c>
      <c r="AS24" s="43">
        <f>IF((E16/Y24)&gt;1.01,"error",IF((E16/Y24)&lt;0.99,"error",(AR24-T7)*100))</f>
        <v>7.1955999931187842</v>
      </c>
      <c r="AT24" s="23">
        <f>E16/Y24</f>
        <v>0.99162907320952531</v>
      </c>
      <c r="AU24" s="23"/>
      <c r="AV24" s="23"/>
      <c r="AW24" s="23"/>
      <c r="AX24" s="23"/>
      <c r="AY24" s="23"/>
    </row>
    <row r="25" spans="1:51">
      <c r="A25" s="42">
        <f>(H8*SQRT(K8)/(L8/R8)^0.75)</f>
        <v>1870.8064374574249</v>
      </c>
      <c r="B25" s="39">
        <f>VLOOKUP($I$7,Lookup!$N$27:$P$36,3,FALSE)</f>
        <v>130.99</v>
      </c>
      <c r="C25" s="35" t="str">
        <f>F8&amp;-J8&amp;-H8</f>
        <v>RSV-125-1800</v>
      </c>
      <c r="D25" s="39">
        <f>VLOOKUP($C$24,Lookup!$U$28:$V$227,2,FALSE)</f>
        <v>93.6</v>
      </c>
      <c r="E25" s="35">
        <f>J8/(D25/100)-J8</f>
        <v>8.5470085470085451</v>
      </c>
      <c r="F25" s="35">
        <f>-0.85*(LN($K$7))^2-0.38*LN($A$24)*LN($K$7)-11.48*(LN($A$24))^2+17.8*LN($K$7)+179.8*LN($A$24)-(B25+555.6)</f>
        <v>72.402037427420964</v>
      </c>
      <c r="G25" s="35">
        <f>K8*L8/3956</f>
        <v>37.532477072610348</v>
      </c>
      <c r="H25" s="35">
        <f>M8*N8/3956</f>
        <v>33.087841629801247</v>
      </c>
      <c r="I25" s="35">
        <f>O8*P8/3956</f>
        <v>37.302014494094394</v>
      </c>
      <c r="J25" s="35">
        <f>G25/($F$24/100)</f>
        <v>51.838979131263507</v>
      </c>
      <c r="K25" s="35">
        <f>H25/($F$24/100*0.947)</f>
        <v>48.257816953741141</v>
      </c>
      <c r="L25" s="35">
        <f>I25/($F$24/100*0.985)</f>
        <v>52.305248335311845</v>
      </c>
      <c r="M25" s="35">
        <f>IF((J25/$J$7)&gt;1,1,(J25/$J$7))</f>
        <v>0.86398298552105846</v>
      </c>
      <c r="N25" s="35">
        <f t="shared" ref="N25" si="9">IF((K25/$J$7)&gt;1,1,(K25/$J$7))</f>
        <v>0.80429694922901906</v>
      </c>
      <c r="O25" s="35">
        <f t="shared" ref="O25" si="10">IF((L25/$J$7)&gt;1,1,(L25/$J$7))</f>
        <v>0.87175413892186404</v>
      </c>
      <c r="P25" s="35">
        <f t="shared" si="1"/>
        <v>0.90420840834627092</v>
      </c>
      <c r="Q25" s="35">
        <f t="shared" si="1"/>
        <v>0.86260645878849274</v>
      </c>
      <c r="R25" s="35">
        <f t="shared" si="1"/>
        <v>0.90967472778435088</v>
      </c>
      <c r="S25" s="35">
        <f t="shared" si="2"/>
        <v>3.7095729573180343</v>
      </c>
      <c r="T25" s="35">
        <f t="shared" si="2"/>
        <v>3.5388982924656109</v>
      </c>
      <c r="U25" s="35">
        <f t="shared" si="2"/>
        <v>3.7319988832178494</v>
      </c>
      <c r="V25" s="35">
        <f t="shared" si="3"/>
        <v>55.548552088581545</v>
      </c>
      <c r="W25" s="35">
        <f t="shared" si="3"/>
        <v>51.796715246206752</v>
      </c>
      <c r="X25" s="35">
        <f t="shared" si="3"/>
        <v>56.037247218529693</v>
      </c>
      <c r="Y25" s="35">
        <f>(0.3333*(J25+S25)+0.3333*(K25+T25)+0.3333*(L25+U25))</f>
        <v>54.455392100620884</v>
      </c>
      <c r="Z25" s="39">
        <f>VLOOKUP($I$7,Lookup!$N$27:$P$36,2,FALSE)</f>
        <v>136.59</v>
      </c>
      <c r="AA25" s="35">
        <f>-0.85*(LN($K$7))^2-0.38*LN($A$24)*LN($K$7)-11.48*(LN($A$24))^2+17.8*LN($K$7)+179.8*LN($A$24)-(Z25+555.6)</f>
        <v>66.802037427420942</v>
      </c>
      <c r="AB25" s="35">
        <f>G25/($AA$24/100)</f>
        <v>56.184629268813275</v>
      </c>
      <c r="AC25" s="35">
        <f>H25/($AA$24/100*0.947)</f>
        <v>52.30325905922431</v>
      </c>
      <c r="AD25" s="35">
        <f>I25/($AA$24/100*0.985)</f>
        <v>56.689985716952151</v>
      </c>
      <c r="AE25" s="35">
        <f>IF((AB25/$J$7)&gt;1,1,(AB25/$J$7))</f>
        <v>0.93641048781355463</v>
      </c>
      <c r="AF25" s="35">
        <f t="shared" ref="AF25" si="11">IF((AC25/$J$7)&gt;1,1,(AC25/$J$7))</f>
        <v>0.87172098432040512</v>
      </c>
      <c r="AG25" s="35">
        <f t="shared" ref="AG25" si="12">IF((AD25/$J$7)&gt;1,1,(AD25/$J$7))</f>
        <v>0.9448330952825359</v>
      </c>
      <c r="AH25" s="35">
        <f t="shared" si="6"/>
        <v>0.9553200404202784</v>
      </c>
      <c r="AI25" s="35">
        <f t="shared" si="6"/>
        <v>0.90965138991644412</v>
      </c>
      <c r="AJ25" s="35">
        <f t="shared" si="6"/>
        <v>0.96126542299373785</v>
      </c>
      <c r="AK25" s="35">
        <f t="shared" si="7"/>
        <v>3.9192617042883211</v>
      </c>
      <c r="AL25" s="35">
        <f t="shared" si="7"/>
        <v>3.7319031381187449</v>
      </c>
      <c r="AM25" s="35">
        <f t="shared" si="7"/>
        <v>3.943653017410206</v>
      </c>
      <c r="AN25" s="35">
        <f t="shared" si="8"/>
        <v>60.103890973101599</v>
      </c>
      <c r="AO25" s="35">
        <f t="shared" si="8"/>
        <v>56.035162197343055</v>
      </c>
      <c r="AP25" s="35">
        <f t="shared" si="8"/>
        <v>60.633638734362357</v>
      </c>
      <c r="AQ25" s="35">
        <f>0.3333*(AB25+AK25)+0.3333*(AC25+AL25)+0.3333*(AD25+AM25)</f>
        <v>58.918338211872182</v>
      </c>
      <c r="AR25" s="35">
        <f>AQ25/Y25</f>
        <v>1.0819559999311879</v>
      </c>
      <c r="AS25" s="43">
        <f>IF((E17/Y25)&gt;1.01,"error",IF((E17/Y25)&lt;0.99,"error",(AR25-T8)*100))</f>
        <v>8.1955999931187851</v>
      </c>
      <c r="AT25" s="23">
        <f>E17/Y25</f>
        <v>1.0015453639416205</v>
      </c>
      <c r="AU25" s="23"/>
      <c r="AV25" s="23"/>
      <c r="AW25" s="23"/>
      <c r="AX25" s="23"/>
      <c r="AY25" s="23"/>
    </row>
    <row r="26" spans="1:51">
      <c r="A26" s="42">
        <f>(H9*SQRT(K9)/(L9/R9)^0.75)</f>
        <v>3741.6128749148497</v>
      </c>
      <c r="B26" s="39">
        <f>VLOOKUP($I$7,Lookup!$N$27:$P$36,3,FALSE)</f>
        <v>130.99</v>
      </c>
      <c r="C26" s="35" t="str">
        <f>F9&amp;-J9&amp;-H9</f>
        <v>ST-20-3600</v>
      </c>
      <c r="D26" s="39">
        <f>VLOOKUP($C$24,Lookup!$U$28:$V$227,2,FALSE)</f>
        <v>93.6</v>
      </c>
      <c r="E26" s="35">
        <f>J9/(D26/100)-J9</f>
        <v>1.3675213675213698</v>
      </c>
      <c r="F26" s="35">
        <f>-0.85*(LN($K$7))^2-0.38*LN($A$24)*LN($K$7)-11.48*(LN($A$24))^2+17.8*LN($K$7)+179.8*LN($A$24)-(B26+555.6)</f>
        <v>72.402037427420964</v>
      </c>
      <c r="G26" s="35">
        <f>K9*L9/3956</f>
        <v>37.532477072610348</v>
      </c>
      <c r="H26" s="35">
        <f>M9*N9/3956</f>
        <v>33.087841629801247</v>
      </c>
      <c r="I26" s="35">
        <f>O9*P9/3956</f>
        <v>37.302014494094394</v>
      </c>
      <c r="J26" s="35">
        <f>G26/($F$24/100)</f>
        <v>51.838979131263507</v>
      </c>
      <c r="K26" s="35">
        <f>H26/($F$24/100*0.947)</f>
        <v>48.257816953741141</v>
      </c>
      <c r="L26" s="35">
        <f>I26/($F$24/100*0.985)</f>
        <v>52.305248335311845</v>
      </c>
      <c r="M26" s="35">
        <f>IF((J26/$J$7)&gt;1,1,(J26/$J$7))</f>
        <v>0.86398298552105846</v>
      </c>
      <c r="N26" s="35">
        <f t="shared" ref="N26" si="13">IF((K26/$J$7)&gt;1,1,(K26/$J$7))</f>
        <v>0.80429694922901906</v>
      </c>
      <c r="O26" s="35">
        <f t="shared" ref="O26" si="14">IF((L26/$J$7)&gt;1,1,(L26/$J$7))</f>
        <v>0.87175413892186404</v>
      </c>
      <c r="P26" s="35">
        <f t="shared" si="1"/>
        <v>0.90420840834627092</v>
      </c>
      <c r="Q26" s="35">
        <f t="shared" si="1"/>
        <v>0.86260645878849274</v>
      </c>
      <c r="R26" s="35">
        <f t="shared" si="1"/>
        <v>0.90967472778435088</v>
      </c>
      <c r="S26" s="35">
        <f t="shared" si="2"/>
        <v>3.7095729573180343</v>
      </c>
      <c r="T26" s="35">
        <f t="shared" si="2"/>
        <v>3.5388982924656109</v>
      </c>
      <c r="U26" s="35">
        <f t="shared" si="2"/>
        <v>3.7319988832178494</v>
      </c>
      <c r="V26" s="35">
        <f t="shared" si="3"/>
        <v>55.548552088581545</v>
      </c>
      <c r="W26" s="35">
        <f t="shared" si="3"/>
        <v>51.796715246206752</v>
      </c>
      <c r="X26" s="35">
        <f t="shared" si="3"/>
        <v>56.037247218529693</v>
      </c>
      <c r="Y26" s="35">
        <f>(0.3333*(J26+S26)+0.3333*(K26+T26)+0.3333*(L26+U26))</f>
        <v>54.455392100620884</v>
      </c>
      <c r="Z26" s="39">
        <f>VLOOKUP($I$7,Lookup!$N$27:$P$36,2,FALSE)</f>
        <v>136.59</v>
      </c>
      <c r="AA26" s="35">
        <f>-0.85*(LN($K$7))^2-0.38*LN($A$24)*LN($K$7)-11.48*(LN($A$24))^2+17.8*LN($K$7)+179.8*LN($A$24)-(Z26+555.6)</f>
        <v>66.802037427420942</v>
      </c>
      <c r="AB26" s="35">
        <f>G26/($AA$24/100)</f>
        <v>56.184629268813275</v>
      </c>
      <c r="AC26" s="35">
        <f>H26/($AA$24/100*0.947)</f>
        <v>52.30325905922431</v>
      </c>
      <c r="AD26" s="35">
        <f>I26/($AA$24/100*0.985)</f>
        <v>56.689985716952151</v>
      </c>
      <c r="AE26" s="35">
        <f>IF((AB26/$J$7)&gt;1,1,(AB26/$J$7))</f>
        <v>0.93641048781355463</v>
      </c>
      <c r="AF26" s="35">
        <f t="shared" ref="AF26" si="15">IF((AC26/$J$7)&gt;1,1,(AC26/$J$7))</f>
        <v>0.87172098432040512</v>
      </c>
      <c r="AG26" s="35">
        <f t="shared" ref="AG26" si="16">IF((AD26/$J$7)&gt;1,1,(AD26/$J$7))</f>
        <v>0.9448330952825359</v>
      </c>
      <c r="AH26" s="35">
        <f t="shared" si="6"/>
        <v>0.9553200404202784</v>
      </c>
      <c r="AI26" s="35">
        <f t="shared" si="6"/>
        <v>0.90965138991644412</v>
      </c>
      <c r="AJ26" s="35">
        <f t="shared" si="6"/>
        <v>0.96126542299373785</v>
      </c>
      <c r="AK26" s="35">
        <f t="shared" si="7"/>
        <v>3.9192617042883211</v>
      </c>
      <c r="AL26" s="35">
        <f t="shared" si="7"/>
        <v>3.7319031381187449</v>
      </c>
      <c r="AM26" s="35">
        <f t="shared" si="7"/>
        <v>3.943653017410206</v>
      </c>
      <c r="AN26" s="35">
        <f t="shared" si="8"/>
        <v>60.103890973101599</v>
      </c>
      <c r="AO26" s="35">
        <f t="shared" si="8"/>
        <v>56.035162197343055</v>
      </c>
      <c r="AP26" s="35">
        <f t="shared" si="8"/>
        <v>60.633638734362357</v>
      </c>
      <c r="AQ26" s="35">
        <f>0.3333*(AB26+AK26)+0.3333*(AC26+AL26)+0.3333*(AD26+AM26)</f>
        <v>58.918338211872182</v>
      </c>
      <c r="AR26" s="35">
        <f>AQ26/Y26</f>
        <v>1.0819559999311879</v>
      </c>
      <c r="AS26" s="43">
        <f>IF((E18/Y26)&gt;1.01,"error",IF((E18/Y26)&lt;0.99,"error",(AR26-T9)*100))</f>
        <v>15.19559999311878</v>
      </c>
      <c r="AT26" s="23">
        <f>E18/Y26</f>
        <v>1.0003571108076974</v>
      </c>
      <c r="AU26" s="23"/>
      <c r="AV26" s="23"/>
      <c r="AW26" s="23"/>
      <c r="AX26" s="23"/>
      <c r="AY26" s="23"/>
    </row>
    <row r="27" spans="1:51" ht="68.25" customHeight="1" thickBot="1">
      <c r="A27" s="173" t="s">
        <v>25</v>
      </c>
      <c r="B27" s="174" t="s">
        <v>26</v>
      </c>
      <c r="C27" s="174" t="s">
        <v>95</v>
      </c>
      <c r="D27" s="174" t="s">
        <v>64</v>
      </c>
      <c r="E27" s="174" t="s">
        <v>299</v>
      </c>
      <c r="F27" s="174" t="s">
        <v>299</v>
      </c>
      <c r="G27" s="174" t="s">
        <v>299</v>
      </c>
      <c r="H27" s="174" t="s">
        <v>299</v>
      </c>
      <c r="I27" s="174" t="s">
        <v>299</v>
      </c>
      <c r="J27" s="174" t="s">
        <v>299</v>
      </c>
      <c r="K27" s="174" t="s">
        <v>299</v>
      </c>
      <c r="L27" s="174" t="s">
        <v>299</v>
      </c>
      <c r="M27" s="174" t="s">
        <v>299</v>
      </c>
      <c r="N27" s="174" t="s">
        <v>299</v>
      </c>
      <c r="O27" s="174" t="s">
        <v>299</v>
      </c>
      <c r="P27" s="174" t="s">
        <v>299</v>
      </c>
      <c r="Q27" s="174" t="s">
        <v>299</v>
      </c>
      <c r="R27" s="174" t="s">
        <v>299</v>
      </c>
      <c r="S27" s="174" t="s">
        <v>299</v>
      </c>
      <c r="T27" s="174" t="s">
        <v>299</v>
      </c>
      <c r="U27" s="174" t="s">
        <v>299</v>
      </c>
      <c r="V27" s="174" t="s">
        <v>299</v>
      </c>
      <c r="W27" s="174" t="s">
        <v>299</v>
      </c>
      <c r="X27" s="174" t="s">
        <v>299</v>
      </c>
      <c r="Y27" s="174" t="s">
        <v>299</v>
      </c>
      <c r="Z27" s="174" t="s">
        <v>26</v>
      </c>
      <c r="AA27" s="174" t="s">
        <v>299</v>
      </c>
      <c r="AB27" s="174" t="s">
        <v>299</v>
      </c>
      <c r="AC27" s="174" t="s">
        <v>299</v>
      </c>
      <c r="AD27" s="174" t="s">
        <v>299</v>
      </c>
      <c r="AE27" s="174" t="s">
        <v>299</v>
      </c>
      <c r="AF27" s="174" t="s">
        <v>299</v>
      </c>
      <c r="AG27" s="174" t="s">
        <v>299</v>
      </c>
      <c r="AH27" s="174" t="s">
        <v>299</v>
      </c>
      <c r="AI27" s="174" t="s">
        <v>299</v>
      </c>
      <c r="AJ27" s="174" t="s">
        <v>299</v>
      </c>
      <c r="AK27" s="174" t="s">
        <v>299</v>
      </c>
      <c r="AL27" s="174" t="s">
        <v>299</v>
      </c>
      <c r="AM27" s="174" t="s">
        <v>299</v>
      </c>
      <c r="AN27" s="174" t="s">
        <v>299</v>
      </c>
      <c r="AO27" s="174" t="s">
        <v>299</v>
      </c>
      <c r="AP27" s="174" t="s">
        <v>299</v>
      </c>
      <c r="AQ27" s="174" t="s">
        <v>299</v>
      </c>
      <c r="AR27" s="122" t="s">
        <v>299</v>
      </c>
      <c r="AS27" s="46" t="s">
        <v>299</v>
      </c>
      <c r="AT27" s="23"/>
      <c r="AU27" s="23"/>
      <c r="AV27" s="23"/>
      <c r="AW27" s="23"/>
      <c r="AX27" s="23"/>
      <c r="AY27" s="23"/>
    </row>
    <row r="28" spans="1:51" ht="32">
      <c r="B28" s="64" t="s">
        <v>385</v>
      </c>
      <c r="F28" s="84" t="s">
        <v>386</v>
      </c>
      <c r="J28" s="70" t="s">
        <v>387</v>
      </c>
      <c r="K28" s="70" t="s">
        <v>388</v>
      </c>
      <c r="L28" s="70" t="s">
        <v>389</v>
      </c>
      <c r="M28" s="64" t="s">
        <v>400</v>
      </c>
      <c r="N28" s="64" t="s">
        <v>401</v>
      </c>
      <c r="O28" s="64" t="s">
        <v>402</v>
      </c>
      <c r="P28" s="64" t="s">
        <v>403</v>
      </c>
      <c r="Q28" s="64" t="s">
        <v>404</v>
      </c>
      <c r="R28" s="64" t="s">
        <v>405</v>
      </c>
      <c r="S28" s="64" t="s">
        <v>406</v>
      </c>
      <c r="T28" s="64" t="s">
        <v>407</v>
      </c>
      <c r="U28" s="64" t="s">
        <v>408</v>
      </c>
      <c r="V28" s="70" t="s">
        <v>409</v>
      </c>
      <c r="W28" s="70" t="s">
        <v>410</v>
      </c>
      <c r="X28" s="70" t="s">
        <v>411</v>
      </c>
      <c r="Y28" s="85" t="s">
        <v>412</v>
      </c>
      <c r="Z28" s="32"/>
      <c r="AA28" s="32"/>
      <c r="AB28" s="32"/>
      <c r="AC28" s="32"/>
      <c r="AD28" s="32"/>
      <c r="AE28" s="32"/>
      <c r="AF28" s="32"/>
      <c r="AG28" s="32"/>
      <c r="AH28" s="32"/>
      <c r="AI28" s="32"/>
      <c r="AJ28" s="32"/>
      <c r="AK28" s="32"/>
      <c r="AL28" s="30"/>
      <c r="AM28" s="24"/>
    </row>
    <row r="29" spans="1:51" ht="28">
      <c r="B29" s="157" t="s">
        <v>53</v>
      </c>
      <c r="F29" s="157" t="s">
        <v>59</v>
      </c>
      <c r="J29" s="54" t="s">
        <v>67</v>
      </c>
      <c r="K29" s="54" t="s">
        <v>66</v>
      </c>
      <c r="L29" s="54" t="s">
        <v>65</v>
      </c>
      <c r="M29" s="54" t="s">
        <v>303</v>
      </c>
      <c r="N29" s="54" t="s">
        <v>304</v>
      </c>
      <c r="O29" s="54" t="s">
        <v>305</v>
      </c>
      <c r="P29" s="54" t="s">
        <v>309</v>
      </c>
      <c r="Q29" s="54" t="s">
        <v>310</v>
      </c>
      <c r="R29" s="54" t="s">
        <v>311</v>
      </c>
      <c r="S29" s="54" t="s">
        <v>319</v>
      </c>
      <c r="T29" s="54" t="s">
        <v>320</v>
      </c>
      <c r="U29" s="54" t="s">
        <v>321</v>
      </c>
      <c r="V29" s="157" t="s">
        <v>353</v>
      </c>
      <c r="W29" s="157" t="s">
        <v>354</v>
      </c>
      <c r="X29" s="157" t="s">
        <v>354</v>
      </c>
      <c r="Y29" s="54" t="s">
        <v>313</v>
      </c>
    </row>
    <row r="30" spans="1:51">
      <c r="F30">
        <f>-11.48*(LN($A$24))^2</f>
        <v>-777.05830132993299</v>
      </c>
    </row>
    <row r="31" spans="1:51">
      <c r="F31">
        <f>17.8*LN($K$7)</f>
        <v>104.26258820727807</v>
      </c>
    </row>
    <row r="32" spans="1:51">
      <c r="F32">
        <f>179.8*LN($A$24)</f>
        <v>1479.2635141268829</v>
      </c>
    </row>
    <row r="33" spans="6:24">
      <c r="F33">
        <f>-(B24+555.6)</f>
        <v>-686.59</v>
      </c>
    </row>
    <row r="34" spans="6:24">
      <c r="X34" s="23" t="e">
        <f>#REF!</f>
        <v>#REF!</v>
      </c>
    </row>
  </sheetData>
  <mergeCells count="6">
    <mergeCell ref="A21:AS21"/>
    <mergeCell ref="A19:C19"/>
    <mergeCell ref="A2:O2"/>
    <mergeCell ref="K10:T10"/>
    <mergeCell ref="A4:U4"/>
    <mergeCell ref="A13:E13"/>
  </mergeCells>
  <conditionalFormatting sqref="AS24">
    <cfRule type="cellIs" dxfId="6" priority="3" operator="equal">
      <formula>"error"</formula>
    </cfRule>
  </conditionalFormatting>
  <conditionalFormatting sqref="AS25">
    <cfRule type="cellIs" dxfId="5" priority="2" operator="equal">
      <formula>"error"</formula>
    </cfRule>
  </conditionalFormatting>
  <conditionalFormatting sqref="AS26">
    <cfRule type="cellIs" dxfId="4" priority="1" operator="equal">
      <formula>"error"</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Lookup!$E$27:$E$46</xm:f>
          </x14:formula1>
          <xm:sqref>J7:J9</xm:sqref>
        </x14:dataValidation>
        <x14:dataValidation type="list" allowBlank="1" showInputMessage="1" showErrorMessage="1">
          <x14:formula1>
            <xm:f>Lookup!$N$11:$N$15</xm:f>
          </x14:formula1>
          <xm:sqref>E7:E9</xm:sqref>
        </x14:dataValidation>
        <x14:dataValidation type="list" allowBlank="1" showInputMessage="1" showErrorMessage="1">
          <x14:formula1>
            <xm:f>Lookup!$E$11:$E$20</xm:f>
          </x14:formula1>
          <xm:sqref>F7:F9</xm:sqref>
        </x14:dataValidation>
        <x14:dataValidation type="list" allowBlank="1" showInputMessage="1" showErrorMessage="1">
          <x14:formula1>
            <xm:f>Lookup!$H$11:$H$12</xm:f>
          </x14:formula1>
          <xm:sqref>C7:D9</xm:sqref>
        </x14:dataValidation>
        <x14:dataValidation type="list" allowBlank="1" showInputMessage="1" showErrorMessage="1">
          <x14:formula1>
            <xm:f>Lookup!$F$11:$F$12</xm:f>
          </x14:formula1>
          <xm:sqref>H7:H9</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28"/>
  <sheetViews>
    <sheetView topLeftCell="I1" zoomScale="125" zoomScaleNormal="125" zoomScalePageLayoutView="125" workbookViewId="0">
      <selection activeCell="K7" sqref="K7"/>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29.33203125" customWidth="1"/>
    <col min="8" max="8" width="25.5" bestFit="1" customWidth="1"/>
    <col min="9" max="9" width="24.1640625" customWidth="1"/>
    <col min="10" max="10" width="20" customWidth="1"/>
    <col min="11"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3"/>
      <c r="V4" s="193"/>
      <c r="W4" s="194"/>
    </row>
    <row r="5" spans="1:32" s="16" customFormat="1" ht="56">
      <c r="A5" s="66"/>
      <c r="B5" s="95"/>
      <c r="C5" s="95"/>
      <c r="D5" s="95"/>
      <c r="E5" s="96"/>
      <c r="F5" s="95"/>
      <c r="G5" s="141"/>
      <c r="H5" s="159" t="s">
        <v>356</v>
      </c>
      <c r="I5" s="159"/>
      <c r="J5" s="65" t="s">
        <v>441</v>
      </c>
      <c r="K5" s="95"/>
      <c r="L5" s="159" t="s">
        <v>442</v>
      </c>
      <c r="M5" s="95"/>
      <c r="N5" s="159" t="s">
        <v>342</v>
      </c>
      <c r="O5" s="159" t="s">
        <v>343</v>
      </c>
      <c r="P5" s="159" t="s">
        <v>345</v>
      </c>
      <c r="Q5" s="159" t="s">
        <v>346</v>
      </c>
      <c r="R5" s="159" t="s">
        <v>348</v>
      </c>
      <c r="S5" s="159" t="s">
        <v>349</v>
      </c>
      <c r="T5" s="95"/>
      <c r="U5" s="159" t="s">
        <v>341</v>
      </c>
      <c r="V5" s="95"/>
      <c r="W5" s="67" t="s">
        <v>443</v>
      </c>
    </row>
    <row r="6" spans="1:32" s="16" customFormat="1" ht="42">
      <c r="A6" s="41" t="s">
        <v>0</v>
      </c>
      <c r="B6" s="157" t="s">
        <v>3</v>
      </c>
      <c r="C6" s="36" t="s">
        <v>12</v>
      </c>
      <c r="D6" s="157" t="s">
        <v>27</v>
      </c>
      <c r="E6" s="148" t="s">
        <v>329</v>
      </c>
      <c r="F6" s="157" t="s">
        <v>89</v>
      </c>
      <c r="G6" s="157" t="s">
        <v>556</v>
      </c>
      <c r="H6" s="157" t="s">
        <v>4</v>
      </c>
      <c r="I6" s="157" t="s">
        <v>553</v>
      </c>
      <c r="J6" s="157" t="s">
        <v>554</v>
      </c>
      <c r="K6" s="157" t="s">
        <v>2</v>
      </c>
      <c r="L6" s="157" t="s">
        <v>63</v>
      </c>
      <c r="M6" s="157" t="s">
        <v>73</v>
      </c>
      <c r="N6" s="157" t="s">
        <v>13</v>
      </c>
      <c r="O6" s="157" t="s">
        <v>24</v>
      </c>
      <c r="P6" s="157" t="s">
        <v>49</v>
      </c>
      <c r="Q6" s="157" t="s">
        <v>50</v>
      </c>
      <c r="R6" s="157" t="s">
        <v>51</v>
      </c>
      <c r="S6" s="157" t="s">
        <v>52</v>
      </c>
      <c r="T6" s="157" t="s">
        <v>14</v>
      </c>
      <c r="U6" s="157" t="s">
        <v>15</v>
      </c>
      <c r="V6" s="157" t="s">
        <v>48</v>
      </c>
      <c r="W6" s="47" t="s">
        <v>43</v>
      </c>
    </row>
    <row r="7" spans="1:32" s="16" customFormat="1">
      <c r="A7" s="20" t="str">
        <f>'Database Input Tab all Sections'!B3</f>
        <v>xxxxx</v>
      </c>
      <c r="B7" s="156" t="str">
        <f>'Database Input Tab all Sections'!Z9</f>
        <v>xxx.xxx.xx</v>
      </c>
      <c r="C7" s="38" t="str">
        <f>'Database Input Tab all Sections'!C9</f>
        <v>Constant Load (CL)</v>
      </c>
      <c r="D7" s="38" t="str">
        <f>'Database Input Tab all Sections'!D9</f>
        <v>Pump sold with motor</v>
      </c>
      <c r="E7" s="92" t="str">
        <f>'Database Input Tab all Sections'!B9</f>
        <v>Section IV - Pump + Motor Tested Wire-to-Water Performance</v>
      </c>
      <c r="F7" s="37" t="str">
        <f>'Database Input Tab all Sections'!E9</f>
        <v>RSV</v>
      </c>
      <c r="G7" s="154" t="str">
        <f>'Database Input Tab all Sections'!F8</f>
        <v>N/A</v>
      </c>
      <c r="H7" s="37">
        <f>'Database Input Tab all Sections'!G9</f>
        <v>3600</v>
      </c>
      <c r="I7" s="37" t="s">
        <v>440</v>
      </c>
      <c r="J7" s="156" t="str">
        <f>'Database Input Tab all Sections'!J9</f>
        <v>N/A</v>
      </c>
      <c r="K7" s="35" t="str">
        <f>F7&amp;-H7</f>
        <v>RSV-3600</v>
      </c>
      <c r="L7" s="162">
        <f>'Database Input Tab all Sections'!I9</f>
        <v>60</v>
      </c>
      <c r="M7" s="35" t="str">
        <f>(L7&amp;-H7)</f>
        <v>60-3600</v>
      </c>
      <c r="N7" s="156">
        <f>'Database Input Tab all Sections'!L9</f>
        <v>349.83050847457628</v>
      </c>
      <c r="O7" s="156">
        <f>'Database Input Tab all Sections'!M9</f>
        <v>424.42976156276927</v>
      </c>
      <c r="P7" s="156">
        <f>'Database Input Tab all Sections'!N9</f>
        <v>262.37288135593218</v>
      </c>
      <c r="Q7" s="156">
        <f>'Database Input Tab all Sections'!O9</f>
        <v>498.89112324044811</v>
      </c>
      <c r="R7" s="156">
        <f>'Database Input Tab all Sections'!P9</f>
        <v>384.81355932203388</v>
      </c>
      <c r="S7" s="156">
        <f>'Database Input Tab all Sections'!Q9</f>
        <v>383.47601264004595</v>
      </c>
      <c r="T7" s="156" t="str">
        <f>'Database Input Tab all Sections'!AA9</f>
        <v>xxxxx</v>
      </c>
      <c r="U7" s="156">
        <f>'Database Input Tab all Sections'!K9</f>
        <v>9</v>
      </c>
      <c r="V7" s="156" t="str">
        <f>'Database Input Tab all Sections'!AB9</f>
        <v>xxxx</v>
      </c>
      <c r="W7" s="161">
        <f>'Database Input Tab all Sections'!Y9</f>
        <v>0.9</v>
      </c>
    </row>
    <row r="8" spans="1:32" s="18" customFormat="1" ht="45.75" customHeight="1" thickBot="1">
      <c r="A8" s="41" t="s">
        <v>33</v>
      </c>
      <c r="B8" s="157" t="s">
        <v>34</v>
      </c>
      <c r="C8" s="157" t="s">
        <v>36</v>
      </c>
      <c r="D8" s="157" t="s">
        <v>36</v>
      </c>
      <c r="E8" s="148" t="s">
        <v>36</v>
      </c>
      <c r="F8" s="157" t="s">
        <v>35</v>
      </c>
      <c r="G8" s="147" t="s">
        <v>36</v>
      </c>
      <c r="H8" s="157" t="s">
        <v>36</v>
      </c>
      <c r="I8" s="157"/>
      <c r="J8" s="157"/>
      <c r="K8" s="157" t="s">
        <v>90</v>
      </c>
      <c r="L8" s="157" t="s">
        <v>72</v>
      </c>
      <c r="M8" s="157" t="s">
        <v>91</v>
      </c>
      <c r="N8" s="189" t="s">
        <v>37</v>
      </c>
      <c r="O8" s="190"/>
      <c r="P8" s="190"/>
      <c r="Q8" s="190"/>
      <c r="R8" s="190"/>
      <c r="S8" s="190"/>
      <c r="T8" s="190"/>
      <c r="U8" s="190"/>
      <c r="V8" s="190"/>
      <c r="W8" s="191"/>
    </row>
    <row r="9" spans="1:32" s="16" customFormat="1" ht="81" customHeight="1" thickBot="1">
      <c r="A9" s="50"/>
      <c r="B9" s="147" t="s">
        <v>5</v>
      </c>
      <c r="C9" s="51"/>
      <c r="D9" s="147"/>
      <c r="E9" s="93" t="s">
        <v>330</v>
      </c>
      <c r="F9" s="51"/>
      <c r="G9" s="147"/>
      <c r="H9" s="147"/>
      <c r="I9" s="147"/>
      <c r="J9" s="147"/>
      <c r="K9" s="147"/>
      <c r="L9" s="52"/>
      <c r="M9" s="147"/>
      <c r="N9" s="147"/>
      <c r="O9" s="147"/>
      <c r="P9" s="147"/>
      <c r="Q9" s="147"/>
      <c r="R9" s="147"/>
      <c r="S9" s="147"/>
      <c r="T9" s="147"/>
      <c r="U9" s="147"/>
      <c r="V9" s="147" t="s">
        <v>6</v>
      </c>
      <c r="W9" s="94"/>
    </row>
    <row r="10" spans="1:32"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32" s="22" customFormat="1" ht="24" customHeight="1" thickBot="1">
      <c r="A11" s="195" t="s">
        <v>562</v>
      </c>
      <c r="B11" s="196"/>
      <c r="C11" s="196"/>
      <c r="D11" s="196"/>
      <c r="E11" s="197"/>
      <c r="F11" s="166"/>
      <c r="G11" s="26"/>
      <c r="H11" s="26"/>
      <c r="I11" s="26"/>
      <c r="J11" s="26"/>
      <c r="K11" s="26"/>
      <c r="L11" s="26"/>
      <c r="M11" s="26"/>
      <c r="N11" s="26"/>
      <c r="O11" s="26"/>
      <c r="P11" s="26"/>
      <c r="Q11" s="26"/>
      <c r="R11" s="26"/>
      <c r="S11" s="26"/>
      <c r="T11" s="26"/>
      <c r="U11" s="26"/>
      <c r="V11" s="26"/>
      <c r="W11" s="26"/>
      <c r="X11" s="26"/>
      <c r="Y11" s="26"/>
      <c r="Z11" s="26"/>
      <c r="AA11" s="26"/>
      <c r="AB11" s="26"/>
      <c r="AC11" s="26"/>
      <c r="AD11" s="26"/>
    </row>
    <row r="12" spans="1:32" s="22" customFormat="1" ht="32">
      <c r="A12" s="143" t="s">
        <v>382</v>
      </c>
      <c r="B12" s="68" t="s">
        <v>381</v>
      </c>
      <c r="C12" s="68" t="s">
        <v>383</v>
      </c>
      <c r="D12" s="142" t="s">
        <v>550</v>
      </c>
      <c r="E12" s="144" t="s">
        <v>380</v>
      </c>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2" s="22" customFormat="1" ht="42">
      <c r="A13" s="41" t="s">
        <v>16</v>
      </c>
      <c r="B13" s="157" t="s">
        <v>19</v>
      </c>
      <c r="C13" s="157" t="s">
        <v>17</v>
      </c>
      <c r="D13" s="140" t="s">
        <v>549</v>
      </c>
      <c r="E13" s="91" t="s">
        <v>551</v>
      </c>
      <c r="G13" s="150"/>
      <c r="H13" s="26"/>
      <c r="I13" s="26"/>
      <c r="J13" s="26"/>
      <c r="K13" s="26"/>
      <c r="L13" s="26"/>
      <c r="M13" s="26"/>
      <c r="N13" s="26"/>
      <c r="O13" s="26"/>
      <c r="P13" s="26"/>
      <c r="Q13" s="26"/>
      <c r="R13" s="26"/>
      <c r="S13" s="26"/>
      <c r="T13" s="26"/>
      <c r="U13" s="26"/>
      <c r="V13" s="26"/>
      <c r="W13" s="26"/>
      <c r="X13" s="26"/>
      <c r="Y13" s="26"/>
      <c r="Z13" s="26"/>
      <c r="AA13" s="26"/>
    </row>
    <row r="14" spans="1:32" s="22" customFormat="1" ht="15" customHeight="1">
      <c r="A14" s="152">
        <f>'Database Input Tab all Sections'!R9</f>
        <v>49.201251494128293</v>
      </c>
      <c r="B14" s="153">
        <f>'Database Input Tab all Sections'!S9</f>
        <v>51.414352154260818</v>
      </c>
      <c r="C14" s="153">
        <f>'Database Input Tab all Sections'!T9</f>
        <v>51.808353464019966</v>
      </c>
      <c r="D14" s="155">
        <f>0.3333*SUM(A14:C14)</f>
        <v>50.802904905565946</v>
      </c>
      <c r="E14" s="155">
        <f>D14/W7</f>
        <v>56.447672117295497</v>
      </c>
      <c r="G14" s="151"/>
      <c r="H14" s="26"/>
      <c r="I14" s="26"/>
      <c r="J14" s="26"/>
      <c r="K14" s="26"/>
      <c r="L14" s="26"/>
      <c r="M14" s="26"/>
      <c r="N14" s="26"/>
      <c r="O14" s="26"/>
      <c r="P14" s="26"/>
      <c r="Q14" s="26"/>
      <c r="R14" s="26"/>
      <c r="S14" s="26"/>
      <c r="T14" s="26"/>
      <c r="U14" s="26"/>
      <c r="V14" s="26"/>
      <c r="W14" s="26"/>
      <c r="X14" s="26"/>
      <c r="Y14" s="26"/>
      <c r="Z14" s="26"/>
      <c r="AA14" s="26"/>
    </row>
    <row r="15" spans="1:32" s="22" customFormat="1" ht="15" thickBot="1">
      <c r="A15" s="186"/>
      <c r="B15" s="187"/>
      <c r="C15" s="187"/>
      <c r="D15" s="145" t="s">
        <v>299</v>
      </c>
      <c r="E15" s="146" t="s">
        <v>299</v>
      </c>
      <c r="G15" s="26"/>
      <c r="H15" s="26"/>
      <c r="I15" s="26"/>
      <c r="J15" s="26"/>
      <c r="K15" s="26"/>
      <c r="L15" s="26"/>
      <c r="M15" s="26"/>
      <c r="N15" s="26"/>
      <c r="O15" s="26"/>
      <c r="P15" s="26"/>
      <c r="Q15" s="26"/>
      <c r="R15" s="26"/>
      <c r="S15" s="26"/>
      <c r="T15" s="26"/>
      <c r="U15" s="26"/>
      <c r="V15" s="26"/>
      <c r="W15" s="26"/>
      <c r="X15" s="26"/>
      <c r="Y15" s="26"/>
      <c r="Z15" s="26"/>
      <c r="AA15" s="26"/>
    </row>
    <row r="16" spans="1:32" ht="15" thickBot="1"/>
    <row r="17" spans="1:51" ht="30.75" customHeight="1" thickBot="1">
      <c r="A17" s="183" t="s">
        <v>444</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5"/>
    </row>
    <row r="18" spans="1:51" s="23" customFormat="1" ht="30.75" customHeight="1">
      <c r="A18" s="69" t="s">
        <v>357</v>
      </c>
      <c r="B18" s="64" t="s">
        <v>361</v>
      </c>
      <c r="C18" s="64"/>
      <c r="D18" s="83" t="s">
        <v>359</v>
      </c>
      <c r="E18" s="64" t="s">
        <v>360</v>
      </c>
      <c r="F18" s="84" t="s">
        <v>362</v>
      </c>
      <c r="G18" s="64" t="s">
        <v>363</v>
      </c>
      <c r="H18" s="64" t="s">
        <v>364</v>
      </c>
      <c r="I18" s="64" t="s">
        <v>365</v>
      </c>
      <c r="J18" s="70" t="s">
        <v>366</v>
      </c>
      <c r="K18" s="70" t="s">
        <v>396</v>
      </c>
      <c r="L18" s="70" t="s">
        <v>367</v>
      </c>
      <c r="M18" s="64" t="s">
        <v>390</v>
      </c>
      <c r="N18" s="64" t="s">
        <v>391</v>
      </c>
      <c r="O18" s="64" t="s">
        <v>392</v>
      </c>
      <c r="P18" s="64" t="s">
        <v>393</v>
      </c>
      <c r="Q18" s="64" t="s">
        <v>394</v>
      </c>
      <c r="R18" s="64" t="s">
        <v>395</v>
      </c>
      <c r="S18" s="64" t="s">
        <v>397</v>
      </c>
      <c r="T18" s="64" t="s">
        <v>398</v>
      </c>
      <c r="U18" s="64" t="s">
        <v>399</v>
      </c>
      <c r="V18" s="70" t="s">
        <v>377</v>
      </c>
      <c r="W18" s="70" t="s">
        <v>378</v>
      </c>
      <c r="X18" s="70" t="s">
        <v>379</v>
      </c>
      <c r="Y18" s="85" t="s">
        <v>380</v>
      </c>
      <c r="Z18" s="64" t="s">
        <v>385</v>
      </c>
      <c r="AA18" s="84" t="s">
        <v>386</v>
      </c>
      <c r="AB18" s="70" t="s">
        <v>387</v>
      </c>
      <c r="AC18" s="70" t="s">
        <v>388</v>
      </c>
      <c r="AD18" s="70" t="s">
        <v>389</v>
      </c>
      <c r="AE18" s="64" t="s">
        <v>400</v>
      </c>
      <c r="AF18" s="64" t="s">
        <v>401</v>
      </c>
      <c r="AG18" s="64" t="s">
        <v>402</v>
      </c>
      <c r="AH18" s="64" t="s">
        <v>403</v>
      </c>
      <c r="AI18" s="64" t="s">
        <v>404</v>
      </c>
      <c r="AJ18" s="64" t="s">
        <v>405</v>
      </c>
      <c r="AK18" s="64" t="s">
        <v>406</v>
      </c>
      <c r="AL18" s="64" t="s">
        <v>407</v>
      </c>
      <c r="AM18" s="64" t="s">
        <v>408</v>
      </c>
      <c r="AN18" s="70" t="s">
        <v>409</v>
      </c>
      <c r="AO18" s="70" t="s">
        <v>410</v>
      </c>
      <c r="AP18" s="70" t="s">
        <v>411</v>
      </c>
      <c r="AQ18" s="85" t="s">
        <v>412</v>
      </c>
      <c r="AR18" s="85" t="s">
        <v>413</v>
      </c>
      <c r="AS18" s="86" t="s">
        <v>414</v>
      </c>
    </row>
    <row r="19" spans="1:51" ht="42">
      <c r="A19" s="41" t="s">
        <v>23</v>
      </c>
      <c r="B19" s="157" t="s">
        <v>54</v>
      </c>
      <c r="C19" s="157" t="s">
        <v>96</v>
      </c>
      <c r="D19" s="157" t="s">
        <v>297</v>
      </c>
      <c r="E19" s="54" t="s">
        <v>298</v>
      </c>
      <c r="F19" s="157" t="s">
        <v>55</v>
      </c>
      <c r="G19" s="54" t="s">
        <v>56</v>
      </c>
      <c r="H19" s="54" t="s">
        <v>57</v>
      </c>
      <c r="I19" s="54" t="s">
        <v>58</v>
      </c>
      <c r="J19" s="54" t="s">
        <v>60</v>
      </c>
      <c r="K19" s="54" t="s">
        <v>61</v>
      </c>
      <c r="L19" s="54" t="s">
        <v>62</v>
      </c>
      <c r="M19" s="54" t="s">
        <v>302</v>
      </c>
      <c r="N19" s="54" t="s">
        <v>301</v>
      </c>
      <c r="O19" s="54" t="s">
        <v>300</v>
      </c>
      <c r="P19" s="54" t="s">
        <v>306</v>
      </c>
      <c r="Q19" s="54" t="s">
        <v>307</v>
      </c>
      <c r="R19" s="54" t="s">
        <v>308</v>
      </c>
      <c r="S19" s="54" t="s">
        <v>316</v>
      </c>
      <c r="T19" s="54" t="s">
        <v>317</v>
      </c>
      <c r="U19" s="54" t="s">
        <v>318</v>
      </c>
      <c r="V19" s="157" t="s">
        <v>351</v>
      </c>
      <c r="W19" s="157" t="s">
        <v>352</v>
      </c>
      <c r="X19" s="157" t="s">
        <v>352</v>
      </c>
      <c r="Y19" s="54" t="s">
        <v>312</v>
      </c>
      <c r="Z19" s="157" t="s">
        <v>53</v>
      </c>
      <c r="AA19" s="157" t="s">
        <v>59</v>
      </c>
      <c r="AB19" s="54" t="s">
        <v>67</v>
      </c>
      <c r="AC19" s="54" t="s">
        <v>66</v>
      </c>
      <c r="AD19" s="54" t="s">
        <v>65</v>
      </c>
      <c r="AE19" s="54" t="s">
        <v>303</v>
      </c>
      <c r="AF19" s="54" t="s">
        <v>304</v>
      </c>
      <c r="AG19" s="54" t="s">
        <v>305</v>
      </c>
      <c r="AH19" s="54" t="s">
        <v>309</v>
      </c>
      <c r="AI19" s="54" t="s">
        <v>310</v>
      </c>
      <c r="AJ19" s="54" t="s">
        <v>311</v>
      </c>
      <c r="AK19" s="54" t="s">
        <v>319</v>
      </c>
      <c r="AL19" s="54" t="s">
        <v>320</v>
      </c>
      <c r="AM19" s="54" t="s">
        <v>321</v>
      </c>
      <c r="AN19" s="157" t="s">
        <v>353</v>
      </c>
      <c r="AO19" s="157" t="s">
        <v>354</v>
      </c>
      <c r="AP19" s="157" t="s">
        <v>354</v>
      </c>
      <c r="AQ19" s="54" t="s">
        <v>313</v>
      </c>
      <c r="AR19" s="54" t="s">
        <v>314</v>
      </c>
      <c r="AS19" s="91" t="s">
        <v>315</v>
      </c>
      <c r="AT19" s="23"/>
      <c r="AU19" s="23"/>
      <c r="AV19" s="23"/>
      <c r="AW19" s="23"/>
      <c r="AX19" s="23"/>
      <c r="AY19" s="23"/>
    </row>
    <row r="20" spans="1:51">
      <c r="A20" s="42">
        <f>((H7*SQRT(N7)/(O7/U7)^0.75))</f>
        <v>3741.6128749148484</v>
      </c>
      <c r="B20" s="39">
        <f>VLOOKUP($K$7,Lookup!$N$27:$P$36,3,FALSE)</f>
        <v>133.19999999999999</v>
      </c>
      <c r="C20" s="35" t="str">
        <f>F7&amp;-L7&amp;-H7</f>
        <v>RSV-60-3600</v>
      </c>
      <c r="D20" s="39">
        <f>VLOOKUP($C$20,Lookup!$U$28:$V$227,2,FALSE)</f>
        <v>93.6</v>
      </c>
      <c r="E20" s="35">
        <f>L7/(D20/100)-L7</f>
        <v>4.1025641025641022</v>
      </c>
      <c r="F20" s="35">
        <f>-0.85*(LN($N$7))^2-0.38*LN($A$20)*LN($N$7)-11.48*(LN($A$20))^2+17.8*LN($N$7)+179.8*LN($A$20)-(B20+555.6)</f>
        <v>70.192037427421042</v>
      </c>
      <c r="G20" s="35">
        <f>N7*O7/3956</f>
        <v>37.532477072610398</v>
      </c>
      <c r="H20" s="35">
        <f>P7*Q7/3956</f>
        <v>33.087841629801275</v>
      </c>
      <c r="I20" s="35">
        <f>R7*S7/3956</f>
        <v>37.302014494094372</v>
      </c>
      <c r="J20" s="35">
        <f>G20/($F$20/100)</f>
        <v>53.471132122955098</v>
      </c>
      <c r="K20" s="35">
        <f>H20/($F$20/100*0.947)</f>
        <v>49.777216865419774</v>
      </c>
      <c r="L20" s="35">
        <f>I20/($F$20/100*0.985)</f>
        <v>53.952081837481643</v>
      </c>
      <c r="M20" s="35">
        <f>IF((J20/$L$7)&gt;1,1,(J20/$L$7))</f>
        <v>0.89118553538258494</v>
      </c>
      <c r="N20" s="35">
        <f t="shared" ref="N20:O20" si="0">IF((K20/$L$7)&gt;1,1,(K20/$L$7))</f>
        <v>0.82962028109032959</v>
      </c>
      <c r="O20" s="35">
        <f t="shared" si="0"/>
        <v>0.89920136395802741</v>
      </c>
      <c r="P20" s="35">
        <f>-0.4508*M20^3+1.2399*M20^2+-0.4301*M20+0.641</f>
        <v>0.92337243069226171</v>
      </c>
      <c r="Q20" s="35">
        <f>-0.4508*N20^3+1.2399*N20^2+-0.4301*N20+0.641</f>
        <v>0.88015808617988056</v>
      </c>
      <c r="R20" s="35">
        <f>-0.4508*O20^3+1.2399*O20^2+-0.4301*O20+0.641</f>
        <v>0.92903175726446685</v>
      </c>
      <c r="S20" s="35">
        <f>P20*$E$20</f>
        <v>3.7881945874554321</v>
      </c>
      <c r="T20" s="35">
        <f>Q20*$E$20</f>
        <v>3.6109049689430992</v>
      </c>
      <c r="U20" s="35">
        <f>R20*$E$20</f>
        <v>3.8114123374952484</v>
      </c>
      <c r="V20" s="35">
        <f>S20+J20</f>
        <v>57.259326710410527</v>
      </c>
      <c r="W20" s="35">
        <f>T20+K20</f>
        <v>53.38812183436287</v>
      </c>
      <c r="X20" s="35">
        <f>U20+L20</f>
        <v>57.763494174976891</v>
      </c>
      <c r="Y20" s="35">
        <f>(0.3333*(J20+S20)+0.3333*(K20+T20)+0.3333*(L20+U20))</f>
        <v>56.131367208492769</v>
      </c>
      <c r="Z20" s="39">
        <f>VLOOKUP($K$7,Lookup!$N$27:$P$36,2,FALSE)</f>
        <v>133.19999999999999</v>
      </c>
      <c r="AA20" s="35">
        <f>-0.85*(LN($N$7))^2-0.38*LN($A$20)*LN($N$7)-11.48*(LN($A$20))^2+17.8*LN($N$7)+179.8*LN($A$20)-(Z20+555.6)</f>
        <v>70.192037427421042</v>
      </c>
      <c r="AB20" s="35">
        <f>G20/($AA$20/100)</f>
        <v>53.471132122955098</v>
      </c>
      <c r="AC20" s="35">
        <f>H20/($AA$20/100*0.947)</f>
        <v>49.777216865419774</v>
      </c>
      <c r="AD20" s="35">
        <f>I20/($AA$20/100*0.985)</f>
        <v>53.952081837481643</v>
      </c>
      <c r="AE20" s="35">
        <f>IF((AB20/$L$7)&gt;1,1,(AB20/$L$7))</f>
        <v>0.89118553538258494</v>
      </c>
      <c r="AF20" s="35">
        <f t="shared" ref="AF20" si="1">IF((AC20/$L$7)&gt;1,1,(AC20/$L$7))</f>
        <v>0.82962028109032959</v>
      </c>
      <c r="AG20" s="35">
        <f t="shared" ref="AG20" si="2">IF((AD20/$L$7)&gt;1,1,(AD20/$L$7))</f>
        <v>0.89920136395802741</v>
      </c>
      <c r="AH20" s="35">
        <f>-0.4508*AE20^3+1.2399*AE20^2+-0.4301*AE20+0.641</f>
        <v>0.92337243069226171</v>
      </c>
      <c r="AI20" s="35">
        <f>-0.4508*AF20^3+1.2399*AF20^2+-0.4301*AF20+0.641</f>
        <v>0.88015808617988056</v>
      </c>
      <c r="AJ20" s="35">
        <f>-0.4508*AG20^3+1.2399*AG20^2+-0.4301*AG20+0.641</f>
        <v>0.92903175726446685</v>
      </c>
      <c r="AK20" s="35">
        <f>AH20*$E$20</f>
        <v>3.7881945874554321</v>
      </c>
      <c r="AL20" s="35">
        <f>AI20*$E$20</f>
        <v>3.6109049689430992</v>
      </c>
      <c r="AM20" s="35">
        <f>AJ20*$E$20</f>
        <v>3.8114123374952484</v>
      </c>
      <c r="AN20" s="35">
        <f>AK20+AB20</f>
        <v>57.259326710410527</v>
      </c>
      <c r="AO20" s="35">
        <f>AL20+AC20</f>
        <v>53.38812183436287</v>
      </c>
      <c r="AP20" s="35">
        <f>AM20+AD20</f>
        <v>57.763494174976891</v>
      </c>
      <c r="AQ20" s="35">
        <f>0.3333*(AB20+AK20)+0.3333*(AC20+AL20)+0.3333*(AD20+AM20)</f>
        <v>56.131367208492769</v>
      </c>
      <c r="AR20" s="35">
        <f>AQ20/Y20</f>
        <v>1</v>
      </c>
      <c r="AS20" s="43">
        <f>IF((E14/Y20)&gt;1.01,"error",IF((E14/Y20)&lt;0.99,"error",(AR20-W7)*100))</f>
        <v>9.9999999999999982</v>
      </c>
      <c r="AT20" s="23">
        <f>E14/Y20</f>
        <v>1.0056350829230269</v>
      </c>
      <c r="AU20" s="23"/>
      <c r="AV20" s="23"/>
      <c r="AW20" s="23"/>
      <c r="AX20" s="23"/>
      <c r="AY20" s="23"/>
    </row>
    <row r="21" spans="1:51" ht="68.25" customHeight="1" thickBot="1">
      <c r="A21" s="44" t="s">
        <v>25</v>
      </c>
      <c r="B21" s="149" t="s">
        <v>26</v>
      </c>
      <c r="C21" s="147" t="s">
        <v>95</v>
      </c>
      <c r="D21" s="149" t="s">
        <v>64</v>
      </c>
      <c r="E21" s="147" t="s">
        <v>299</v>
      </c>
      <c r="F21" s="147" t="s">
        <v>299</v>
      </c>
      <c r="G21" s="147" t="s">
        <v>299</v>
      </c>
      <c r="H21" s="147" t="s">
        <v>299</v>
      </c>
      <c r="I21" s="147" t="s">
        <v>299</v>
      </c>
      <c r="J21" s="147" t="s">
        <v>299</v>
      </c>
      <c r="K21" s="147" t="s">
        <v>299</v>
      </c>
      <c r="L21" s="147" t="s">
        <v>299</v>
      </c>
      <c r="M21" s="147" t="s">
        <v>299</v>
      </c>
      <c r="N21" s="147" t="s">
        <v>299</v>
      </c>
      <c r="O21" s="147" t="s">
        <v>299</v>
      </c>
      <c r="P21" s="147" t="s">
        <v>299</v>
      </c>
      <c r="Q21" s="147" t="s">
        <v>299</v>
      </c>
      <c r="R21" s="147" t="s">
        <v>299</v>
      </c>
      <c r="S21" s="147" t="s">
        <v>299</v>
      </c>
      <c r="T21" s="147" t="s">
        <v>299</v>
      </c>
      <c r="U21" s="147" t="s">
        <v>299</v>
      </c>
      <c r="V21" s="147" t="s">
        <v>299</v>
      </c>
      <c r="W21" s="147" t="s">
        <v>299</v>
      </c>
      <c r="X21" s="147" t="s">
        <v>299</v>
      </c>
      <c r="Y21" s="147" t="s">
        <v>299</v>
      </c>
      <c r="Z21" s="149" t="s">
        <v>26</v>
      </c>
      <c r="AA21" s="147" t="s">
        <v>299</v>
      </c>
      <c r="AB21" s="147" t="s">
        <v>299</v>
      </c>
      <c r="AC21" s="147" t="s">
        <v>299</v>
      </c>
      <c r="AD21" s="147" t="s">
        <v>299</v>
      </c>
      <c r="AE21" s="147" t="s">
        <v>299</v>
      </c>
      <c r="AF21" s="147" t="s">
        <v>299</v>
      </c>
      <c r="AG21" s="147" t="s">
        <v>299</v>
      </c>
      <c r="AH21" s="147" t="s">
        <v>299</v>
      </c>
      <c r="AI21" s="147" t="s">
        <v>299</v>
      </c>
      <c r="AJ21" s="147" t="s">
        <v>299</v>
      </c>
      <c r="AK21" s="147" t="s">
        <v>299</v>
      </c>
      <c r="AL21" s="147" t="s">
        <v>299</v>
      </c>
      <c r="AM21" s="147" t="s">
        <v>299</v>
      </c>
      <c r="AN21" s="147" t="s">
        <v>299</v>
      </c>
      <c r="AO21" s="147" t="s">
        <v>299</v>
      </c>
      <c r="AP21" s="147" t="s">
        <v>299</v>
      </c>
      <c r="AQ21" s="147" t="s">
        <v>299</v>
      </c>
      <c r="AR21" s="147" t="s">
        <v>299</v>
      </c>
      <c r="AS21" s="46" t="s">
        <v>299</v>
      </c>
      <c r="AT21" s="23"/>
      <c r="AU21" s="23"/>
      <c r="AV21" s="23"/>
      <c r="AW21" s="23"/>
      <c r="AX21" s="23"/>
      <c r="AY21" s="23"/>
    </row>
    <row r="22" spans="1:51" ht="15">
      <c r="F22">
        <f>LN(N7)</f>
        <v>5.8574487756897797</v>
      </c>
      <c r="G22" s="33"/>
      <c r="H22" s="29"/>
      <c r="I22" s="29"/>
      <c r="J22" s="29"/>
      <c r="K22" s="16"/>
      <c r="L22" s="16"/>
      <c r="M22" s="16"/>
      <c r="N22" s="29"/>
      <c r="O22" s="29"/>
      <c r="P22" s="29"/>
      <c r="Q22" s="29"/>
      <c r="R22" s="31"/>
      <c r="S22" s="29"/>
      <c r="T22" s="29"/>
      <c r="U22" s="29"/>
      <c r="V22" s="29"/>
      <c r="W22" s="29"/>
      <c r="X22" s="29"/>
      <c r="Y22" s="29"/>
      <c r="Z22" s="32"/>
      <c r="AA22" s="32"/>
      <c r="AB22" s="32"/>
      <c r="AC22" s="32"/>
      <c r="AD22" s="32"/>
      <c r="AE22" s="32"/>
      <c r="AF22" s="32"/>
      <c r="AG22" s="32"/>
      <c r="AH22" s="32"/>
      <c r="AI22" s="32"/>
      <c r="AJ22" s="32"/>
      <c r="AK22" s="32"/>
      <c r="AL22" s="30"/>
      <c r="AM22" s="24"/>
    </row>
    <row r="23" spans="1:51">
      <c r="F23">
        <f>LN(A20)</f>
        <v>8.2272720474242647</v>
      </c>
    </row>
    <row r="28" spans="1:51">
      <c r="X28" s="23" t="e">
        <f>#REF!</f>
        <v>#REF!</v>
      </c>
    </row>
  </sheetData>
  <mergeCells count="6">
    <mergeCell ref="A2:O2"/>
    <mergeCell ref="N8:W8"/>
    <mergeCell ref="A15:C15"/>
    <mergeCell ref="A17:AS17"/>
    <mergeCell ref="A11:E11"/>
    <mergeCell ref="A4:W4"/>
  </mergeCells>
  <conditionalFormatting sqref="AS20">
    <cfRule type="cellIs" dxfId="3" priority="1" operator="equal">
      <formula>"error"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Lookup!$F$11:$F$12</xm:f>
          </x14:formula1>
          <xm:sqref>H7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Lookup!$E$27:$E$46</xm:f>
          </x14:formula1>
          <xm:sqref>L7</xm:sqref>
        </x14:dataValidation>
        <x14:dataValidation type="list" allowBlank="1" showInputMessage="1" showErrorMessage="1">
          <x14:formula1>
            <xm:f>Lookup!$A$60:$A$61</xm:f>
          </x14:formula1>
          <xm:sqref>I7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28"/>
  <sheetViews>
    <sheetView topLeftCell="U6" zoomScale="125" zoomScaleNormal="125" zoomScalePageLayoutView="125" workbookViewId="0">
      <selection activeCell="E20" sqref="E20"/>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23.83203125" customWidth="1"/>
    <col min="8" max="8" width="25.5" bestFit="1" customWidth="1"/>
    <col min="9" max="9" width="24.1640625" customWidth="1"/>
    <col min="10" max="10" width="20" customWidth="1"/>
    <col min="11"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8.83203125" style="23"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3"/>
      <c r="V4" s="193"/>
      <c r="W4" s="194"/>
    </row>
    <row r="5" spans="1:32" s="16" customFormat="1" ht="56">
      <c r="A5" s="66"/>
      <c r="B5" s="95"/>
      <c r="C5" s="95"/>
      <c r="D5" s="95"/>
      <c r="E5" s="96"/>
      <c r="F5" s="95"/>
      <c r="G5" s="141"/>
      <c r="H5" s="159" t="s">
        <v>356</v>
      </c>
      <c r="I5" s="159"/>
      <c r="J5" s="65" t="s">
        <v>441</v>
      </c>
      <c r="K5" s="95"/>
      <c r="L5" s="159" t="s">
        <v>442</v>
      </c>
      <c r="M5" s="95"/>
      <c r="N5" s="159" t="s">
        <v>342</v>
      </c>
      <c r="O5" s="159" t="s">
        <v>343</v>
      </c>
      <c r="P5" s="159" t="s">
        <v>345</v>
      </c>
      <c r="Q5" s="159" t="s">
        <v>346</v>
      </c>
      <c r="R5" s="159" t="s">
        <v>348</v>
      </c>
      <c r="S5" s="159" t="s">
        <v>349</v>
      </c>
      <c r="T5" s="95"/>
      <c r="U5" s="159" t="s">
        <v>341</v>
      </c>
      <c r="V5" s="95"/>
      <c r="W5" s="67" t="s">
        <v>443</v>
      </c>
    </row>
    <row r="6" spans="1:32" s="16" customFormat="1" ht="42">
      <c r="A6" s="41" t="s">
        <v>0</v>
      </c>
      <c r="B6" s="157" t="s">
        <v>3</v>
      </c>
      <c r="C6" s="36" t="s">
        <v>12</v>
      </c>
      <c r="D6" s="157" t="s">
        <v>27</v>
      </c>
      <c r="E6" s="148" t="s">
        <v>329</v>
      </c>
      <c r="F6" s="157" t="s">
        <v>89</v>
      </c>
      <c r="G6" s="157" t="s">
        <v>560</v>
      </c>
      <c r="H6" s="157" t="s">
        <v>4</v>
      </c>
      <c r="I6" s="157" t="s">
        <v>553</v>
      </c>
      <c r="J6" s="157" t="s">
        <v>554</v>
      </c>
      <c r="K6" s="157" t="s">
        <v>2</v>
      </c>
      <c r="L6" s="157" t="s">
        <v>63</v>
      </c>
      <c r="M6" s="157" t="s">
        <v>73</v>
      </c>
      <c r="N6" s="157" t="s">
        <v>13</v>
      </c>
      <c r="O6" s="157" t="s">
        <v>24</v>
      </c>
      <c r="P6" s="157" t="s">
        <v>49</v>
      </c>
      <c r="Q6" s="157" t="s">
        <v>50</v>
      </c>
      <c r="R6" s="157" t="s">
        <v>51</v>
      </c>
      <c r="S6" s="157" t="s">
        <v>52</v>
      </c>
      <c r="T6" s="157" t="s">
        <v>14</v>
      </c>
      <c r="U6" s="157" t="s">
        <v>15</v>
      </c>
      <c r="V6" s="157" t="s">
        <v>48</v>
      </c>
      <c r="W6" s="47" t="s">
        <v>43</v>
      </c>
    </row>
    <row r="7" spans="1:32" s="16" customFormat="1" ht="42">
      <c r="A7" s="20" t="str">
        <f>'Database Input Tab all Sections'!B3</f>
        <v>xxxxx</v>
      </c>
      <c r="B7" s="156" t="str">
        <f>'Database Input Tab all Sections'!Z10</f>
        <v>xxx.xxx.xx</v>
      </c>
      <c r="C7" s="38" t="str">
        <f>'Database Input Tab all Sections'!C10</f>
        <v>Constant Load (CL)</v>
      </c>
      <c r="D7" s="38" t="str">
        <f>'Database Input Tab all Sections'!D10</f>
        <v>Pump sold with motor</v>
      </c>
      <c r="E7" s="92" t="str">
        <f>'Database Input Tab all Sections'!B10</f>
        <v>Section V - Test Pump Efficiency of Bare Pump + Represented Nominal Full Load Motor Efficiency for Actual Motor Paired with Pump + Default Motor part Load Loss Curve</v>
      </c>
      <c r="F7" s="37" t="str">
        <f>'Database Input Tab all Sections'!E10</f>
        <v>ESCC</v>
      </c>
      <c r="G7" s="154" t="str">
        <f>'Database Input Tab all Sections'!F8</f>
        <v>N/A</v>
      </c>
      <c r="H7" s="37">
        <f>'Database Input Tab all Sections'!G10</f>
        <v>3600</v>
      </c>
      <c r="I7" s="37" t="str">
        <f>'Database Input Tab all Sections'!H10</f>
        <v>Yes</v>
      </c>
      <c r="J7" s="156">
        <f>'Database Input Tab all Sections'!J10</f>
        <v>97</v>
      </c>
      <c r="K7" s="35" t="str">
        <f>F7&amp;-H7</f>
        <v>ESCC-3600</v>
      </c>
      <c r="L7" s="162">
        <f>'Database Input Tab all Sections'!I10</f>
        <v>60</v>
      </c>
      <c r="M7" s="35" t="str">
        <f>(L7&amp;-H7)</f>
        <v>60-3600</v>
      </c>
      <c r="N7" s="156">
        <f>'Database Input Tab all Sections'!L10</f>
        <v>349.83050847457628</v>
      </c>
      <c r="O7" s="156">
        <f>'Database Input Tab all Sections'!M10</f>
        <v>424.42976156276927</v>
      </c>
      <c r="P7" s="156">
        <f>'Database Input Tab all Sections'!N10</f>
        <v>262.37288135593218</v>
      </c>
      <c r="Q7" s="156">
        <f>'Database Input Tab all Sections'!O10</f>
        <v>498.89112324044811</v>
      </c>
      <c r="R7" s="156">
        <f>'Database Input Tab all Sections'!P10</f>
        <v>384.81355932203388</v>
      </c>
      <c r="S7" s="156">
        <f>'Database Input Tab all Sections'!Q10</f>
        <v>383.47601264004595</v>
      </c>
      <c r="T7" s="156" t="str">
        <f>'Database Input Tab all Sections'!AA10</f>
        <v>xxxxx</v>
      </c>
      <c r="U7" s="156">
        <f>'Database Input Tab all Sections'!K10</f>
        <v>1</v>
      </c>
      <c r="V7" s="156" t="str">
        <f>'Database Input Tab all Sections'!AB10</f>
        <v>xxxx</v>
      </c>
      <c r="W7" s="161">
        <f>'Database Input Tab all Sections'!Y10</f>
        <v>0.78</v>
      </c>
    </row>
    <row r="8" spans="1:32" s="18" customFormat="1" ht="58.5" customHeight="1" thickBot="1">
      <c r="A8" s="41" t="s">
        <v>33</v>
      </c>
      <c r="B8" s="157" t="s">
        <v>34</v>
      </c>
      <c r="C8" s="157" t="s">
        <v>36</v>
      </c>
      <c r="D8" s="157" t="s">
        <v>36</v>
      </c>
      <c r="E8" s="148" t="s">
        <v>36</v>
      </c>
      <c r="F8" s="157" t="s">
        <v>35</v>
      </c>
      <c r="G8" s="147" t="s">
        <v>36</v>
      </c>
      <c r="H8" s="157" t="s">
        <v>36</v>
      </c>
      <c r="I8" s="157"/>
      <c r="J8" s="157"/>
      <c r="K8" s="157" t="s">
        <v>90</v>
      </c>
      <c r="L8" s="157" t="s">
        <v>72</v>
      </c>
      <c r="M8" s="157" t="s">
        <v>91</v>
      </c>
      <c r="N8" s="189" t="s">
        <v>37</v>
      </c>
      <c r="O8" s="190"/>
      <c r="P8" s="190"/>
      <c r="Q8" s="190"/>
      <c r="R8" s="190"/>
      <c r="S8" s="190"/>
      <c r="T8" s="190"/>
      <c r="U8" s="190"/>
      <c r="V8" s="190"/>
      <c r="W8" s="191"/>
    </row>
    <row r="9" spans="1:32" s="16" customFormat="1" ht="81" customHeight="1" thickBot="1">
      <c r="A9" s="50"/>
      <c r="B9" s="147" t="s">
        <v>5</v>
      </c>
      <c r="C9" s="51"/>
      <c r="D9" s="147"/>
      <c r="E9" s="93" t="s">
        <v>330</v>
      </c>
      <c r="F9" s="51"/>
      <c r="G9" s="147"/>
      <c r="H9" s="147"/>
      <c r="I9" s="147"/>
      <c r="J9" s="147"/>
      <c r="K9" s="147"/>
      <c r="L9" s="52"/>
      <c r="M9" s="147"/>
      <c r="N9" s="147"/>
      <c r="O9" s="147"/>
      <c r="P9" s="147"/>
      <c r="Q9" s="147"/>
      <c r="R9" s="147"/>
      <c r="S9" s="147"/>
      <c r="T9" s="147"/>
      <c r="U9" s="147"/>
      <c r="V9" s="147" t="s">
        <v>6</v>
      </c>
      <c r="W9" s="94"/>
    </row>
    <row r="10" spans="1:32"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32" s="22" customFormat="1" ht="24" customHeight="1" thickBot="1">
      <c r="A11" s="195" t="s">
        <v>561</v>
      </c>
      <c r="B11" s="196"/>
      <c r="C11" s="196"/>
      <c r="D11" s="196"/>
      <c r="E11" s="197"/>
      <c r="F11" s="166"/>
      <c r="G11" s="26"/>
      <c r="H11" s="26"/>
      <c r="I11" s="26"/>
      <c r="J11" s="26"/>
      <c r="K11" s="26"/>
      <c r="L11" s="26"/>
      <c r="M11" s="26"/>
      <c r="N11" s="26"/>
      <c r="O11" s="26"/>
      <c r="P11" s="26"/>
      <c r="Q11" s="26"/>
      <c r="R11" s="26"/>
      <c r="S11" s="26"/>
      <c r="T11" s="26"/>
      <c r="U11" s="26"/>
      <c r="V11" s="26"/>
      <c r="W11" s="26"/>
      <c r="X11" s="26"/>
      <c r="Y11" s="26"/>
      <c r="Z11" s="26"/>
      <c r="AA11" s="26"/>
      <c r="AB11" s="26"/>
      <c r="AC11" s="26"/>
      <c r="AD11" s="26"/>
    </row>
    <row r="12" spans="1:32" s="22" customFormat="1" ht="32">
      <c r="A12" s="143" t="s">
        <v>382</v>
      </c>
      <c r="B12" s="68" t="s">
        <v>381</v>
      </c>
      <c r="C12" s="68" t="s">
        <v>383</v>
      </c>
      <c r="D12" s="142" t="s">
        <v>550</v>
      </c>
      <c r="E12" s="144" t="s">
        <v>380</v>
      </c>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2" s="22" customFormat="1" ht="42">
      <c r="A13" s="41" t="s">
        <v>16</v>
      </c>
      <c r="B13" s="157" t="s">
        <v>19</v>
      </c>
      <c r="C13" s="157" t="s">
        <v>17</v>
      </c>
      <c r="D13" s="140" t="s">
        <v>549</v>
      </c>
      <c r="E13" s="91" t="s">
        <v>551</v>
      </c>
      <c r="G13" s="150"/>
      <c r="H13" s="26"/>
      <c r="I13" s="26"/>
      <c r="J13" s="26"/>
      <c r="K13" s="26"/>
      <c r="L13" s="26"/>
      <c r="M13" s="26"/>
      <c r="N13" s="26"/>
      <c r="O13" s="26"/>
      <c r="P13" s="26"/>
      <c r="Q13" s="26"/>
      <c r="R13" s="26"/>
      <c r="S13" s="26"/>
      <c r="T13" s="26"/>
      <c r="U13" s="26"/>
      <c r="V13" s="26"/>
      <c r="W13" s="26"/>
      <c r="X13" s="26"/>
      <c r="Y13" s="26"/>
      <c r="Z13" s="26"/>
      <c r="AA13" s="26"/>
    </row>
    <row r="14" spans="1:32" s="22" customFormat="1" ht="15" customHeight="1">
      <c r="A14" s="152">
        <f>'Database Input Tab all Sections'!R9</f>
        <v>49.201251494128293</v>
      </c>
      <c r="B14" s="153">
        <f>'Database Input Tab all Sections'!S9</f>
        <v>51.414352154260818</v>
      </c>
      <c r="C14" s="153">
        <f>'Database Input Tab all Sections'!T9</f>
        <v>51.808353464019966</v>
      </c>
      <c r="D14" s="155">
        <f>0.3333*SUM(A14:C14)</f>
        <v>50.802904905565946</v>
      </c>
      <c r="E14" s="155">
        <f>D14/W7</f>
        <v>65.131929366110185</v>
      </c>
      <c r="G14" s="151"/>
      <c r="H14" s="26"/>
      <c r="I14" s="26"/>
      <c r="J14" s="26"/>
      <c r="K14" s="26"/>
      <c r="L14" s="26"/>
      <c r="M14" s="26"/>
      <c r="N14" s="26"/>
      <c r="O14" s="26"/>
      <c r="P14" s="26"/>
      <c r="Q14" s="26"/>
      <c r="R14" s="26"/>
      <c r="S14" s="26"/>
      <c r="T14" s="26"/>
      <c r="U14" s="26"/>
      <c r="V14" s="26"/>
      <c r="W14" s="26"/>
      <c r="X14" s="26"/>
      <c r="Y14" s="26"/>
      <c r="Z14" s="26"/>
      <c r="AA14" s="26"/>
    </row>
    <row r="15" spans="1:32" s="22" customFormat="1" ht="15" thickBot="1">
      <c r="A15" s="186"/>
      <c r="B15" s="187"/>
      <c r="C15" s="187"/>
      <c r="D15" s="145" t="s">
        <v>299</v>
      </c>
      <c r="E15" s="146" t="s">
        <v>299</v>
      </c>
      <c r="G15" s="26"/>
      <c r="H15" s="26"/>
      <c r="I15" s="26"/>
      <c r="J15" s="26"/>
      <c r="K15" s="26"/>
      <c r="L15" s="26"/>
      <c r="M15" s="26"/>
      <c r="N15" s="26"/>
      <c r="O15" s="26"/>
      <c r="P15" s="26"/>
      <c r="Q15" s="26"/>
      <c r="R15" s="26"/>
      <c r="S15" s="26"/>
      <c r="T15" s="26"/>
      <c r="U15" s="26"/>
      <c r="V15" s="26"/>
      <c r="W15" s="26"/>
      <c r="X15" s="26"/>
      <c r="Y15" s="26"/>
      <c r="Z15" s="26"/>
      <c r="AA15" s="26"/>
    </row>
    <row r="16" spans="1:32" ht="15" thickBot="1"/>
    <row r="17" spans="1:51" ht="30.75" customHeight="1" thickBot="1">
      <c r="A17" s="183" t="s">
        <v>444</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5"/>
    </row>
    <row r="18" spans="1:51" s="23" customFormat="1" ht="30.75" customHeight="1">
      <c r="A18" s="69" t="s">
        <v>357</v>
      </c>
      <c r="B18" s="64" t="s">
        <v>361</v>
      </c>
      <c r="C18" s="64"/>
      <c r="D18" s="83" t="s">
        <v>359</v>
      </c>
      <c r="E18" s="64" t="s">
        <v>360</v>
      </c>
      <c r="F18" s="84" t="s">
        <v>362</v>
      </c>
      <c r="G18" s="64" t="s">
        <v>363</v>
      </c>
      <c r="H18" s="64" t="s">
        <v>364</v>
      </c>
      <c r="I18" s="64" t="s">
        <v>365</v>
      </c>
      <c r="J18" s="70" t="s">
        <v>366</v>
      </c>
      <c r="K18" s="70" t="s">
        <v>396</v>
      </c>
      <c r="L18" s="70" t="s">
        <v>367</v>
      </c>
      <c r="M18" s="64" t="s">
        <v>390</v>
      </c>
      <c r="N18" s="64" t="s">
        <v>391</v>
      </c>
      <c r="O18" s="64" t="s">
        <v>392</v>
      </c>
      <c r="P18" s="64" t="s">
        <v>393</v>
      </c>
      <c r="Q18" s="64" t="s">
        <v>394</v>
      </c>
      <c r="R18" s="64" t="s">
        <v>395</v>
      </c>
      <c r="S18" s="64" t="s">
        <v>397</v>
      </c>
      <c r="T18" s="64" t="s">
        <v>398</v>
      </c>
      <c r="U18" s="64" t="s">
        <v>399</v>
      </c>
      <c r="V18" s="70" t="s">
        <v>377</v>
      </c>
      <c r="W18" s="70" t="s">
        <v>378</v>
      </c>
      <c r="X18" s="70" t="s">
        <v>379</v>
      </c>
      <c r="Y18" s="85" t="s">
        <v>380</v>
      </c>
      <c r="Z18" s="64" t="s">
        <v>385</v>
      </c>
      <c r="AA18" s="84" t="s">
        <v>386</v>
      </c>
      <c r="AB18" s="70" t="s">
        <v>387</v>
      </c>
      <c r="AC18" s="70" t="s">
        <v>388</v>
      </c>
      <c r="AD18" s="70" t="s">
        <v>389</v>
      </c>
      <c r="AE18" s="64" t="s">
        <v>400</v>
      </c>
      <c r="AF18" s="64" t="s">
        <v>401</v>
      </c>
      <c r="AG18" s="64" t="s">
        <v>402</v>
      </c>
      <c r="AH18" s="64" t="s">
        <v>403</v>
      </c>
      <c r="AI18" s="64" t="s">
        <v>404</v>
      </c>
      <c r="AJ18" s="64" t="s">
        <v>405</v>
      </c>
      <c r="AK18" s="64" t="s">
        <v>406</v>
      </c>
      <c r="AL18" s="64" t="s">
        <v>407</v>
      </c>
      <c r="AM18" s="64" t="s">
        <v>408</v>
      </c>
      <c r="AN18" s="70" t="s">
        <v>409</v>
      </c>
      <c r="AO18" s="70" t="s">
        <v>410</v>
      </c>
      <c r="AP18" s="70" t="s">
        <v>411</v>
      </c>
      <c r="AQ18" s="85" t="s">
        <v>412</v>
      </c>
      <c r="AR18" s="85" t="s">
        <v>413</v>
      </c>
      <c r="AS18" s="86" t="s">
        <v>414</v>
      </c>
    </row>
    <row r="19" spans="1:51" ht="42">
      <c r="A19" s="41" t="s">
        <v>23</v>
      </c>
      <c r="B19" s="157" t="s">
        <v>54</v>
      </c>
      <c r="C19" s="157" t="s">
        <v>96</v>
      </c>
      <c r="D19" s="157" t="s">
        <v>297</v>
      </c>
      <c r="E19" s="54" t="s">
        <v>298</v>
      </c>
      <c r="F19" s="157" t="s">
        <v>55</v>
      </c>
      <c r="G19" s="54" t="s">
        <v>56</v>
      </c>
      <c r="H19" s="54" t="s">
        <v>57</v>
      </c>
      <c r="I19" s="54" t="s">
        <v>58</v>
      </c>
      <c r="J19" s="54" t="s">
        <v>60</v>
      </c>
      <c r="K19" s="54" t="s">
        <v>61</v>
      </c>
      <c r="L19" s="54" t="s">
        <v>62</v>
      </c>
      <c r="M19" s="54" t="s">
        <v>302</v>
      </c>
      <c r="N19" s="54" t="s">
        <v>301</v>
      </c>
      <c r="O19" s="54" t="s">
        <v>300</v>
      </c>
      <c r="P19" s="54" t="s">
        <v>306</v>
      </c>
      <c r="Q19" s="54" t="s">
        <v>307</v>
      </c>
      <c r="R19" s="54" t="s">
        <v>308</v>
      </c>
      <c r="S19" s="54" t="s">
        <v>316</v>
      </c>
      <c r="T19" s="54" t="s">
        <v>317</v>
      </c>
      <c r="U19" s="54" t="s">
        <v>318</v>
      </c>
      <c r="V19" s="157" t="s">
        <v>351</v>
      </c>
      <c r="W19" s="157" t="s">
        <v>352</v>
      </c>
      <c r="X19" s="157" t="s">
        <v>352</v>
      </c>
      <c r="Y19" s="54" t="s">
        <v>312</v>
      </c>
      <c r="Z19" s="157" t="s">
        <v>53</v>
      </c>
      <c r="AA19" s="157" t="s">
        <v>59</v>
      </c>
      <c r="AB19" s="54" t="s">
        <v>67</v>
      </c>
      <c r="AC19" s="54" t="s">
        <v>66</v>
      </c>
      <c r="AD19" s="54" t="s">
        <v>65</v>
      </c>
      <c r="AE19" s="54" t="s">
        <v>303</v>
      </c>
      <c r="AF19" s="54" t="s">
        <v>304</v>
      </c>
      <c r="AG19" s="54" t="s">
        <v>305</v>
      </c>
      <c r="AH19" s="54" t="s">
        <v>309</v>
      </c>
      <c r="AI19" s="54" t="s">
        <v>310</v>
      </c>
      <c r="AJ19" s="54" t="s">
        <v>311</v>
      </c>
      <c r="AK19" s="54" t="s">
        <v>319</v>
      </c>
      <c r="AL19" s="54" t="s">
        <v>320</v>
      </c>
      <c r="AM19" s="54" t="s">
        <v>321</v>
      </c>
      <c r="AN19" s="157" t="s">
        <v>353</v>
      </c>
      <c r="AO19" s="157" t="s">
        <v>354</v>
      </c>
      <c r="AP19" s="157" t="s">
        <v>354</v>
      </c>
      <c r="AQ19" s="54" t="s">
        <v>313</v>
      </c>
      <c r="AR19" s="54" t="s">
        <v>314</v>
      </c>
      <c r="AS19" s="91" t="s">
        <v>315</v>
      </c>
      <c r="AT19" s="23"/>
      <c r="AU19" s="23"/>
      <c r="AV19" s="23"/>
      <c r="AW19" s="23"/>
      <c r="AX19" s="23"/>
      <c r="AY19" s="23"/>
    </row>
    <row r="20" spans="1:51">
      <c r="A20" s="176">
        <f>((H7*SQRT(N7)/(O7/U7)^0.75))</f>
        <v>720.07373351181911</v>
      </c>
      <c r="B20" s="175">
        <f>VLOOKUP($K$7,Lookup!$N$27:$P$36,3,FALSE)</f>
        <v>130.41999999999999</v>
      </c>
      <c r="C20" s="35" t="str">
        <f>F7&amp;-L7&amp;-H7</f>
        <v>ESCC-60-3600</v>
      </c>
      <c r="D20" s="175">
        <f>VLOOKUP($C$20,Lookup!$U$28:$V$227,2,FALSE)</f>
        <v>93.6</v>
      </c>
      <c r="E20" s="155">
        <f>L7/(D20/100)-L7</f>
        <v>4.1025641025641022</v>
      </c>
      <c r="F20" s="155">
        <f>-0.85*(LN($N$7))^2-0.38*LN($A$20)*LN($N$7)-11.48*(LN($A$20))^2+17.8*LN($N$7)+179.8*LN($A$20)-(B20+555.6)</f>
        <v>60.45756873870539</v>
      </c>
      <c r="G20" s="35">
        <f>N7*O7/3956</f>
        <v>37.532477072610398</v>
      </c>
      <c r="H20" s="35">
        <f>P7*Q7/3956</f>
        <v>33.087841629801275</v>
      </c>
      <c r="I20" s="35">
        <f>R7*S7/3956</f>
        <v>37.302014494094372</v>
      </c>
      <c r="J20" s="35">
        <f>G20/($F$20/100)</f>
        <v>62.080692054991324</v>
      </c>
      <c r="K20" s="35">
        <f>H20/($F$20/100*0.947)</f>
        <v>57.792007554110207</v>
      </c>
      <c r="L20" s="35">
        <f>I20/($F$20/100*0.985)</f>
        <v>62.639081038654538</v>
      </c>
      <c r="M20" s="35">
        <f>IF((J20/$L$7)&gt;1,1,(J20/$L$7))</f>
        <v>1</v>
      </c>
      <c r="N20" s="35">
        <f t="shared" ref="N20:O20" si="0">IF((K20/$L$7)&gt;1,1,(K20/$L$7))</f>
        <v>0.96320012590183679</v>
      </c>
      <c r="O20" s="35">
        <f t="shared" si="0"/>
        <v>1</v>
      </c>
      <c r="P20" s="35">
        <f>-0.4508*M20^3+1.2399*M20^2+-0.4301*M20+0.641</f>
        <v>1</v>
      </c>
      <c r="Q20" s="35">
        <f>-0.4508*N20^3+1.2399*N20^2+-0.4301*N20+0.641</f>
        <v>0.97420956268645686</v>
      </c>
      <c r="R20" s="35">
        <f>-0.4508*O20^3+1.2399*O20^2+-0.4301*O20+0.641</f>
        <v>1</v>
      </c>
      <c r="S20" s="35">
        <f>P20*$E$20</f>
        <v>4.1025641025641022</v>
      </c>
      <c r="T20" s="35">
        <f>Q20*$E$20</f>
        <v>3.9967571802521302</v>
      </c>
      <c r="U20" s="35">
        <f>R20*$E$20</f>
        <v>4.1025641025641022</v>
      </c>
      <c r="V20" s="35">
        <f>S20+J20</f>
        <v>66.183256157555434</v>
      </c>
      <c r="W20" s="35">
        <f>T20+K20</f>
        <v>61.788764734362339</v>
      </c>
      <c r="X20" s="35">
        <f>U20+L20</f>
        <v>66.74164514121864</v>
      </c>
      <c r="Y20" s="35">
        <f>(0.3333*(J20+S20)+0.3333*(K20+T20)+0.3333*(L20+U20))</f>
        <v>64.89806488884436</v>
      </c>
      <c r="Z20" s="39">
        <f>VLOOKUP($K$7,Lookup!$N$27:$P$36,2,FALSE)</f>
        <v>135.94</v>
      </c>
      <c r="AA20" s="35">
        <f>-0.85*(LN($N$7))^2-0.38*LN($A$20)*LN($N$7)-11.48*(LN($A$20))^2+17.8*LN($N$7)+179.8*LN($A$20)-(Z20+555.6)</f>
        <v>54.937568738705409</v>
      </c>
      <c r="AB20" s="35">
        <f>G20/($AA$20/100)</f>
        <v>68.318416585056255</v>
      </c>
      <c r="AC20" s="35">
        <f>H20/($AA$20/100*0.947)</f>
        <v>63.598814972472205</v>
      </c>
      <c r="AD20" s="35">
        <f>I20/($AA$20/100*0.985)</f>
        <v>68.93291120390839</v>
      </c>
      <c r="AE20" s="35">
        <f>IF((AB20/$L$7)&gt;1,1,(AB20/$L$7))</f>
        <v>1</v>
      </c>
      <c r="AF20" s="35">
        <f t="shared" ref="AF20" si="1">IF((AC20/$L$7)&gt;1,1,(AC20/$L$7))</f>
        <v>1</v>
      </c>
      <c r="AG20" s="35">
        <f t="shared" ref="AG20" si="2">IF((AD20/$L$7)&gt;1,1,(AD20/$L$7))</f>
        <v>1</v>
      </c>
      <c r="AH20" s="35">
        <f>-0.4508*AE20^3+1.2399*AE20^2+-0.4301*AE20+0.641</f>
        <v>1</v>
      </c>
      <c r="AI20" s="35">
        <f>-0.4508*AF20^3+1.2399*AF20^2+-0.4301*AF20+0.641</f>
        <v>1</v>
      </c>
      <c r="AJ20" s="35">
        <f>-0.4508*AG20^3+1.2399*AG20^2+-0.4301*AG20+0.641</f>
        <v>1</v>
      </c>
      <c r="AK20" s="35">
        <f>AH20*$E$20</f>
        <v>4.1025641025641022</v>
      </c>
      <c r="AL20" s="35">
        <f>AI20*$E$20</f>
        <v>4.1025641025641022</v>
      </c>
      <c r="AM20" s="35">
        <f>AJ20*$E$20</f>
        <v>4.1025641025641022</v>
      </c>
      <c r="AN20" s="35">
        <f>AK20+AB20</f>
        <v>72.420980687620357</v>
      </c>
      <c r="AO20" s="35">
        <f>AL20+AC20</f>
        <v>67.7013790750363</v>
      </c>
      <c r="AP20" s="35">
        <f>AM20+AD20</f>
        <v>73.035475306472492</v>
      </c>
      <c r="AQ20" s="35">
        <f>0.3333*(AB20+AK20)+0.3333*(AC20+AL20)+0.3333*(AD20+AM20)</f>
        <v>71.045506428540747</v>
      </c>
      <c r="AR20" s="35">
        <f>AQ20/Y20</f>
        <v>1.0947245738409235</v>
      </c>
      <c r="AS20" s="43">
        <f>IF((E14/Y20)&gt;1.01,"error",IF((E14/Y20)&lt;0.99,"error",(AR20-W7)*100))</f>
        <v>31.472457384092344</v>
      </c>
      <c r="AT20" s="23">
        <f>E14/Y20</f>
        <v>1.0036035662645162</v>
      </c>
      <c r="AU20" s="23"/>
      <c r="AV20" s="23"/>
      <c r="AW20" s="23"/>
      <c r="AX20" s="23"/>
      <c r="AY20" s="23"/>
    </row>
    <row r="21" spans="1:51" ht="68.25" customHeight="1" thickBot="1">
      <c r="A21" s="44" t="s">
        <v>25</v>
      </c>
      <c r="B21" s="149" t="s">
        <v>26</v>
      </c>
      <c r="C21" s="147" t="s">
        <v>95</v>
      </c>
      <c r="D21" s="149" t="s">
        <v>64</v>
      </c>
      <c r="E21" s="147" t="s">
        <v>299</v>
      </c>
      <c r="F21" s="147" t="s">
        <v>299</v>
      </c>
      <c r="G21" s="147" t="s">
        <v>299</v>
      </c>
      <c r="H21" s="147" t="s">
        <v>299</v>
      </c>
      <c r="I21" s="147" t="s">
        <v>299</v>
      </c>
      <c r="J21" s="147" t="s">
        <v>299</v>
      </c>
      <c r="K21" s="147" t="s">
        <v>299</v>
      </c>
      <c r="L21" s="147" t="s">
        <v>299</v>
      </c>
      <c r="M21" s="147" t="s">
        <v>299</v>
      </c>
      <c r="N21" s="147" t="s">
        <v>299</v>
      </c>
      <c r="O21" s="147" t="s">
        <v>299</v>
      </c>
      <c r="P21" s="147" t="s">
        <v>299</v>
      </c>
      <c r="Q21" s="147" t="s">
        <v>299</v>
      </c>
      <c r="R21" s="147" t="s">
        <v>299</v>
      </c>
      <c r="S21" s="147" t="s">
        <v>299</v>
      </c>
      <c r="T21" s="147" t="s">
        <v>299</v>
      </c>
      <c r="U21" s="147" t="s">
        <v>299</v>
      </c>
      <c r="V21" s="147" t="s">
        <v>299</v>
      </c>
      <c r="W21" s="147" t="s">
        <v>299</v>
      </c>
      <c r="X21" s="147" t="s">
        <v>299</v>
      </c>
      <c r="Y21" s="147" t="s">
        <v>299</v>
      </c>
      <c r="Z21" s="149" t="s">
        <v>26</v>
      </c>
      <c r="AA21" s="147" t="s">
        <v>299</v>
      </c>
      <c r="AB21" s="147" t="s">
        <v>299</v>
      </c>
      <c r="AC21" s="147" t="s">
        <v>299</v>
      </c>
      <c r="AD21" s="147" t="s">
        <v>299</v>
      </c>
      <c r="AE21" s="147" t="s">
        <v>299</v>
      </c>
      <c r="AF21" s="147" t="s">
        <v>299</v>
      </c>
      <c r="AG21" s="147" t="s">
        <v>299</v>
      </c>
      <c r="AH21" s="147" t="s">
        <v>299</v>
      </c>
      <c r="AI21" s="147" t="s">
        <v>299</v>
      </c>
      <c r="AJ21" s="147" t="s">
        <v>299</v>
      </c>
      <c r="AK21" s="147" t="s">
        <v>299</v>
      </c>
      <c r="AL21" s="147" t="s">
        <v>299</v>
      </c>
      <c r="AM21" s="147" t="s">
        <v>299</v>
      </c>
      <c r="AN21" s="147" t="s">
        <v>299</v>
      </c>
      <c r="AO21" s="147" t="s">
        <v>299</v>
      </c>
      <c r="AP21" s="147" t="s">
        <v>299</v>
      </c>
      <c r="AQ21" s="147" t="s">
        <v>299</v>
      </c>
      <c r="AR21" s="147" t="s">
        <v>299</v>
      </c>
      <c r="AS21" s="46" t="s">
        <v>299</v>
      </c>
      <c r="AT21" s="23"/>
      <c r="AU21" s="23"/>
      <c r="AV21" s="23"/>
      <c r="AW21" s="23"/>
      <c r="AX21" s="23"/>
      <c r="AY21" s="23"/>
    </row>
    <row r="22" spans="1:51" ht="15">
      <c r="D22">
        <f>SUM(D23:D28)</f>
        <v>60.457568738304786</v>
      </c>
      <c r="E22">
        <f>SUM(E23:E28)</f>
        <v>60.457568738705362</v>
      </c>
      <c r="F22" s="177">
        <f>LN(N7)</f>
        <v>5.8574487756897797</v>
      </c>
      <c r="G22" s="33"/>
      <c r="H22" s="29"/>
      <c r="I22" s="29"/>
      <c r="J22" s="29"/>
      <c r="K22" s="16"/>
      <c r="L22" s="16"/>
      <c r="M22" s="16"/>
      <c r="N22" s="29"/>
      <c r="O22" s="29"/>
      <c r="P22" s="29"/>
      <c r="Q22" s="29"/>
      <c r="R22" s="31"/>
      <c r="S22" s="29"/>
      <c r="T22" s="29"/>
      <c r="U22" s="29"/>
      <c r="V22" s="29"/>
      <c r="W22" s="29"/>
      <c r="X22" s="29"/>
      <c r="Y22" s="29"/>
      <c r="Z22" s="32"/>
      <c r="AA22" s="32"/>
      <c r="AB22" s="32"/>
      <c r="AC22" s="32"/>
      <c r="AD22" s="32"/>
      <c r="AE22" s="32"/>
      <c r="AF22" s="32"/>
      <c r="AG22" s="32"/>
      <c r="AH22" s="32"/>
      <c r="AI22" s="32"/>
      <c r="AJ22" s="32"/>
      <c r="AK22" s="32"/>
      <c r="AL22" s="30"/>
      <c r="AM22" s="24"/>
    </row>
    <row r="23" spans="1:51">
      <c r="D23">
        <v>-686.02</v>
      </c>
      <c r="E23" s="179">
        <f>-(B20+555.6)</f>
        <v>-686.02</v>
      </c>
      <c r="F23" s="178">
        <f>LN(A20)</f>
        <v>6.5793536144220992</v>
      </c>
    </row>
    <row r="24" spans="1:51">
      <c r="D24">
        <v>1182.9677798677899</v>
      </c>
      <c r="E24">
        <f>179.8*LN($A$20)</f>
        <v>1182.9677798730936</v>
      </c>
    </row>
    <row r="25" spans="1:51">
      <c r="D25">
        <v>104.262588208571</v>
      </c>
      <c r="E25">
        <f>17.8*LN($N$7)</f>
        <v>104.26258820727809</v>
      </c>
    </row>
    <row r="26" spans="1:51">
      <c r="D26">
        <v>-496.94502292738298</v>
      </c>
      <c r="E26">
        <f>-11.48*(LN($A$20))^2</f>
        <v>-496.94502293183291</v>
      </c>
    </row>
    <row r="27" spans="1:51">
      <c r="D27">
        <v>-14.644526174094301</v>
      </c>
      <c r="E27">
        <f>-0.38*LN($A$20)*LN($N$7)</f>
        <v>-14.644526173978205</v>
      </c>
    </row>
    <row r="28" spans="1:51">
      <c r="D28">
        <v>-29.1632502365789</v>
      </c>
      <c r="E28">
        <f>-0.85*(LN($N$7))^2</f>
        <v>-29.163250235855244</v>
      </c>
      <c r="X28" s="23" t="e">
        <f>#REF!</f>
        <v>#REF!</v>
      </c>
    </row>
  </sheetData>
  <mergeCells count="6">
    <mergeCell ref="A2:O2"/>
    <mergeCell ref="N8:W8"/>
    <mergeCell ref="A15:C15"/>
    <mergeCell ref="A17:AS17"/>
    <mergeCell ref="A11:E11"/>
    <mergeCell ref="A4:W4"/>
  </mergeCells>
  <conditionalFormatting sqref="AS20">
    <cfRule type="cellIs" dxfId="2" priority="1" operator="equal">
      <formula>"error"</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Lookup!$A$60:$A$61</xm:f>
          </x14:formula1>
          <xm:sqref>I7</xm:sqref>
        </x14:dataValidation>
        <x14:dataValidation type="list" allowBlank="1" showInputMessage="1" showErrorMessage="1">
          <x14:formula1>
            <xm:f>Lookup!$E$27:$E$46</xm:f>
          </x14:formula1>
          <xm:sqref>L7</xm:sqref>
        </x14:dataValidation>
        <x14:dataValidation type="list" allowBlank="1" showInputMessage="1" showErrorMessage="1">
          <x14:formula1>
            <xm:f>Lookup!$N$11:$N$15</xm:f>
          </x14:formula1>
          <xm:sqref>E7</xm:sqref>
        </x14:dataValidation>
        <x14:dataValidation type="list" allowBlank="1" showInputMessage="1" showErrorMessage="1">
          <x14:formula1>
            <xm:f>Lookup!$E$11:$E$20</xm:f>
          </x14:formula1>
          <xm:sqref>F7</xm:sqref>
        </x14:dataValidation>
        <x14:dataValidation type="list" allowBlank="1" showInputMessage="1" showErrorMessage="1">
          <x14:formula1>
            <xm:f>Lookup!$H$11:$H$12</xm:f>
          </x14:formula1>
          <xm:sqref>C7</xm:sqref>
        </x14:dataValidation>
        <x14:dataValidation type="list" allowBlank="1" showInputMessage="1" showErrorMessage="1">
          <x14:formula1>
            <xm:f>Lookup!$F$11:$F$12</xm:f>
          </x14:formula1>
          <xm:sqref>H7</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29"/>
  <sheetViews>
    <sheetView tabSelected="1" topLeftCell="A10" zoomScale="125" zoomScaleNormal="125" zoomScalePageLayoutView="125" workbookViewId="0">
      <selection activeCell="A14" sqref="A14"/>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30.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9.5" style="23"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30.1640625" style="23" customWidth="1"/>
    <col min="41" max="41" width="28.83203125" style="23" customWidth="1"/>
    <col min="42" max="42" width="29.8320312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3"/>
      <c r="V4" s="193"/>
      <c r="W4" s="194"/>
    </row>
    <row r="5" spans="1:32" s="16" customFormat="1" ht="56">
      <c r="A5" s="66"/>
      <c r="B5" s="95"/>
      <c r="C5" s="95"/>
      <c r="D5" s="95"/>
      <c r="E5" s="96"/>
      <c r="F5" s="95"/>
      <c r="G5" s="141"/>
      <c r="H5" s="159" t="s">
        <v>356</v>
      </c>
      <c r="I5" s="159"/>
      <c r="J5" s="65" t="s">
        <v>441</v>
      </c>
      <c r="K5" s="95"/>
      <c r="L5" s="159" t="s">
        <v>442</v>
      </c>
      <c r="M5" s="95"/>
      <c r="N5" s="159" t="s">
        <v>342</v>
      </c>
      <c r="O5" s="159" t="s">
        <v>343</v>
      </c>
      <c r="P5" s="159" t="s">
        <v>345</v>
      </c>
      <c r="Q5" s="159" t="s">
        <v>346</v>
      </c>
      <c r="R5" s="159" t="s">
        <v>348</v>
      </c>
      <c r="S5" s="159" t="s">
        <v>349</v>
      </c>
      <c r="T5" s="95"/>
      <c r="U5" s="159" t="s">
        <v>341</v>
      </c>
      <c r="V5" s="95"/>
      <c r="W5" s="67" t="s">
        <v>443</v>
      </c>
    </row>
    <row r="6" spans="1:32" s="16" customFormat="1" ht="42">
      <c r="A6" s="41" t="s">
        <v>0</v>
      </c>
      <c r="B6" s="157" t="s">
        <v>3</v>
      </c>
      <c r="C6" s="36" t="s">
        <v>12</v>
      </c>
      <c r="D6" s="157" t="s">
        <v>27</v>
      </c>
      <c r="E6" s="148" t="s">
        <v>329</v>
      </c>
      <c r="F6" s="157" t="s">
        <v>89</v>
      </c>
      <c r="G6" s="157" t="s">
        <v>560</v>
      </c>
      <c r="H6" s="157" t="s">
        <v>4</v>
      </c>
      <c r="I6" s="157" t="s">
        <v>553</v>
      </c>
      <c r="J6" s="157" t="s">
        <v>554</v>
      </c>
      <c r="K6" s="157" t="s">
        <v>2</v>
      </c>
      <c r="L6" s="157" t="s">
        <v>63</v>
      </c>
      <c r="M6" s="157" t="s">
        <v>73</v>
      </c>
      <c r="N6" s="157" t="s">
        <v>13</v>
      </c>
      <c r="O6" s="157" t="s">
        <v>24</v>
      </c>
      <c r="P6" s="157" t="s">
        <v>49</v>
      </c>
      <c r="Q6" s="157" t="s">
        <v>50</v>
      </c>
      <c r="R6" s="157" t="s">
        <v>51</v>
      </c>
      <c r="S6" s="157" t="s">
        <v>52</v>
      </c>
      <c r="T6" s="157" t="s">
        <v>14</v>
      </c>
      <c r="U6" s="157" t="s">
        <v>15</v>
      </c>
      <c r="V6" s="157" t="s">
        <v>48</v>
      </c>
      <c r="W6" s="47" t="s">
        <v>43</v>
      </c>
    </row>
    <row r="7" spans="1:32" s="16" customFormat="1" ht="28">
      <c r="A7" s="20" t="str">
        <f>'Database Input Tab all Sections'!B3</f>
        <v>xxxxx</v>
      </c>
      <c r="B7" s="156" t="str">
        <f>'Database Input Tab all Sections'!Z11</f>
        <v>xxx.xxx.xx</v>
      </c>
      <c r="C7" s="38" t="str">
        <f>'Database Input Tab all Sections'!C11</f>
        <v>Variable Load (VL)</v>
      </c>
      <c r="D7" s="38" t="str">
        <f>'Database Input Tab all Sections'!D11</f>
        <v>Pump sold with motor and continuous controls</v>
      </c>
      <c r="E7" s="92" t="str">
        <f>'Database Input Tab all Sections'!B11</f>
        <v>Section VI - Pump + Motor + Control Tested Wire-to-Water Performance + Assumed Control Curve</v>
      </c>
      <c r="F7" s="37" t="str">
        <f>'Database Input Tab all Sections'!E11</f>
        <v>ST</v>
      </c>
      <c r="G7" s="167">
        <f>'Database Input Tab all Sections'!F11</f>
        <v>4</v>
      </c>
      <c r="H7" s="37">
        <f>'Database Input Tab all Sections'!G11</f>
        <v>3600</v>
      </c>
      <c r="I7" s="37" t="str">
        <f>'Database Input Tab all Sections'!H11</f>
        <v>N/A</v>
      </c>
      <c r="J7" s="163" t="str">
        <f>'Database Input Tab all Sections'!J11</f>
        <v>N/A</v>
      </c>
      <c r="K7" s="35" t="str">
        <f>F7&amp;-H7</f>
        <v>ST-3600</v>
      </c>
      <c r="L7" s="162">
        <f>'Database Input Tab all Sections'!I11</f>
        <v>60</v>
      </c>
      <c r="M7" s="35" t="str">
        <f>(L7&amp;-H7)</f>
        <v>60-3600</v>
      </c>
      <c r="N7" s="156">
        <f>'Database Input Tab all Sections'!L11</f>
        <v>349.83050847457628</v>
      </c>
      <c r="O7" s="156">
        <f>'Database Input Tab all Sections'!M11</f>
        <v>424.42976156276927</v>
      </c>
      <c r="P7" s="156">
        <f>'Database Input Tab all Sections'!N11</f>
        <v>262.37290000000002</v>
      </c>
      <c r="Q7" s="156">
        <f>'Database Input Tab all Sections'!O11</f>
        <v>498.89112324044811</v>
      </c>
      <c r="R7" s="156">
        <f>'Database Input Tab all Sections'!P11</f>
        <v>384.81355932203388</v>
      </c>
      <c r="S7" s="156">
        <f>'Database Input Tab all Sections'!Q11</f>
        <v>383.47601264004595</v>
      </c>
      <c r="T7" s="156" t="str">
        <f>'Database Input Tab all Sections'!AA11</f>
        <v>xxxxx</v>
      </c>
      <c r="U7" s="156">
        <f>'Database Input Tab all Sections'!K11</f>
        <v>9</v>
      </c>
      <c r="V7" s="156" t="str">
        <f>'Database Input Tab all Sections'!AB11</f>
        <v>xxxx</v>
      </c>
      <c r="W7" s="161">
        <f>'Database Input Tab all Sections'!Y11</f>
        <v>0.47</v>
      </c>
    </row>
    <row r="8" spans="1:32" s="16" customFormat="1">
      <c r="A8" s="20"/>
      <c r="B8" s="156"/>
      <c r="C8" s="38"/>
      <c r="D8" s="38"/>
      <c r="E8" s="92"/>
      <c r="F8" s="37"/>
      <c r="G8" s="249">
        <f>G7*25.4</f>
        <v>101.6</v>
      </c>
      <c r="H8" s="37"/>
      <c r="I8" s="37"/>
      <c r="J8" s="163"/>
      <c r="K8" s="35"/>
      <c r="L8" s="250">
        <f>L7*0.745699872</f>
        <v>44.741992320000001</v>
      </c>
      <c r="M8" s="35"/>
      <c r="N8" s="251">
        <f>N7*0.227124707</f>
        <v>79.455151736949162</v>
      </c>
      <c r="O8" s="252">
        <f>O7*0.3048</f>
        <v>129.36619132433208</v>
      </c>
      <c r="P8" s="251">
        <f>P7*0.227124707</f>
        <v>59.591368037240308</v>
      </c>
      <c r="Q8" s="252">
        <f>Q7*0.3048</f>
        <v>152.0620143636886</v>
      </c>
      <c r="R8" s="251">
        <f>R7*0.227124707</f>
        <v>87.400666910644063</v>
      </c>
      <c r="S8" s="252">
        <f>S7*0.3048</f>
        <v>116.88348865268601</v>
      </c>
      <c r="T8" s="252"/>
      <c r="U8" s="252"/>
      <c r="V8" s="252"/>
      <c r="W8" s="253"/>
    </row>
    <row r="9" spans="1:32" s="18" customFormat="1" ht="84.75" customHeight="1" thickBot="1">
      <c r="A9" s="41" t="s">
        <v>33</v>
      </c>
      <c r="B9" s="157" t="s">
        <v>34</v>
      </c>
      <c r="C9" s="157" t="s">
        <v>36</v>
      </c>
      <c r="D9" s="157" t="s">
        <v>36</v>
      </c>
      <c r="E9" s="148" t="s">
        <v>36</v>
      </c>
      <c r="F9" s="157" t="s">
        <v>35</v>
      </c>
      <c r="G9" s="147" t="s">
        <v>36</v>
      </c>
      <c r="H9" s="157" t="s">
        <v>36</v>
      </c>
      <c r="I9" s="157"/>
      <c r="J9" s="157"/>
      <c r="K9" s="157" t="s">
        <v>90</v>
      </c>
      <c r="L9" s="157" t="s">
        <v>72</v>
      </c>
      <c r="M9" s="157" t="s">
        <v>91</v>
      </c>
      <c r="N9" s="189" t="s">
        <v>37</v>
      </c>
      <c r="O9" s="190"/>
      <c r="P9" s="190"/>
      <c r="Q9" s="190"/>
      <c r="R9" s="190"/>
      <c r="S9" s="190"/>
      <c r="T9" s="190"/>
      <c r="U9" s="190"/>
      <c r="V9" s="190"/>
      <c r="W9" s="191"/>
    </row>
    <row r="10" spans="1:32" s="16" customFormat="1" ht="96" customHeight="1" thickBot="1">
      <c r="A10" s="50"/>
      <c r="B10" s="147" t="s">
        <v>5</v>
      </c>
      <c r="C10" s="51"/>
      <c r="D10" s="147"/>
      <c r="E10" s="93" t="s">
        <v>330</v>
      </c>
      <c r="F10" s="51"/>
      <c r="G10" s="147"/>
      <c r="H10" s="147"/>
      <c r="I10" s="147"/>
      <c r="J10" s="147"/>
      <c r="K10" s="147"/>
      <c r="L10" s="147"/>
      <c r="M10" s="52"/>
      <c r="N10" s="147"/>
      <c r="O10" s="147"/>
      <c r="P10" s="147"/>
      <c r="Q10" s="147"/>
      <c r="R10" s="147"/>
      <c r="S10" s="147"/>
      <c r="T10" s="147"/>
      <c r="U10" s="147"/>
      <c r="V10" s="147" t="s">
        <v>6</v>
      </c>
      <c r="W10" s="94"/>
    </row>
    <row r="11" spans="1:32" ht="15" thickBot="1">
      <c r="C11" s="1"/>
      <c r="D11" s="1"/>
      <c r="E11" s="1"/>
      <c r="F11" s="1"/>
      <c r="G11" s="1"/>
      <c r="H11" s="1"/>
      <c r="I11" s="1"/>
      <c r="K11" s="1"/>
      <c r="L11" s="1"/>
      <c r="M11" s="1"/>
      <c r="N11" s="25"/>
      <c r="O11" s="25"/>
      <c r="P11" s="25"/>
      <c r="Q11" s="25"/>
      <c r="R11" s="25"/>
      <c r="S11" s="25"/>
      <c r="T11" s="25"/>
      <c r="U11" s="25"/>
      <c r="V11" s="25"/>
      <c r="W11" s="25"/>
      <c r="X11" s="25"/>
      <c r="Y11" s="25"/>
      <c r="Z11" s="25"/>
      <c r="AA11" s="25"/>
      <c r="AE11" s="25"/>
      <c r="AF11" s="25"/>
    </row>
    <row r="12" spans="1:32" s="22" customFormat="1" ht="24" customHeight="1" thickBot="1">
      <c r="A12" s="195"/>
      <c r="B12" s="196"/>
      <c r="C12" s="196"/>
      <c r="D12" s="196"/>
      <c r="E12" s="196"/>
      <c r="F12" s="197"/>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2" s="22" customFormat="1" ht="32">
      <c r="A13" s="143" t="s">
        <v>555</v>
      </c>
      <c r="B13" s="68" t="s">
        <v>427</v>
      </c>
      <c r="C13" s="68" t="s">
        <v>428</v>
      </c>
      <c r="D13" s="68" t="s">
        <v>419</v>
      </c>
      <c r="E13" s="142" t="s">
        <v>550</v>
      </c>
      <c r="F13" s="144" t="s">
        <v>380</v>
      </c>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2" s="22" customFormat="1" ht="42">
      <c r="A14" s="41" t="s">
        <v>16</v>
      </c>
      <c r="B14" s="157" t="s">
        <v>19</v>
      </c>
      <c r="C14" s="157" t="s">
        <v>17</v>
      </c>
      <c r="D14" s="36" t="s">
        <v>32</v>
      </c>
      <c r="E14" s="140" t="s">
        <v>549</v>
      </c>
      <c r="F14" s="91" t="s">
        <v>551</v>
      </c>
      <c r="G14" s="150"/>
      <c r="H14" s="26"/>
      <c r="I14" s="26"/>
      <c r="J14" s="26"/>
      <c r="K14" s="26"/>
      <c r="L14" s="26"/>
      <c r="M14" s="26"/>
      <c r="N14" s="26"/>
      <c r="O14" s="26"/>
      <c r="P14" s="26"/>
      <c r="Q14" s="26"/>
      <c r="R14" s="26"/>
      <c r="S14" s="26"/>
      <c r="T14" s="26"/>
      <c r="U14" s="26"/>
      <c r="V14" s="26"/>
      <c r="W14" s="26"/>
      <c r="X14" s="26"/>
      <c r="Y14" s="26"/>
      <c r="Z14" s="26"/>
      <c r="AA14" s="26"/>
    </row>
    <row r="15" spans="1:32" s="22" customFormat="1" ht="15" customHeight="1">
      <c r="A15" s="152">
        <f>'Database Input Tab all Sections'!U11</f>
        <v>10</v>
      </c>
      <c r="B15" s="152">
        <f>'Database Input Tab all Sections'!V11</f>
        <v>20</v>
      </c>
      <c r="C15" s="152">
        <f>'Database Input Tab all Sections'!W11</f>
        <v>42</v>
      </c>
      <c r="D15" s="152">
        <f>'Database Input Tab all Sections'!X11</f>
        <v>51.414352154260818</v>
      </c>
      <c r="E15" s="155">
        <f>0.25*SUM(A15:D15)</f>
        <v>30.853588038565206</v>
      </c>
      <c r="F15" s="155">
        <f>E15/W7</f>
        <v>65.645931996947255</v>
      </c>
      <c r="G15" s="151"/>
      <c r="H15" s="26"/>
      <c r="I15" s="26"/>
      <c r="J15" s="26"/>
      <c r="K15" s="26"/>
      <c r="L15" s="26"/>
      <c r="M15" s="26"/>
      <c r="N15" s="26"/>
      <c r="O15" s="26"/>
      <c r="P15" s="26"/>
      <c r="Q15" s="26"/>
      <c r="R15" s="26"/>
      <c r="S15" s="26"/>
      <c r="T15" s="26"/>
      <c r="U15" s="26"/>
      <c r="V15" s="26"/>
      <c r="W15" s="26"/>
      <c r="X15" s="26"/>
      <c r="Y15" s="26"/>
      <c r="Z15" s="26"/>
      <c r="AA15" s="26"/>
    </row>
    <row r="16" spans="1:32" s="22" customFormat="1" ht="15" thickBot="1">
      <c r="A16" s="250">
        <f>A15*0.745699872</f>
        <v>7.4569987199999996</v>
      </c>
      <c r="B16" s="250">
        <f>B15*0.745699872</f>
        <v>14.913997439999999</v>
      </c>
      <c r="C16" s="250">
        <f>C15*0.745699872</f>
        <v>31.319394624000001</v>
      </c>
      <c r="D16" s="250">
        <f>D15*0.745699872</f>
        <v>38.339675820395215</v>
      </c>
      <c r="E16" s="145" t="s">
        <v>299</v>
      </c>
      <c r="F16" s="146" t="s">
        <v>299</v>
      </c>
      <c r="G16" s="26"/>
      <c r="H16" s="26"/>
      <c r="I16" s="26"/>
      <c r="J16" s="26"/>
      <c r="K16" s="26"/>
      <c r="L16" s="26"/>
      <c r="M16" s="26"/>
      <c r="N16" s="26"/>
      <c r="O16" s="26"/>
      <c r="P16" s="26"/>
      <c r="Q16" s="26"/>
      <c r="R16" s="26"/>
      <c r="S16" s="26"/>
      <c r="T16" s="26"/>
      <c r="U16" s="26"/>
      <c r="V16" s="26"/>
      <c r="W16" s="26"/>
      <c r="X16" s="26"/>
      <c r="Y16" s="26"/>
      <c r="Z16" s="26"/>
      <c r="AA16" s="26"/>
    </row>
    <row r="17" spans="1:51" ht="15" thickBot="1"/>
    <row r="18" spans="1:51" ht="30.75" customHeight="1" thickBot="1">
      <c r="A18" s="183" t="s">
        <v>444</v>
      </c>
      <c r="B18" s="184"/>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5"/>
    </row>
    <row r="19" spans="1:51" s="23" customFormat="1" ht="30.75" customHeight="1">
      <c r="A19" s="69" t="s">
        <v>357</v>
      </c>
      <c r="B19" s="64" t="s">
        <v>361</v>
      </c>
      <c r="C19" s="64"/>
      <c r="D19" s="83" t="s">
        <v>359</v>
      </c>
      <c r="E19" s="64" t="s">
        <v>360</v>
      </c>
      <c r="F19" s="84" t="s">
        <v>362</v>
      </c>
      <c r="G19" s="64" t="s">
        <v>363</v>
      </c>
      <c r="H19" s="64" t="s">
        <v>364</v>
      </c>
      <c r="I19" s="64" t="s">
        <v>365</v>
      </c>
      <c r="J19" s="70" t="s">
        <v>366</v>
      </c>
      <c r="K19" s="70" t="s">
        <v>396</v>
      </c>
      <c r="L19" s="70" t="s">
        <v>367</v>
      </c>
      <c r="M19" s="64" t="s">
        <v>390</v>
      </c>
      <c r="N19" s="64" t="s">
        <v>391</v>
      </c>
      <c r="O19" s="64" t="s">
        <v>392</v>
      </c>
      <c r="P19" s="64" t="s">
        <v>393</v>
      </c>
      <c r="Q19" s="64" t="s">
        <v>394</v>
      </c>
      <c r="R19" s="64" t="s">
        <v>395</v>
      </c>
      <c r="S19" s="64" t="s">
        <v>397</v>
      </c>
      <c r="T19" s="64" t="s">
        <v>398</v>
      </c>
      <c r="U19" s="64" t="s">
        <v>399</v>
      </c>
      <c r="V19" s="70" t="s">
        <v>377</v>
      </c>
      <c r="W19" s="70" t="s">
        <v>378</v>
      </c>
      <c r="X19" s="70" t="s">
        <v>379</v>
      </c>
      <c r="Y19" s="85" t="s">
        <v>380</v>
      </c>
      <c r="Z19" s="64" t="s">
        <v>385</v>
      </c>
      <c r="AA19" s="84" t="s">
        <v>386</v>
      </c>
      <c r="AB19" s="70" t="s">
        <v>387</v>
      </c>
      <c r="AC19" s="70" t="s">
        <v>388</v>
      </c>
      <c r="AD19" s="70" t="s">
        <v>389</v>
      </c>
      <c r="AE19" s="64" t="s">
        <v>400</v>
      </c>
      <c r="AF19" s="64" t="s">
        <v>401</v>
      </c>
      <c r="AG19" s="64" t="s">
        <v>402</v>
      </c>
      <c r="AH19" s="64" t="s">
        <v>403</v>
      </c>
      <c r="AI19" s="64" t="s">
        <v>404</v>
      </c>
      <c r="AJ19" s="64" t="s">
        <v>405</v>
      </c>
      <c r="AK19" s="64" t="s">
        <v>406</v>
      </c>
      <c r="AL19" s="64" t="s">
        <v>407</v>
      </c>
      <c r="AM19" s="64" t="s">
        <v>408</v>
      </c>
      <c r="AN19" s="70" t="s">
        <v>409</v>
      </c>
      <c r="AO19" s="70" t="s">
        <v>410</v>
      </c>
      <c r="AP19" s="70" t="s">
        <v>411</v>
      </c>
      <c r="AQ19" s="85" t="s">
        <v>412</v>
      </c>
      <c r="AR19" s="85" t="s">
        <v>413</v>
      </c>
      <c r="AS19" s="86" t="s">
        <v>414</v>
      </c>
    </row>
    <row r="20" spans="1:51" ht="42">
      <c r="A20" s="41" t="s">
        <v>23</v>
      </c>
      <c r="B20" s="157" t="s">
        <v>54</v>
      </c>
      <c r="C20" s="157" t="s">
        <v>96</v>
      </c>
      <c r="D20" s="157" t="s">
        <v>297</v>
      </c>
      <c r="E20" s="54" t="s">
        <v>298</v>
      </c>
      <c r="F20" s="157" t="s">
        <v>55</v>
      </c>
      <c r="G20" s="54" t="s">
        <v>56</v>
      </c>
      <c r="H20" s="54" t="s">
        <v>57</v>
      </c>
      <c r="I20" s="54" t="s">
        <v>58</v>
      </c>
      <c r="J20" s="54" t="s">
        <v>60</v>
      </c>
      <c r="K20" s="54" t="s">
        <v>61</v>
      </c>
      <c r="L20" s="54" t="s">
        <v>62</v>
      </c>
      <c r="M20" s="54" t="s">
        <v>302</v>
      </c>
      <c r="N20" s="54" t="s">
        <v>301</v>
      </c>
      <c r="O20" s="54" t="s">
        <v>300</v>
      </c>
      <c r="P20" s="54" t="s">
        <v>306</v>
      </c>
      <c r="Q20" s="54" t="s">
        <v>307</v>
      </c>
      <c r="R20" s="54" t="s">
        <v>308</v>
      </c>
      <c r="S20" s="54" t="s">
        <v>316</v>
      </c>
      <c r="T20" s="54" t="s">
        <v>317</v>
      </c>
      <c r="U20" s="54" t="s">
        <v>318</v>
      </c>
      <c r="V20" s="157" t="s">
        <v>351</v>
      </c>
      <c r="W20" s="157" t="s">
        <v>352</v>
      </c>
      <c r="X20" s="157" t="s">
        <v>352</v>
      </c>
      <c r="Y20" s="54" t="s">
        <v>312</v>
      </c>
      <c r="Z20" s="157" t="s">
        <v>53</v>
      </c>
      <c r="AA20" s="157" t="s">
        <v>59</v>
      </c>
      <c r="AB20" s="54" t="s">
        <v>67</v>
      </c>
      <c r="AC20" s="54" t="s">
        <v>66</v>
      </c>
      <c r="AD20" s="54" t="s">
        <v>65</v>
      </c>
      <c r="AE20" s="54" t="s">
        <v>303</v>
      </c>
      <c r="AF20" s="54" t="s">
        <v>304</v>
      </c>
      <c r="AG20" s="54" t="s">
        <v>305</v>
      </c>
      <c r="AH20" s="54" t="s">
        <v>309</v>
      </c>
      <c r="AI20" s="54" t="s">
        <v>310</v>
      </c>
      <c r="AJ20" s="54" t="s">
        <v>311</v>
      </c>
      <c r="AK20" s="54" t="s">
        <v>319</v>
      </c>
      <c r="AL20" s="54" t="s">
        <v>320</v>
      </c>
      <c r="AM20" s="54" t="s">
        <v>321</v>
      </c>
      <c r="AN20" s="157" t="s">
        <v>353</v>
      </c>
      <c r="AO20" s="157" t="s">
        <v>354</v>
      </c>
      <c r="AP20" s="157" t="s">
        <v>354</v>
      </c>
      <c r="AQ20" s="54" t="s">
        <v>313</v>
      </c>
      <c r="AR20" s="54" t="s">
        <v>314</v>
      </c>
      <c r="AS20" s="91" t="s">
        <v>315</v>
      </c>
      <c r="AT20" s="23"/>
      <c r="AU20" s="23"/>
      <c r="AV20" s="23"/>
      <c r="AW20" s="23"/>
      <c r="AX20" s="23"/>
      <c r="AY20" s="23"/>
    </row>
    <row r="21" spans="1:51">
      <c r="A21" s="42">
        <f>((H7*SQRT(N7)/(O7/U7)^0.75))</f>
        <v>3741.6128749148484</v>
      </c>
      <c r="B21" s="39">
        <f>VLOOKUP($K$7,Lookup!$N$27:$P$36,3,FALSE)</f>
        <v>134.85</v>
      </c>
      <c r="C21" s="35" t="str">
        <f>F7&amp;-L7&amp;-H7</f>
        <v>ST-60-3600</v>
      </c>
      <c r="D21" s="39">
        <f>VLOOKUP($C$21,Lookup!$U$28:$V$227,2,FALSE)</f>
        <v>81.5</v>
      </c>
      <c r="E21" s="35">
        <f>L7/(D21/100)-L7</f>
        <v>13.619631901840492</v>
      </c>
      <c r="F21" s="35">
        <f>-0.85*(LN($N$7))^2-0.38*LN($A$21)*LN($N$7)-11.48*(LN($A$21))^2+17.8*LN($N$7)+179.8*LN($A$21)-(B21+555.6)</f>
        <v>68.542037427420951</v>
      </c>
      <c r="G21" s="35">
        <f>N7*O7/3956</f>
        <v>37.532477072610398</v>
      </c>
      <c r="H21" s="35">
        <f>P7*Q7/3956</f>
        <v>33.087843981004497</v>
      </c>
      <c r="I21" s="35">
        <f>R7*S7/3956</f>
        <v>37.302014494094372</v>
      </c>
      <c r="J21" s="35">
        <f>G21/($F$21/100)</f>
        <v>54.758332960781146</v>
      </c>
      <c r="K21" s="35">
        <f>H21/($F$21/100*0.947)</f>
        <v>50.975498375420592</v>
      </c>
      <c r="L21" s="35">
        <f>I21/($F$21/100*0.985)</f>
        <v>55.250860490306387</v>
      </c>
      <c r="M21" s="35">
        <f>IF((J21/$L$7)&gt;1,1,(J21/$L$7))</f>
        <v>0.91263888267968574</v>
      </c>
      <c r="N21" s="35">
        <f t="shared" ref="N21:O21" si="0">IF((K21/$L$7)&gt;1,1,(K21/$L$7))</f>
        <v>0.84959163959034323</v>
      </c>
      <c r="O21" s="35">
        <f t="shared" si="0"/>
        <v>0.92084767483843977</v>
      </c>
      <c r="P21" s="35">
        <f>-0.4508*M21^3+1.2399*M21^2+-0.4301*M21+0.641</f>
        <v>0.93852506187822504</v>
      </c>
      <c r="Q21" s="35">
        <f>-0.4508*N21^3+1.2399*N21^2+-0.4301*N21+0.641</f>
        <v>0.89410910922039744</v>
      </c>
      <c r="R21" s="35">
        <f>-0.4508*O21^3+1.2399*O21^2+-0.4301*O21+0.641</f>
        <v>0.94432581111093983</v>
      </c>
      <c r="S21" s="35">
        <f>P21*$E$21</f>
        <v>12.782365873433495</v>
      </c>
      <c r="T21" s="35">
        <f>Q21*$E$21</f>
        <v>12.17743694766431</v>
      </c>
      <c r="U21" s="35">
        <f>R21*$E$21</f>
        <v>12.861369942737955</v>
      </c>
      <c r="V21" s="35">
        <f>S21+J21</f>
        <v>67.540698834214638</v>
      </c>
      <c r="W21" s="35">
        <f>T21+K21</f>
        <v>63.152935323084904</v>
      </c>
      <c r="X21" s="35">
        <f>U21+L21</f>
        <v>68.112230433044346</v>
      </c>
      <c r="Y21" s="35">
        <f>(0.3333*(J21+S21)+0.3333*(K21+T21)+0.3333*(L21+U21))</f>
        <v>66.261994667961616</v>
      </c>
      <c r="Z21" s="39">
        <f>VLOOKUP($K$7,Lookup!$N$27:$P$36,2,FALSE)</f>
        <v>138.78</v>
      </c>
      <c r="AA21" s="35">
        <f>-0.85*(LN($N$7))^2-0.38*LN($A$21)*LN($N$7)-11.48*(LN($A$21))^2+17.8*LN($N$7)+179.8*LN($A$21)-(Z21+555.6)</f>
        <v>64.612037427421001</v>
      </c>
      <c r="AB21" s="35">
        <f>G21/($AA$21/100)</f>
        <v>58.088985531172582</v>
      </c>
      <c r="AC21" s="35">
        <f>H21/($AA$21/100*0.947)</f>
        <v>54.076061623258681</v>
      </c>
      <c r="AD21" s="35">
        <f>I21/($AA$21/100*0.985)</f>
        <v>58.611470840518791</v>
      </c>
      <c r="AE21" s="35">
        <f>IF((AB21/$L$7)&gt;1,1,(AB21/$L$7))</f>
        <v>0.96814975885287635</v>
      </c>
      <c r="AF21" s="35">
        <f t="shared" ref="AF21:AG21" si="1">IF((AC21/$L$7)&gt;1,1,(AC21/$L$7))</f>
        <v>0.90126769372097804</v>
      </c>
      <c r="AG21" s="35">
        <f t="shared" si="1"/>
        <v>0.97685784734197989</v>
      </c>
      <c r="AH21" s="35">
        <f>-0.4508*AE21^3+1.2399*AE21^2+-0.4301*AE21+0.641</f>
        <v>0.97769126797753358</v>
      </c>
      <c r="AI21" s="35">
        <f>-0.4508*AF21^3+1.2399*AF21^2+-0.4301*AF21+0.641</f>
        <v>0.93049117727634534</v>
      </c>
      <c r="AJ21" s="35">
        <f>-0.4508*AG21^3+1.2399*AG21^2+-0.4301*AG21+0.641</f>
        <v>0.98380831375047451</v>
      </c>
      <c r="AK21" s="35">
        <f>AH21*$E$21</f>
        <v>13.315795183497698</v>
      </c>
      <c r="AL21" s="35">
        <f>AI21*$E$21</f>
        <v>12.67294732241403</v>
      </c>
      <c r="AM21" s="35">
        <f>AJ21*$E$21</f>
        <v>13.399107095251862</v>
      </c>
      <c r="AN21" s="35">
        <f>AK21+AB21</f>
        <v>71.404780714670281</v>
      </c>
      <c r="AO21" s="35">
        <f>AL21+AC21</f>
        <v>66.749008945672713</v>
      </c>
      <c r="AP21" s="35">
        <f>AM21+AD21</f>
        <v>72.010577935770655</v>
      </c>
      <c r="AQ21" s="35">
        <f>0.3333*(AB21+AK21)+0.3333*(AC21+AL21)+0.3333*(AD21+AM21)</f>
        <v>70.047783719784675</v>
      </c>
      <c r="AR21" s="35">
        <f>AQ21/Y21</f>
        <v>1.057133641551143</v>
      </c>
      <c r="AS21" s="43">
        <f>IF((F15/Y21)&gt;1.02,"error",IF((F15/Y21)&lt;0.98,"error",(AR21-W7)*100))</f>
        <v>58.713364155114299</v>
      </c>
      <c r="AT21" s="23">
        <f>F15/Y21</f>
        <v>0.99070262411958099</v>
      </c>
      <c r="AU21" s="23"/>
      <c r="AV21" s="23"/>
      <c r="AW21" s="23"/>
      <c r="AX21" s="23"/>
      <c r="AY21" s="23"/>
    </row>
    <row r="22" spans="1:51" ht="68.25" customHeight="1" thickBot="1">
      <c r="A22" s="44" t="s">
        <v>25</v>
      </c>
      <c r="B22" s="149" t="s">
        <v>26</v>
      </c>
      <c r="C22" s="147" t="s">
        <v>95</v>
      </c>
      <c r="D22" s="149" t="s">
        <v>64</v>
      </c>
      <c r="E22" s="147" t="s">
        <v>299</v>
      </c>
      <c r="F22" s="147" t="s">
        <v>299</v>
      </c>
      <c r="G22" s="147" t="s">
        <v>299</v>
      </c>
      <c r="H22" s="147" t="s">
        <v>299</v>
      </c>
      <c r="I22" s="147" t="s">
        <v>299</v>
      </c>
      <c r="J22" s="147" t="s">
        <v>299</v>
      </c>
      <c r="K22" s="147" t="s">
        <v>299</v>
      </c>
      <c r="L22" s="147" t="s">
        <v>299</v>
      </c>
      <c r="M22" s="147" t="s">
        <v>299</v>
      </c>
      <c r="N22" s="147" t="s">
        <v>299</v>
      </c>
      <c r="O22" s="147" t="s">
        <v>299</v>
      </c>
      <c r="P22" s="147" t="s">
        <v>299</v>
      </c>
      <c r="Q22" s="147" t="s">
        <v>299</v>
      </c>
      <c r="R22" s="147" t="s">
        <v>299</v>
      </c>
      <c r="S22" s="147" t="s">
        <v>299</v>
      </c>
      <c r="T22" s="147" t="s">
        <v>299</v>
      </c>
      <c r="U22" s="147" t="s">
        <v>299</v>
      </c>
      <c r="V22" s="147" t="s">
        <v>299</v>
      </c>
      <c r="W22" s="147" t="s">
        <v>299</v>
      </c>
      <c r="X22" s="147" t="s">
        <v>299</v>
      </c>
      <c r="Y22" s="147" t="s">
        <v>299</v>
      </c>
      <c r="Z22" s="149" t="s">
        <v>26</v>
      </c>
      <c r="AA22" s="147" t="s">
        <v>299</v>
      </c>
      <c r="AB22" s="147" t="s">
        <v>299</v>
      </c>
      <c r="AC22" s="147" t="s">
        <v>299</v>
      </c>
      <c r="AD22" s="147" t="s">
        <v>299</v>
      </c>
      <c r="AE22" s="147" t="s">
        <v>299</v>
      </c>
      <c r="AF22" s="147" t="s">
        <v>299</v>
      </c>
      <c r="AG22" s="147" t="s">
        <v>299</v>
      </c>
      <c r="AH22" s="147" t="s">
        <v>299</v>
      </c>
      <c r="AI22" s="147" t="s">
        <v>299</v>
      </c>
      <c r="AJ22" s="147" t="s">
        <v>299</v>
      </c>
      <c r="AK22" s="147" t="s">
        <v>299</v>
      </c>
      <c r="AL22" s="147" t="s">
        <v>299</v>
      </c>
      <c r="AM22" s="147" t="s">
        <v>299</v>
      </c>
      <c r="AN22" s="147" t="s">
        <v>299</v>
      </c>
      <c r="AO22" s="147" t="s">
        <v>299</v>
      </c>
      <c r="AP22" s="147" t="s">
        <v>299</v>
      </c>
      <c r="AQ22" s="147" t="s">
        <v>299</v>
      </c>
      <c r="AR22" s="147" t="s">
        <v>299</v>
      </c>
      <c r="AS22" s="46" t="s">
        <v>299</v>
      </c>
      <c r="AT22" s="23"/>
      <c r="AU22" s="23"/>
      <c r="AV22" s="23"/>
      <c r="AW22" s="23"/>
      <c r="AX22" s="23"/>
      <c r="AY22" s="23"/>
    </row>
    <row r="23" spans="1:51" ht="15">
      <c r="G23" s="33"/>
      <c r="H23" s="29"/>
      <c r="I23" s="29"/>
      <c r="J23" s="29"/>
      <c r="K23" s="16"/>
      <c r="L23" s="16"/>
      <c r="M23" s="16"/>
      <c r="N23" s="29"/>
      <c r="O23" s="29"/>
      <c r="P23" s="29"/>
      <c r="Q23" s="29"/>
      <c r="R23" s="31"/>
      <c r="S23" s="29"/>
      <c r="T23" s="29"/>
      <c r="U23" s="29"/>
      <c r="V23" s="29"/>
      <c r="W23" s="29"/>
      <c r="X23" s="29"/>
      <c r="Y23" s="29"/>
      <c r="Z23" s="32"/>
      <c r="AA23" s="32"/>
      <c r="AB23" s="32"/>
      <c r="AC23" s="32"/>
      <c r="AD23" s="32"/>
      <c r="AE23" s="32"/>
      <c r="AF23" s="32"/>
      <c r="AG23" s="32"/>
      <c r="AH23" s="32"/>
      <c r="AI23" s="32"/>
      <c r="AJ23" s="32"/>
      <c r="AK23" s="32"/>
      <c r="AL23" s="30"/>
      <c r="AM23" s="24"/>
    </row>
    <row r="29" spans="1:51">
      <c r="X29" s="23" t="e">
        <f>#REF!</f>
        <v>#REF!</v>
      </c>
    </row>
  </sheetData>
  <mergeCells count="5">
    <mergeCell ref="A2:O2"/>
    <mergeCell ref="N9:W9"/>
    <mergeCell ref="A12:F12"/>
    <mergeCell ref="A18:AS18"/>
    <mergeCell ref="A4:W4"/>
  </mergeCells>
  <conditionalFormatting sqref="AS21">
    <cfRule type="cellIs" dxfId="1" priority="1" operator="equal">
      <formula>"error"</formula>
    </cfRule>
  </conditionalFormatting>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Lookup!$E$27:$E$46</xm:f>
          </x14:formula1>
          <xm:sqref>L7</xm:sqref>
        </x14:dataValidation>
        <x14:dataValidation type="list" allowBlank="1" showInputMessage="1" showErrorMessage="1">
          <x14:formula1>
            <xm:f>Lookup!$N$11:$N$15</xm:f>
          </x14:formula1>
          <xm:sqref>E7</xm:sqref>
        </x14:dataValidation>
        <x14:dataValidation type="list" allowBlank="1" showInputMessage="1" showErrorMessage="1">
          <x14:formula1>
            <xm:f>Lookup!$E$11:$E$20</xm:f>
          </x14:formula1>
          <xm:sqref>F7</xm:sqref>
        </x14:dataValidation>
        <x14:dataValidation type="list" allowBlank="1" showInputMessage="1" showErrorMessage="1">
          <x14:formula1>
            <xm:f>Lookup!$H$11:$H$12</xm:f>
          </x14:formula1>
          <xm:sqref>C7</xm:sqref>
        </x14:dataValidation>
        <x14:dataValidation type="list" allowBlank="1" showInputMessage="1" showErrorMessage="1">
          <x14:formula1>
            <xm:f>Lookup!$F$11:$F$12</xm:f>
          </x14:formula1>
          <xm:sqref>H7</xm:sqref>
        </x14:dataValidation>
        <x14:dataValidation type="list" allowBlank="1" showInputMessage="1" showErrorMessage="1">
          <x14:formula1>
            <xm:f>Lookup!$A$60:$A$61</xm:f>
          </x14:formula1>
          <xm:sqref>I7</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28"/>
  <sheetViews>
    <sheetView topLeftCell="A9" zoomScale="125" zoomScaleNormal="125" zoomScalePageLayoutView="125" workbookViewId="0">
      <pane xSplit="28220" topLeftCell="O1"/>
      <selection activeCell="C16" sqref="A14:C16"/>
      <selection pane="topRight" activeCell="O10" sqref="O10"/>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23.83203125" customWidth="1"/>
    <col min="8" max="8" width="25.5" bestFit="1" customWidth="1"/>
    <col min="9" max="9" width="24.1640625" customWidth="1"/>
    <col min="10" max="10" width="20" customWidth="1"/>
    <col min="11"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8.83203125" style="23"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3"/>
      <c r="V4" s="193"/>
      <c r="W4" s="194"/>
    </row>
    <row r="5" spans="1:32" s="16" customFormat="1" ht="56">
      <c r="A5" s="66"/>
      <c r="B5" s="95"/>
      <c r="C5" s="95"/>
      <c r="D5" s="95"/>
      <c r="E5" s="96"/>
      <c r="F5" s="95"/>
      <c r="G5" s="141"/>
      <c r="H5" s="159" t="s">
        <v>356</v>
      </c>
      <c r="I5" s="159"/>
      <c r="J5" s="65" t="s">
        <v>441</v>
      </c>
      <c r="K5" s="95"/>
      <c r="L5" s="159" t="s">
        <v>442</v>
      </c>
      <c r="M5" s="95"/>
      <c r="N5" s="159" t="s">
        <v>342</v>
      </c>
      <c r="O5" s="159" t="s">
        <v>343</v>
      </c>
      <c r="P5" s="159" t="s">
        <v>345</v>
      </c>
      <c r="Q5" s="159" t="s">
        <v>346</v>
      </c>
      <c r="R5" s="159" t="s">
        <v>348</v>
      </c>
      <c r="S5" s="159" t="s">
        <v>349</v>
      </c>
      <c r="T5" s="95"/>
      <c r="U5" s="159" t="s">
        <v>341</v>
      </c>
      <c r="V5" s="95"/>
      <c r="W5" s="67" t="s">
        <v>443</v>
      </c>
    </row>
    <row r="6" spans="1:32" s="16" customFormat="1" ht="42">
      <c r="A6" s="41" t="s">
        <v>0</v>
      </c>
      <c r="B6" s="157" t="s">
        <v>3</v>
      </c>
      <c r="C6" s="36" t="s">
        <v>12</v>
      </c>
      <c r="D6" s="157" t="s">
        <v>27</v>
      </c>
      <c r="E6" s="148" t="s">
        <v>329</v>
      </c>
      <c r="F6" s="157" t="s">
        <v>89</v>
      </c>
      <c r="G6" s="157" t="s">
        <v>560</v>
      </c>
      <c r="H6" s="157" t="s">
        <v>4</v>
      </c>
      <c r="I6" s="157" t="s">
        <v>553</v>
      </c>
      <c r="J6" s="157" t="s">
        <v>554</v>
      </c>
      <c r="K6" s="157" t="s">
        <v>2</v>
      </c>
      <c r="L6" s="157" t="s">
        <v>63</v>
      </c>
      <c r="M6" s="157" t="s">
        <v>73</v>
      </c>
      <c r="N6" s="157" t="s">
        <v>13</v>
      </c>
      <c r="O6" s="157" t="s">
        <v>24</v>
      </c>
      <c r="P6" s="157" t="s">
        <v>49</v>
      </c>
      <c r="Q6" s="157" t="s">
        <v>50</v>
      </c>
      <c r="R6" s="157" t="s">
        <v>51</v>
      </c>
      <c r="S6" s="157" t="s">
        <v>52</v>
      </c>
      <c r="T6" s="157" t="s">
        <v>14</v>
      </c>
      <c r="U6" s="157" t="s">
        <v>15</v>
      </c>
      <c r="V6" s="157" t="s">
        <v>48</v>
      </c>
      <c r="W6" s="47" t="s">
        <v>43</v>
      </c>
    </row>
    <row r="7" spans="1:32" s="16" customFormat="1" ht="56">
      <c r="A7" s="20" t="str">
        <f>'Database Input Tab all Sections'!B3</f>
        <v>xxxxx</v>
      </c>
      <c r="B7" s="156" t="str">
        <f>'Database Input Tab all Sections'!AA13</f>
        <v>xxxxx</v>
      </c>
      <c r="C7" s="38" t="str">
        <f>'Database Input Tab all Sections'!C13</f>
        <v>Variable Load (VL)</v>
      </c>
      <c r="D7" s="38" t="str">
        <f>'Database Input Tab all Sections'!D13</f>
        <v>Pump sold with motor and continuous controls</v>
      </c>
      <c r="E7" s="92" t="str">
        <f>'Database Input Tab all Sections'!B13</f>
        <v>Section VII - Test Pump Efficiency of Bare Pump + Represented Nominal Full Load Motor Efficiency for Actual Motor Paired with Pump + Default Motor/Control Part Load Loss Curve + Assumed Control Curve</v>
      </c>
      <c r="F7" s="37" t="str">
        <f>'Database Input Tab all Sections'!E13</f>
        <v>ESCC</v>
      </c>
      <c r="G7" s="154" t="str">
        <f>'Database Input Tab all Sections'!F13</f>
        <v>N/A</v>
      </c>
      <c r="H7" s="37">
        <f>'Database Input Tab all Sections'!G13</f>
        <v>3600</v>
      </c>
      <c r="I7" s="37" t="str">
        <f>'Database Input Tab all Sections'!H13</f>
        <v>Yes</v>
      </c>
      <c r="J7" s="156">
        <f>'Database Input Tab all Sections'!J13</f>
        <v>97</v>
      </c>
      <c r="K7" s="35" t="str">
        <f>F7&amp;-H7</f>
        <v>ESCC-3600</v>
      </c>
      <c r="L7" s="162">
        <f>'Database Input Tab all Sections'!I13</f>
        <v>60</v>
      </c>
      <c r="M7" s="35" t="str">
        <f>(L7&amp;-H7)</f>
        <v>60-3600</v>
      </c>
      <c r="N7" s="156">
        <f>'Database Input Tab all Sections'!L13</f>
        <v>349.83050847457628</v>
      </c>
      <c r="O7" s="156">
        <f>'Database Input Tab all Sections'!M13</f>
        <v>424.42976156276927</v>
      </c>
      <c r="P7" s="156">
        <f>'Database Input Tab all Sections'!N13</f>
        <v>262.37288135593218</v>
      </c>
      <c r="Q7" s="156">
        <f>'Database Input Tab all Sections'!O13</f>
        <v>498.89112324044811</v>
      </c>
      <c r="R7" s="156">
        <f>'Database Input Tab all Sections'!P13</f>
        <v>384.81355932203388</v>
      </c>
      <c r="S7" s="156">
        <f>'Database Input Tab all Sections'!Q13</f>
        <v>383.47601264004595</v>
      </c>
      <c r="T7" s="156" t="str">
        <f>'Database Input Tab all Sections'!AA13</f>
        <v>xxxxx</v>
      </c>
      <c r="U7" s="156">
        <f>'Database Input Tab all Sections'!K13</f>
        <v>1</v>
      </c>
      <c r="V7" s="156" t="str">
        <f>'Database Input Tab all Sections'!AB13</f>
        <v>xxxx</v>
      </c>
      <c r="W7" s="161">
        <f>'Database Input Tab all Sections'!Y13</f>
        <v>0.47</v>
      </c>
    </row>
    <row r="8" spans="1:32" s="18" customFormat="1" ht="58.5" customHeight="1" thickBot="1">
      <c r="A8" s="41" t="s">
        <v>33</v>
      </c>
      <c r="B8" s="157" t="s">
        <v>34</v>
      </c>
      <c r="C8" s="157" t="s">
        <v>36</v>
      </c>
      <c r="D8" s="157" t="s">
        <v>36</v>
      </c>
      <c r="E8" s="148" t="s">
        <v>36</v>
      </c>
      <c r="F8" s="157" t="s">
        <v>35</v>
      </c>
      <c r="G8" s="147" t="s">
        <v>36</v>
      </c>
      <c r="H8" s="157" t="s">
        <v>36</v>
      </c>
      <c r="I8" s="157"/>
      <c r="J8" s="157"/>
      <c r="K8" s="157" t="s">
        <v>90</v>
      </c>
      <c r="L8" s="157" t="s">
        <v>72</v>
      </c>
      <c r="M8" s="157" t="s">
        <v>91</v>
      </c>
      <c r="N8" s="189" t="s">
        <v>37</v>
      </c>
      <c r="O8" s="190"/>
      <c r="P8" s="190"/>
      <c r="Q8" s="190"/>
      <c r="R8" s="190"/>
      <c r="S8" s="190"/>
      <c r="T8" s="190"/>
      <c r="U8" s="190"/>
      <c r="V8" s="190"/>
      <c r="W8" s="191"/>
    </row>
    <row r="9" spans="1:32" s="16" customFormat="1" ht="81" customHeight="1" thickBot="1">
      <c r="A9" s="50"/>
      <c r="B9" s="147" t="s">
        <v>5</v>
      </c>
      <c r="C9" s="51"/>
      <c r="D9" s="147"/>
      <c r="E9" s="93" t="s">
        <v>330</v>
      </c>
      <c r="F9" s="51"/>
      <c r="G9" s="147"/>
      <c r="H9" s="147"/>
      <c r="I9" s="147"/>
      <c r="J9" s="147"/>
      <c r="K9" s="147"/>
      <c r="L9" s="52"/>
      <c r="M9" s="147"/>
      <c r="N9" s="147"/>
      <c r="O9" s="147"/>
      <c r="P9" s="147"/>
      <c r="Q9" s="147"/>
      <c r="R9" s="147"/>
      <c r="S9" s="147"/>
      <c r="T9" s="147"/>
      <c r="U9" s="147"/>
      <c r="V9" s="147" t="s">
        <v>6</v>
      </c>
      <c r="W9" s="94"/>
    </row>
    <row r="10" spans="1:32"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32" s="22" customFormat="1" ht="24" customHeight="1" thickBot="1">
      <c r="A11" s="195"/>
      <c r="B11" s="196"/>
      <c r="C11" s="196"/>
      <c r="D11" s="196"/>
      <c r="E11" s="196"/>
      <c r="F11" s="197"/>
      <c r="G11" s="26"/>
      <c r="H11" s="26"/>
      <c r="I11" s="26"/>
      <c r="J11" s="26"/>
      <c r="K11" s="26"/>
      <c r="L11" s="26"/>
      <c r="M11" s="26"/>
      <c r="N11" s="26"/>
      <c r="O11" s="26"/>
      <c r="P11" s="26"/>
      <c r="Q11" s="26"/>
      <c r="R11" s="26"/>
      <c r="S11" s="26"/>
      <c r="T11" s="26"/>
      <c r="U11" s="26"/>
      <c r="V11" s="26"/>
      <c r="W11" s="26"/>
      <c r="X11" s="26"/>
      <c r="Y11" s="26"/>
      <c r="Z11" s="26"/>
      <c r="AA11" s="26"/>
      <c r="AB11" s="26"/>
      <c r="AC11" s="26"/>
      <c r="AD11" s="26"/>
    </row>
    <row r="12" spans="1:32" s="22" customFormat="1" ht="32">
      <c r="A12" s="143" t="s">
        <v>555</v>
      </c>
      <c r="B12" s="68" t="s">
        <v>427</v>
      </c>
      <c r="C12" s="68" t="s">
        <v>428</v>
      </c>
      <c r="D12" s="68" t="s">
        <v>419</v>
      </c>
      <c r="E12" s="142" t="s">
        <v>550</v>
      </c>
      <c r="F12" s="144" t="s">
        <v>380</v>
      </c>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2" s="22" customFormat="1" ht="42">
      <c r="A13" s="41" t="s">
        <v>16</v>
      </c>
      <c r="B13" s="157" t="s">
        <v>19</v>
      </c>
      <c r="C13" s="157" t="s">
        <v>17</v>
      </c>
      <c r="D13" s="36" t="s">
        <v>32</v>
      </c>
      <c r="E13" s="140" t="s">
        <v>549</v>
      </c>
      <c r="F13" s="91" t="s">
        <v>551</v>
      </c>
      <c r="G13" s="150"/>
      <c r="H13" s="26"/>
      <c r="I13" s="26"/>
      <c r="J13" s="26"/>
      <c r="K13" s="26"/>
      <c r="L13" s="26"/>
      <c r="M13" s="26"/>
      <c r="N13" s="26"/>
      <c r="O13" s="26"/>
      <c r="P13" s="26"/>
      <c r="Q13" s="26"/>
      <c r="R13" s="26"/>
      <c r="S13" s="26"/>
      <c r="T13" s="26"/>
      <c r="U13" s="26"/>
      <c r="V13" s="26"/>
      <c r="W13" s="26"/>
      <c r="X13" s="26"/>
      <c r="Y13" s="26"/>
      <c r="Z13" s="26"/>
      <c r="AA13" s="26"/>
    </row>
    <row r="14" spans="1:32" s="22" customFormat="1" ht="15" customHeight="1">
      <c r="A14" s="152">
        <f>'Database Input Tab all Sections'!U13</f>
        <v>10</v>
      </c>
      <c r="B14" s="152">
        <f>'Database Input Tab all Sections'!V13</f>
        <v>20</v>
      </c>
      <c r="C14" s="152">
        <f>'Database Input Tab all Sections'!W13</f>
        <v>42</v>
      </c>
      <c r="D14" s="152">
        <f>'Database Input Tab all Sections'!X13</f>
        <v>51.414352154260818</v>
      </c>
      <c r="E14" s="155">
        <f>0.25*SUM(A14:D14)</f>
        <v>30.853588038565206</v>
      </c>
      <c r="F14" s="155">
        <f>E14/W7</f>
        <v>65.645931996947255</v>
      </c>
      <c r="G14" s="151"/>
      <c r="H14" s="26"/>
      <c r="I14" s="26"/>
      <c r="J14" s="26"/>
      <c r="K14" s="26"/>
      <c r="L14" s="26"/>
      <c r="M14" s="26"/>
      <c r="N14" s="26"/>
      <c r="O14" s="26"/>
      <c r="P14" s="26"/>
      <c r="Q14" s="26"/>
      <c r="R14" s="26"/>
      <c r="S14" s="26"/>
      <c r="T14" s="26"/>
      <c r="U14" s="26"/>
      <c r="V14" s="26"/>
      <c r="W14" s="26"/>
      <c r="X14" s="26"/>
      <c r="Y14" s="26"/>
      <c r="Z14" s="26"/>
      <c r="AA14" s="26"/>
    </row>
    <row r="15" spans="1:32" s="22" customFormat="1" ht="15" thickBot="1">
      <c r="A15" s="164"/>
      <c r="B15" s="165"/>
      <c r="C15" s="165"/>
      <c r="D15" s="147" t="s">
        <v>36</v>
      </c>
      <c r="E15" s="145" t="s">
        <v>299</v>
      </c>
      <c r="F15" s="146" t="s">
        <v>299</v>
      </c>
      <c r="G15" s="26"/>
      <c r="H15" s="26"/>
      <c r="I15" s="26"/>
      <c r="J15" s="26"/>
      <c r="K15" s="26"/>
      <c r="L15" s="26"/>
      <c r="M15" s="26"/>
      <c r="N15" s="26"/>
      <c r="O15" s="26"/>
      <c r="P15" s="26"/>
      <c r="Q15" s="26"/>
      <c r="R15" s="26"/>
      <c r="S15" s="26"/>
      <c r="T15" s="26"/>
      <c r="U15" s="26"/>
      <c r="V15" s="26"/>
      <c r="W15" s="26"/>
      <c r="X15" s="26"/>
      <c r="Y15" s="26"/>
      <c r="Z15" s="26"/>
      <c r="AA15" s="26"/>
    </row>
    <row r="16" spans="1:32" ht="15" thickBot="1"/>
    <row r="17" spans="1:51" ht="30.75" customHeight="1" thickBot="1">
      <c r="A17" s="183" t="s">
        <v>444</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5"/>
    </row>
    <row r="18" spans="1:51" s="23" customFormat="1" ht="30.75" customHeight="1">
      <c r="A18" s="69" t="s">
        <v>357</v>
      </c>
      <c r="B18" s="64" t="s">
        <v>361</v>
      </c>
      <c r="C18" s="64"/>
      <c r="D18" s="83" t="s">
        <v>359</v>
      </c>
      <c r="E18" s="64" t="s">
        <v>360</v>
      </c>
      <c r="F18" s="84" t="s">
        <v>362</v>
      </c>
      <c r="G18" s="64" t="s">
        <v>363</v>
      </c>
      <c r="H18" s="64" t="s">
        <v>364</v>
      </c>
      <c r="I18" s="64" t="s">
        <v>365</v>
      </c>
      <c r="J18" s="70" t="s">
        <v>366</v>
      </c>
      <c r="K18" s="70" t="s">
        <v>396</v>
      </c>
      <c r="L18" s="70" t="s">
        <v>367</v>
      </c>
      <c r="M18" s="64" t="s">
        <v>390</v>
      </c>
      <c r="N18" s="64" t="s">
        <v>391</v>
      </c>
      <c r="O18" s="64" t="s">
        <v>392</v>
      </c>
      <c r="P18" s="64" t="s">
        <v>393</v>
      </c>
      <c r="Q18" s="64" t="s">
        <v>394</v>
      </c>
      <c r="R18" s="64" t="s">
        <v>395</v>
      </c>
      <c r="S18" s="64" t="s">
        <v>397</v>
      </c>
      <c r="T18" s="64" t="s">
        <v>398</v>
      </c>
      <c r="U18" s="64" t="s">
        <v>399</v>
      </c>
      <c r="V18" s="70" t="s">
        <v>377</v>
      </c>
      <c r="W18" s="70" t="s">
        <v>378</v>
      </c>
      <c r="X18" s="70" t="s">
        <v>379</v>
      </c>
      <c r="Y18" s="85" t="s">
        <v>380</v>
      </c>
      <c r="Z18" s="64" t="s">
        <v>385</v>
      </c>
      <c r="AA18" s="84" t="s">
        <v>386</v>
      </c>
      <c r="AB18" s="70" t="s">
        <v>387</v>
      </c>
      <c r="AC18" s="70" t="s">
        <v>388</v>
      </c>
      <c r="AD18" s="70" t="s">
        <v>389</v>
      </c>
      <c r="AE18" s="64" t="s">
        <v>400</v>
      </c>
      <c r="AF18" s="64" t="s">
        <v>401</v>
      </c>
      <c r="AG18" s="64" t="s">
        <v>402</v>
      </c>
      <c r="AH18" s="64" t="s">
        <v>403</v>
      </c>
      <c r="AI18" s="64" t="s">
        <v>404</v>
      </c>
      <c r="AJ18" s="64" t="s">
        <v>405</v>
      </c>
      <c r="AK18" s="64" t="s">
        <v>406</v>
      </c>
      <c r="AL18" s="64" t="s">
        <v>407</v>
      </c>
      <c r="AM18" s="64" t="s">
        <v>408</v>
      </c>
      <c r="AN18" s="70" t="s">
        <v>409</v>
      </c>
      <c r="AO18" s="70" t="s">
        <v>410</v>
      </c>
      <c r="AP18" s="70" t="s">
        <v>411</v>
      </c>
      <c r="AQ18" s="85" t="s">
        <v>412</v>
      </c>
      <c r="AR18" s="85" t="s">
        <v>413</v>
      </c>
      <c r="AS18" s="86" t="s">
        <v>414</v>
      </c>
    </row>
    <row r="19" spans="1:51" ht="42">
      <c r="A19" s="41" t="s">
        <v>23</v>
      </c>
      <c r="B19" s="157" t="s">
        <v>54</v>
      </c>
      <c r="C19" s="157" t="s">
        <v>96</v>
      </c>
      <c r="D19" s="157" t="s">
        <v>297</v>
      </c>
      <c r="E19" s="54" t="s">
        <v>298</v>
      </c>
      <c r="F19" s="157" t="s">
        <v>55</v>
      </c>
      <c r="G19" s="54" t="s">
        <v>56</v>
      </c>
      <c r="H19" s="54" t="s">
        <v>57</v>
      </c>
      <c r="I19" s="54" t="s">
        <v>58</v>
      </c>
      <c r="J19" s="54" t="s">
        <v>60</v>
      </c>
      <c r="K19" s="54" t="s">
        <v>61</v>
      </c>
      <c r="L19" s="54" t="s">
        <v>62</v>
      </c>
      <c r="M19" s="54" t="s">
        <v>302</v>
      </c>
      <c r="N19" s="54" t="s">
        <v>301</v>
      </c>
      <c r="O19" s="54" t="s">
        <v>300</v>
      </c>
      <c r="P19" s="54" t="s">
        <v>306</v>
      </c>
      <c r="Q19" s="54" t="s">
        <v>307</v>
      </c>
      <c r="R19" s="54" t="s">
        <v>308</v>
      </c>
      <c r="S19" s="54" t="s">
        <v>316</v>
      </c>
      <c r="T19" s="54" t="s">
        <v>317</v>
      </c>
      <c r="U19" s="54" t="s">
        <v>318</v>
      </c>
      <c r="V19" s="157" t="s">
        <v>351</v>
      </c>
      <c r="W19" s="157" t="s">
        <v>352</v>
      </c>
      <c r="X19" s="157" t="s">
        <v>352</v>
      </c>
      <c r="Y19" s="54" t="s">
        <v>312</v>
      </c>
      <c r="Z19" s="157" t="s">
        <v>53</v>
      </c>
      <c r="AA19" s="157" t="s">
        <v>59</v>
      </c>
      <c r="AB19" s="54" t="s">
        <v>67</v>
      </c>
      <c r="AC19" s="54" t="s">
        <v>66</v>
      </c>
      <c r="AD19" s="54" t="s">
        <v>65</v>
      </c>
      <c r="AE19" s="54" t="s">
        <v>303</v>
      </c>
      <c r="AF19" s="54" t="s">
        <v>304</v>
      </c>
      <c r="AG19" s="54" t="s">
        <v>305</v>
      </c>
      <c r="AH19" s="54" t="s">
        <v>309</v>
      </c>
      <c r="AI19" s="54" t="s">
        <v>310</v>
      </c>
      <c r="AJ19" s="54" t="s">
        <v>311</v>
      </c>
      <c r="AK19" s="54" t="s">
        <v>319</v>
      </c>
      <c r="AL19" s="54" t="s">
        <v>320</v>
      </c>
      <c r="AM19" s="54" t="s">
        <v>321</v>
      </c>
      <c r="AN19" s="157" t="s">
        <v>353</v>
      </c>
      <c r="AO19" s="157" t="s">
        <v>354</v>
      </c>
      <c r="AP19" s="157" t="s">
        <v>354</v>
      </c>
      <c r="AQ19" s="54" t="s">
        <v>313</v>
      </c>
      <c r="AR19" s="54" t="s">
        <v>314</v>
      </c>
      <c r="AS19" s="91" t="s">
        <v>315</v>
      </c>
      <c r="AT19" s="23"/>
      <c r="AU19" s="23"/>
      <c r="AV19" s="23"/>
      <c r="AW19" s="23"/>
      <c r="AX19" s="23"/>
      <c r="AY19" s="23"/>
    </row>
    <row r="20" spans="1:51">
      <c r="A20" s="42">
        <f>((H7*SQRT(N7)/(O7/U7)^0.75))</f>
        <v>720.07373351181911</v>
      </c>
      <c r="B20" s="39">
        <f>VLOOKUP($K$7,Lookup!$N$27:$P$36,3,FALSE)</f>
        <v>130.41999999999999</v>
      </c>
      <c r="C20" s="35" t="str">
        <f>F7&amp;-L7&amp;-H7</f>
        <v>ESCC-60-3600</v>
      </c>
      <c r="D20" s="39">
        <f>VLOOKUP($C$20,Lookup!$U$28:$V$227,2,FALSE)</f>
        <v>93.6</v>
      </c>
      <c r="E20" s="35">
        <f>L7/(D20/100)-L7</f>
        <v>4.1025641025641022</v>
      </c>
      <c r="F20" s="35">
        <f>-0.85*(LN($N$7))^2-0.38*LN($A$20)*LN($N$7)-11.48*(LN($A$20))^2+17.8*LN($N$7)+179.8*LN($A$20)-(B20+555.6)</f>
        <v>60.45756873870539</v>
      </c>
      <c r="G20" s="35">
        <f>N7*O7/3956</f>
        <v>37.532477072610398</v>
      </c>
      <c r="H20" s="35">
        <f>P7*Q7/3956</f>
        <v>33.087841629801275</v>
      </c>
      <c r="I20" s="35">
        <f>R7*S7/3956</f>
        <v>37.302014494094372</v>
      </c>
      <c r="J20" s="35">
        <f>G20/($F$20/100)</f>
        <v>62.080692054991324</v>
      </c>
      <c r="K20" s="35">
        <f>H20/($F$20/100*0.947)</f>
        <v>57.792007554110207</v>
      </c>
      <c r="L20" s="35">
        <f>I20/($F$20/100*0.985)</f>
        <v>62.639081038654538</v>
      </c>
      <c r="M20" s="35">
        <f>IF((J20/$L$7)&gt;1,1,(J20/$L$7))</f>
        <v>1</v>
      </c>
      <c r="N20" s="35">
        <f t="shared" ref="N20:O20" si="0">IF((K20/$L$7)&gt;1,1,(K20/$L$7))</f>
        <v>0.96320012590183679</v>
      </c>
      <c r="O20" s="35">
        <f t="shared" si="0"/>
        <v>1</v>
      </c>
      <c r="P20" s="35">
        <f>-0.4508*M20^3+1.2399*M20^2+-0.4301*M20+0.641</f>
        <v>1</v>
      </c>
      <c r="Q20" s="35">
        <f>-0.4508*N20^3+1.2399*N20^2+-0.4301*N20+0.641</f>
        <v>0.97420956268645686</v>
      </c>
      <c r="R20" s="35">
        <f>-0.4508*O20^3+1.2399*O20^2+-0.4301*O20+0.641</f>
        <v>1</v>
      </c>
      <c r="S20" s="35">
        <f>P20*$E$20</f>
        <v>4.1025641025641022</v>
      </c>
      <c r="T20" s="35">
        <f>Q20*$E$20</f>
        <v>3.9967571802521302</v>
      </c>
      <c r="U20" s="35">
        <f>R20*$E$20</f>
        <v>4.1025641025641022</v>
      </c>
      <c r="V20" s="35">
        <f>S20+J20</f>
        <v>66.183256157555434</v>
      </c>
      <c r="W20" s="35">
        <f>T20+K20</f>
        <v>61.788764734362339</v>
      </c>
      <c r="X20" s="35">
        <f>U20+L20</f>
        <v>66.74164514121864</v>
      </c>
      <c r="Y20" s="35">
        <f>(0.3333*(J20+S20)+0.3333*(K20+T20)+0.3333*(L20+U20))</f>
        <v>64.89806488884436</v>
      </c>
      <c r="Z20" s="39">
        <f>VLOOKUP($K$7,Lookup!$N$27:$P$36,2,FALSE)</f>
        <v>135.94</v>
      </c>
      <c r="AA20" s="35">
        <f>-0.85*(LN($N$7))^2-0.38*LN($A$20)*LN($N$7)-11.48*(LN($A$20))^2+17.8*LN($N$7)+179.8*LN($A$20)-(Z20+555.6)</f>
        <v>54.937568738705409</v>
      </c>
      <c r="AB20" s="35">
        <f>G20/($AA$20/100)</f>
        <v>68.318416585056255</v>
      </c>
      <c r="AC20" s="35">
        <f>H20/($AA$20/100*0.947)</f>
        <v>63.598814972472205</v>
      </c>
      <c r="AD20" s="35">
        <f>I20/($AA$20/100*0.985)</f>
        <v>68.93291120390839</v>
      </c>
      <c r="AE20" s="35">
        <f>IF((AB20/$L$7)&gt;1,1,(AB20/$L$7))</f>
        <v>1</v>
      </c>
      <c r="AF20" s="35">
        <f t="shared" ref="AF20:AG20" si="1">IF((AC20/$L$7)&gt;1,1,(AC20/$L$7))</f>
        <v>1</v>
      </c>
      <c r="AG20" s="35">
        <f t="shared" si="1"/>
        <v>1</v>
      </c>
      <c r="AH20" s="35">
        <f>-0.4508*AE20^3+1.2399*AE20^2+-0.4301*AE20+0.641</f>
        <v>1</v>
      </c>
      <c r="AI20" s="35">
        <f>-0.4508*AF20^3+1.2399*AF20^2+-0.4301*AF20+0.641</f>
        <v>1</v>
      </c>
      <c r="AJ20" s="35">
        <f>-0.4508*AG20^3+1.2399*AG20^2+-0.4301*AG20+0.641</f>
        <v>1</v>
      </c>
      <c r="AK20" s="35">
        <f>AH20*$E$20</f>
        <v>4.1025641025641022</v>
      </c>
      <c r="AL20" s="35">
        <f>AI20*$E$20</f>
        <v>4.1025641025641022</v>
      </c>
      <c r="AM20" s="35">
        <f>AJ20*$E$20</f>
        <v>4.1025641025641022</v>
      </c>
      <c r="AN20" s="35">
        <f>AK20+AB20</f>
        <v>72.420980687620357</v>
      </c>
      <c r="AO20" s="35">
        <f>AL20+AC20</f>
        <v>67.7013790750363</v>
      </c>
      <c r="AP20" s="35">
        <f>AM20+AD20</f>
        <v>73.035475306472492</v>
      </c>
      <c r="AQ20" s="35">
        <f>0.3333*(AB20+AK20)+0.3333*(AC20+AL20)+0.3333*(AD20+AM20)</f>
        <v>71.045506428540747</v>
      </c>
      <c r="AR20" s="35">
        <f>AQ20/Y20</f>
        <v>1.0947245738409235</v>
      </c>
      <c r="AS20" s="43">
        <f>IF((F14/Y20)&gt;1.02,"error",IF((F14/Y20)&lt;0.98,"error",(AR20-W7)*100))</f>
        <v>62.472457384092351</v>
      </c>
      <c r="AT20" s="23">
        <f>F14/Y20</f>
        <v>1.0115237196884657</v>
      </c>
      <c r="AU20" s="23"/>
      <c r="AV20" s="23"/>
      <c r="AW20" s="23"/>
      <c r="AX20" s="23"/>
      <c r="AY20" s="23"/>
    </row>
    <row r="21" spans="1:51" ht="68.25" customHeight="1" thickBot="1">
      <c r="A21" s="44" t="s">
        <v>25</v>
      </c>
      <c r="B21" s="149" t="s">
        <v>26</v>
      </c>
      <c r="C21" s="147" t="s">
        <v>621</v>
      </c>
      <c r="D21" s="149" t="s">
        <v>64</v>
      </c>
      <c r="E21" s="147" t="s">
        <v>299</v>
      </c>
      <c r="F21" s="147" t="s">
        <v>299</v>
      </c>
      <c r="G21" s="147" t="s">
        <v>299</v>
      </c>
      <c r="H21" s="147" t="s">
        <v>299</v>
      </c>
      <c r="I21" s="147" t="s">
        <v>299</v>
      </c>
      <c r="J21" s="147" t="s">
        <v>299</v>
      </c>
      <c r="K21" s="147" t="s">
        <v>299</v>
      </c>
      <c r="L21" s="147" t="s">
        <v>299</v>
      </c>
      <c r="M21" s="147" t="s">
        <v>299</v>
      </c>
      <c r="N21" s="147" t="s">
        <v>299</v>
      </c>
      <c r="O21" s="147" t="s">
        <v>299</v>
      </c>
      <c r="P21" s="147" t="s">
        <v>299</v>
      </c>
      <c r="Q21" s="147" t="s">
        <v>299</v>
      </c>
      <c r="R21" s="147" t="s">
        <v>299</v>
      </c>
      <c r="S21" s="147" t="s">
        <v>299</v>
      </c>
      <c r="T21" s="147" t="s">
        <v>299</v>
      </c>
      <c r="U21" s="147" t="s">
        <v>299</v>
      </c>
      <c r="V21" s="147" t="s">
        <v>299</v>
      </c>
      <c r="W21" s="147" t="s">
        <v>299</v>
      </c>
      <c r="X21" s="147" t="s">
        <v>299</v>
      </c>
      <c r="Y21" s="147" t="s">
        <v>299</v>
      </c>
      <c r="Z21" s="149" t="s">
        <v>26</v>
      </c>
      <c r="AA21" s="147" t="s">
        <v>299</v>
      </c>
      <c r="AB21" s="147" t="s">
        <v>299</v>
      </c>
      <c r="AC21" s="147" t="s">
        <v>299</v>
      </c>
      <c r="AD21" s="147" t="s">
        <v>299</v>
      </c>
      <c r="AE21" s="147" t="s">
        <v>299</v>
      </c>
      <c r="AF21" s="147" t="s">
        <v>299</v>
      </c>
      <c r="AG21" s="147" t="s">
        <v>299</v>
      </c>
      <c r="AH21" s="147" t="s">
        <v>299</v>
      </c>
      <c r="AI21" s="147" t="s">
        <v>299</v>
      </c>
      <c r="AJ21" s="147" t="s">
        <v>299</v>
      </c>
      <c r="AK21" s="147" t="s">
        <v>299</v>
      </c>
      <c r="AL21" s="147" t="s">
        <v>299</v>
      </c>
      <c r="AM21" s="147" t="s">
        <v>299</v>
      </c>
      <c r="AN21" s="147" t="s">
        <v>299</v>
      </c>
      <c r="AO21" s="147" t="s">
        <v>299</v>
      </c>
      <c r="AP21" s="147" t="s">
        <v>299</v>
      </c>
      <c r="AQ21" s="147" t="s">
        <v>299</v>
      </c>
      <c r="AR21" s="147" t="s">
        <v>299</v>
      </c>
      <c r="AS21" s="46" t="s">
        <v>299</v>
      </c>
      <c r="AT21" s="23"/>
      <c r="AU21" s="23"/>
      <c r="AV21" s="23"/>
      <c r="AW21" s="23"/>
      <c r="AX21" s="23"/>
      <c r="AY21" s="23"/>
    </row>
    <row r="22" spans="1:51" ht="15">
      <c r="G22" s="33"/>
      <c r="H22" s="29"/>
      <c r="I22" s="29"/>
      <c r="J22" s="29"/>
      <c r="K22" s="16"/>
      <c r="L22" s="16"/>
      <c r="M22" s="16"/>
      <c r="N22" s="29"/>
      <c r="O22" s="29"/>
      <c r="P22" s="29"/>
      <c r="Q22" s="29"/>
      <c r="R22" s="31"/>
      <c r="S22" s="29"/>
      <c r="T22" s="29"/>
      <c r="U22" s="29"/>
      <c r="V22" s="29"/>
      <c r="W22" s="29"/>
      <c r="X22" s="29"/>
      <c r="Y22" s="29"/>
      <c r="Z22" s="32"/>
      <c r="AA22" s="32"/>
      <c r="AB22" s="32"/>
      <c r="AC22" s="32"/>
      <c r="AD22" s="32"/>
      <c r="AE22" s="32"/>
      <c r="AF22" s="32"/>
      <c r="AG22" s="32"/>
      <c r="AH22" s="32"/>
      <c r="AI22" s="32"/>
      <c r="AJ22" s="32"/>
      <c r="AK22" s="32"/>
      <c r="AL22" s="30"/>
      <c r="AM22" s="24"/>
    </row>
    <row r="28" spans="1:51">
      <c r="X28" s="23" t="e">
        <f>#REF!</f>
        <v>#REF!</v>
      </c>
    </row>
  </sheetData>
  <mergeCells count="5">
    <mergeCell ref="A2:O2"/>
    <mergeCell ref="A4:W4"/>
    <mergeCell ref="N8:W8"/>
    <mergeCell ref="A17:AS17"/>
    <mergeCell ref="A11:F11"/>
  </mergeCells>
  <conditionalFormatting sqref="AS20">
    <cfRule type="cellIs" dxfId="0" priority="1" operator="equal">
      <formula>"error"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Lookup!$F$11:$F$12</xm:f>
          </x14:formula1>
          <xm:sqref>H7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Lookup!$E$27:$E$46</xm:f>
          </x14:formula1>
          <xm:sqref>L7</xm:sqref>
        </x14:dataValidation>
        <x14:dataValidation type="list" allowBlank="1" showInputMessage="1" showErrorMessage="1">
          <x14:formula1>
            <xm:f>Lookup!$A$60:$A$61</xm:f>
          </x14:formula1>
          <xm:sqref>I7</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Y8"/>
  <sheetViews>
    <sheetView topLeftCell="C1" zoomScale="70" zoomScaleNormal="70" zoomScalePageLayoutView="70" workbookViewId="0">
      <selection activeCell="BO31" sqref="BO31"/>
    </sheetView>
  </sheetViews>
  <sheetFormatPr baseColWidth="10" defaultColWidth="8.83203125" defaultRowHeight="14" x14ac:dyDescent="0"/>
  <cols>
    <col min="1" max="1" width="21.6640625" customWidth="1"/>
    <col min="2" max="2" width="28.1640625" customWidth="1"/>
    <col min="3" max="3" width="33" customWidth="1"/>
    <col min="4" max="4" width="21.33203125" customWidth="1"/>
    <col min="5" max="5" width="17.1640625" customWidth="1"/>
    <col min="6" max="6" width="31.5" customWidth="1"/>
    <col min="7" max="7" width="15.33203125" customWidth="1"/>
    <col min="8" max="8" width="25.83203125" bestFit="1" customWidth="1"/>
    <col min="9" max="9" width="28.33203125" bestFit="1" customWidth="1"/>
    <col min="10" max="10" width="23.5" customWidth="1"/>
    <col min="11" max="12" width="18.83203125" customWidth="1"/>
    <col min="13" max="13" width="17.83203125" customWidth="1"/>
    <col min="14" max="14" width="18.5" customWidth="1"/>
    <col min="15" max="15" width="19.6640625" customWidth="1"/>
    <col min="16" max="16" width="20.33203125" customWidth="1"/>
    <col min="17" max="17" width="31.1640625" customWidth="1"/>
    <col min="18" max="18" width="28.83203125" customWidth="1"/>
    <col min="19" max="19" width="29.83203125" customWidth="1"/>
    <col min="20"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3.33203125" customWidth="1"/>
    <col min="37" max="37" width="19" customWidth="1"/>
    <col min="38" max="38" width="18.5" customWidth="1"/>
    <col min="39" max="39" width="17.5" customWidth="1"/>
    <col min="40" max="40" width="17.33203125" customWidth="1"/>
    <col min="41" max="41" width="19.1640625" customWidth="1"/>
    <col min="42" max="42" width="19.33203125" customWidth="1"/>
    <col min="43" max="43" width="15.83203125" customWidth="1"/>
    <col min="44" max="44" width="23.5" customWidth="1"/>
    <col min="45" max="45" width="13.5" customWidth="1"/>
    <col min="46" max="46" width="15" customWidth="1"/>
    <col min="47" max="47" width="16.5" customWidth="1"/>
    <col min="48" max="48" width="15.5" customWidth="1"/>
    <col min="49" max="49" width="13" customWidth="1"/>
    <col min="50" max="50" width="16" customWidth="1"/>
    <col min="51" max="51" width="14.33203125" customWidth="1"/>
    <col min="52" max="52" width="16.33203125" customWidth="1"/>
    <col min="53" max="53" width="21.5" customWidth="1"/>
    <col min="54" max="55" width="28.1640625" customWidth="1"/>
    <col min="56" max="56" width="30.6640625" customWidth="1"/>
    <col min="57" max="57" width="20.6640625" customWidth="1"/>
    <col min="58" max="58" width="19.5" customWidth="1"/>
    <col min="59" max="59" width="20.33203125" customWidth="1"/>
    <col min="60" max="60" width="20.5" customWidth="1"/>
    <col min="61" max="61" width="21.5" customWidth="1"/>
    <col min="62" max="62" width="20.5" customWidth="1"/>
    <col min="63" max="63" width="20.33203125" customWidth="1"/>
    <col min="64" max="64" width="22.5" customWidth="1"/>
    <col min="65" max="65" width="20" customWidth="1"/>
    <col min="66" max="66" width="22.33203125" customWidth="1"/>
    <col min="67" max="67" width="20.1640625" customWidth="1"/>
    <col min="68" max="68" width="18.83203125" customWidth="1"/>
    <col min="69" max="69" width="24.83203125" customWidth="1"/>
    <col min="70" max="70" width="21.5" customWidth="1"/>
    <col min="71" max="71" width="24.83203125" customWidth="1"/>
    <col min="72" max="72" width="23.5" customWidth="1"/>
    <col min="73" max="73" width="24.83203125" customWidth="1"/>
    <col min="74" max="74" width="22.6640625" customWidth="1"/>
    <col min="75" max="75" width="18.5" customWidth="1"/>
    <col min="76" max="76" width="18.83203125" customWidth="1"/>
    <col min="77" max="77" width="12.83203125" customWidth="1"/>
  </cols>
  <sheetData>
    <row r="3" spans="1:77" ht="15" thickBot="1"/>
    <row r="4" spans="1:77" ht="37" thickBot="1">
      <c r="A4" s="198" t="s">
        <v>542</v>
      </c>
      <c r="B4" s="199"/>
      <c r="C4" s="199"/>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199"/>
      <c r="AV4" s="199"/>
      <c r="AW4" s="199"/>
      <c r="AX4" s="199"/>
      <c r="AY4" s="199"/>
      <c r="AZ4" s="199"/>
      <c r="BA4" s="199"/>
      <c r="BB4" s="199"/>
      <c r="BC4" s="199"/>
      <c r="BD4" s="199"/>
      <c r="BE4" s="199"/>
      <c r="BF4" s="199"/>
      <c r="BG4" s="199"/>
      <c r="BH4" s="199"/>
      <c r="BI4" s="199"/>
      <c r="BJ4" s="199"/>
      <c r="BK4" s="199"/>
      <c r="BL4" s="199"/>
      <c r="BM4" s="199"/>
      <c r="BN4" s="199"/>
      <c r="BO4" s="199"/>
      <c r="BP4" s="199"/>
      <c r="BQ4" s="199"/>
      <c r="BR4" s="199"/>
      <c r="BS4" s="199"/>
      <c r="BT4" s="199"/>
      <c r="BU4" s="199"/>
      <c r="BV4" s="199"/>
      <c r="BW4" s="199"/>
      <c r="BX4" s="199"/>
      <c r="BY4" s="200"/>
    </row>
    <row r="5" spans="1:77" ht="62">
      <c r="A5" s="135"/>
      <c r="B5" s="134"/>
      <c r="C5" s="134"/>
      <c r="D5" s="134"/>
      <c r="E5" s="134"/>
      <c r="F5" s="134"/>
      <c r="G5" s="134"/>
      <c r="H5" s="134"/>
      <c r="I5" s="134" t="s">
        <v>547</v>
      </c>
      <c r="J5" s="134" t="s">
        <v>546</v>
      </c>
      <c r="K5" s="134" t="s">
        <v>356</v>
      </c>
      <c r="L5" s="134"/>
      <c r="M5" s="134" t="s">
        <v>341</v>
      </c>
      <c r="N5" s="134" t="s">
        <v>544</v>
      </c>
      <c r="O5" s="134" t="s">
        <v>540</v>
      </c>
      <c r="P5" s="58"/>
      <c r="Q5" s="58" t="s">
        <v>541</v>
      </c>
      <c r="R5" s="58" t="s">
        <v>342</v>
      </c>
      <c r="S5" s="58" t="s">
        <v>343</v>
      </c>
      <c r="T5" s="58" t="s">
        <v>345</v>
      </c>
      <c r="U5" s="58" t="s">
        <v>346</v>
      </c>
      <c r="V5" s="58" t="s">
        <v>348</v>
      </c>
      <c r="W5" s="58" t="s">
        <v>349</v>
      </c>
      <c r="X5" s="68" t="s">
        <v>382</v>
      </c>
      <c r="Y5" s="68" t="s">
        <v>480</v>
      </c>
      <c r="Z5" s="68" t="s">
        <v>383</v>
      </c>
      <c r="AA5" s="68" t="s">
        <v>384</v>
      </c>
      <c r="AB5" s="68" t="s">
        <v>380</v>
      </c>
      <c r="AC5" s="58" t="s">
        <v>360</v>
      </c>
      <c r="AD5" s="58" t="s">
        <v>369</v>
      </c>
      <c r="AE5" s="58" t="s">
        <v>368</v>
      </c>
      <c r="AF5" s="58" t="s">
        <v>370</v>
      </c>
      <c r="AG5" s="58" t="s">
        <v>372</v>
      </c>
      <c r="AH5" s="58" t="s">
        <v>371</v>
      </c>
      <c r="AI5" s="58" t="s">
        <v>373</v>
      </c>
      <c r="AJ5" s="58" t="s">
        <v>375</v>
      </c>
      <c r="AK5" s="58" t="s">
        <v>374</v>
      </c>
      <c r="AL5" s="58" t="s">
        <v>376</v>
      </c>
      <c r="AM5" s="58" t="s">
        <v>347</v>
      </c>
      <c r="AN5" s="58" t="s">
        <v>344</v>
      </c>
      <c r="AO5" s="58" t="s">
        <v>350</v>
      </c>
      <c r="AP5" s="58" t="s">
        <v>498</v>
      </c>
      <c r="AQ5" s="58" t="s">
        <v>497</v>
      </c>
      <c r="AR5" s="58" t="s">
        <v>499</v>
      </c>
      <c r="AS5" s="58" t="s">
        <v>500</v>
      </c>
      <c r="AT5" s="58" t="s">
        <v>503</v>
      </c>
      <c r="AU5" s="58" t="s">
        <v>501</v>
      </c>
      <c r="AV5" s="58" t="s">
        <v>418</v>
      </c>
      <c r="AW5" s="58" t="s">
        <v>504</v>
      </c>
      <c r="AX5" s="58" t="s">
        <v>502</v>
      </c>
      <c r="AY5" s="58" t="s">
        <v>505</v>
      </c>
      <c r="AZ5" s="68" t="s">
        <v>536</v>
      </c>
      <c r="BA5" s="68" t="s">
        <v>537</v>
      </c>
      <c r="BB5" s="68" t="s">
        <v>535</v>
      </c>
      <c r="BC5" s="68" t="s">
        <v>515</v>
      </c>
      <c r="BD5" s="68" t="s">
        <v>517</v>
      </c>
      <c r="BE5" s="68" t="s">
        <v>566</v>
      </c>
      <c r="BF5" s="68" t="s">
        <v>387</v>
      </c>
      <c r="BG5" s="68" t="s">
        <v>389</v>
      </c>
      <c r="BH5" s="58" t="s">
        <v>401</v>
      </c>
      <c r="BI5" s="58" t="s">
        <v>400</v>
      </c>
      <c r="BJ5" s="58" t="s">
        <v>402</v>
      </c>
      <c r="BK5" s="58" t="s">
        <v>404</v>
      </c>
      <c r="BL5" s="58" t="s">
        <v>403</v>
      </c>
      <c r="BM5" s="58" t="s">
        <v>405</v>
      </c>
      <c r="BN5" s="68" t="s">
        <v>527</v>
      </c>
      <c r="BO5" s="58" t="s">
        <v>407</v>
      </c>
      <c r="BP5" s="58" t="s">
        <v>406</v>
      </c>
      <c r="BQ5" s="58" t="s">
        <v>408</v>
      </c>
      <c r="BR5" s="68" t="s">
        <v>409</v>
      </c>
      <c r="BS5" s="68" t="s">
        <v>410</v>
      </c>
      <c r="BT5" s="68" t="s">
        <v>411</v>
      </c>
      <c r="BU5" s="71" t="s">
        <v>412</v>
      </c>
      <c r="BV5" s="71" t="s">
        <v>413</v>
      </c>
      <c r="BW5" s="72" t="s">
        <v>414</v>
      </c>
    </row>
    <row r="6" spans="1:77" s="18" customFormat="1" ht="56">
      <c r="A6" s="136" t="s">
        <v>459</v>
      </c>
      <c r="B6" s="127" t="s">
        <v>462</v>
      </c>
      <c r="C6" s="127" t="s">
        <v>615</v>
      </c>
      <c r="D6" s="127" t="s">
        <v>614</v>
      </c>
      <c r="E6" s="127" t="s">
        <v>529</v>
      </c>
      <c r="F6" s="127" t="s">
        <v>539</v>
      </c>
      <c r="G6" s="127" t="s">
        <v>470</v>
      </c>
      <c r="H6" s="127" t="s">
        <v>472</v>
      </c>
      <c r="I6" s="127" t="s">
        <v>474</v>
      </c>
      <c r="J6" s="127" t="s">
        <v>473</v>
      </c>
      <c r="K6" s="127" t="s">
        <v>478</v>
      </c>
      <c r="L6" s="127" t="s">
        <v>476</v>
      </c>
      <c r="M6" s="127" t="s">
        <v>525</v>
      </c>
      <c r="N6" s="127" t="s">
        <v>477</v>
      </c>
      <c r="O6" s="127" t="s">
        <v>483</v>
      </c>
      <c r="P6" s="127" t="s">
        <v>565</v>
      </c>
      <c r="Q6" s="127" t="s">
        <v>532</v>
      </c>
      <c r="R6" s="127" t="s">
        <v>519</v>
      </c>
      <c r="S6" s="127" t="s">
        <v>520</v>
      </c>
      <c r="T6" s="127" t="s">
        <v>521</v>
      </c>
      <c r="U6" s="127" t="s">
        <v>522</v>
      </c>
      <c r="V6" s="127" t="s">
        <v>523</v>
      </c>
      <c r="W6" s="127" t="s">
        <v>524</v>
      </c>
      <c r="X6" s="126" t="s">
        <v>482</v>
      </c>
      <c r="Y6" s="126" t="s">
        <v>479</v>
      </c>
      <c r="Z6" s="126" t="s">
        <v>481</v>
      </c>
      <c r="AA6" s="127" t="s">
        <v>484</v>
      </c>
      <c r="AB6" s="127" t="s">
        <v>485</v>
      </c>
      <c r="AC6" s="54" t="s">
        <v>486</v>
      </c>
      <c r="AD6" s="126" t="s">
        <v>488</v>
      </c>
      <c r="AE6" s="126" t="s">
        <v>487</v>
      </c>
      <c r="AF6" s="126" t="s">
        <v>489</v>
      </c>
      <c r="AG6" s="126" t="s">
        <v>491</v>
      </c>
      <c r="AH6" s="126" t="s">
        <v>490</v>
      </c>
      <c r="AI6" s="126" t="s">
        <v>492</v>
      </c>
      <c r="AJ6" s="126" t="s">
        <v>338</v>
      </c>
      <c r="AK6" s="126" t="s">
        <v>337</v>
      </c>
      <c r="AL6" s="126" t="s">
        <v>339</v>
      </c>
      <c r="AM6" s="127" t="s">
        <v>494</v>
      </c>
      <c r="AN6" s="127" t="s">
        <v>493</v>
      </c>
      <c r="AO6" s="127" t="s">
        <v>495</v>
      </c>
      <c r="AP6" s="126" t="s">
        <v>513</v>
      </c>
      <c r="AQ6" s="126" t="s">
        <v>512</v>
      </c>
      <c r="AR6" s="126" t="s">
        <v>514</v>
      </c>
      <c r="AS6" s="126" t="s">
        <v>510</v>
      </c>
      <c r="AT6" s="126" t="s">
        <v>511</v>
      </c>
      <c r="AU6" s="126" t="s">
        <v>509</v>
      </c>
      <c r="AV6" s="127" t="s">
        <v>496</v>
      </c>
      <c r="AW6" s="126" t="s">
        <v>506</v>
      </c>
      <c r="AX6" s="126" t="s">
        <v>508</v>
      </c>
      <c r="AY6" s="126" t="s">
        <v>507</v>
      </c>
      <c r="AZ6" s="127" t="s">
        <v>533</v>
      </c>
      <c r="BA6" s="127" t="s">
        <v>538</v>
      </c>
      <c r="BB6" s="127" t="s">
        <v>534</v>
      </c>
      <c r="BC6" s="127" t="s">
        <v>516</v>
      </c>
      <c r="BD6" s="127" t="s">
        <v>518</v>
      </c>
      <c r="BE6" s="126" t="s">
        <v>66</v>
      </c>
      <c r="BF6" s="126" t="s">
        <v>67</v>
      </c>
      <c r="BG6" s="126" t="s">
        <v>65</v>
      </c>
      <c r="BH6" s="126" t="s">
        <v>304</v>
      </c>
      <c r="BI6" s="126" t="s">
        <v>303</v>
      </c>
      <c r="BJ6" s="126" t="s">
        <v>305</v>
      </c>
      <c r="BK6" s="126" t="s">
        <v>310</v>
      </c>
      <c r="BL6" s="126" t="s">
        <v>309</v>
      </c>
      <c r="BM6" s="126" t="s">
        <v>311</v>
      </c>
      <c r="BN6" s="128" t="s">
        <v>526</v>
      </c>
      <c r="BO6" s="126" t="s">
        <v>320</v>
      </c>
      <c r="BP6" s="126" t="s">
        <v>319</v>
      </c>
      <c r="BQ6" s="126" t="s">
        <v>321</v>
      </c>
      <c r="BR6" s="126" t="s">
        <v>353</v>
      </c>
      <c r="BS6" s="126" t="s">
        <v>354</v>
      </c>
      <c r="BT6" s="126" t="s">
        <v>355</v>
      </c>
      <c r="BU6" s="126" t="s">
        <v>415</v>
      </c>
      <c r="BV6" s="126" t="s">
        <v>314</v>
      </c>
      <c r="BW6" s="47" t="s">
        <v>315</v>
      </c>
    </row>
    <row r="7" spans="1:77" s="18" customFormat="1" ht="42">
      <c r="A7" s="137" t="s">
        <v>460</v>
      </c>
      <c r="B7" s="129" t="s">
        <v>9</v>
      </c>
      <c r="C7" s="131" t="str">
        <f>'Section III database '!E7</f>
        <v>Section III - Test Pump Efficiency of Bare Pump + Default Nominal Full Load Motor Efficiency + Default Part Load Loss Curve</v>
      </c>
      <c r="D7" s="127" t="s">
        <v>528</v>
      </c>
      <c r="E7" s="127" t="s">
        <v>530</v>
      </c>
      <c r="F7" s="130" t="s">
        <v>465</v>
      </c>
      <c r="G7" s="129" t="s">
        <v>9</v>
      </c>
      <c r="H7" s="129" t="s">
        <v>9</v>
      </c>
      <c r="I7" s="129">
        <v>50</v>
      </c>
      <c r="J7" s="129">
        <v>97</v>
      </c>
      <c r="K7" s="131">
        <f>'Section III database '!H7</f>
        <v>3600</v>
      </c>
      <c r="L7" s="132" t="str">
        <f>'Section III database '!F7</f>
        <v>ESFM</v>
      </c>
      <c r="M7" s="132">
        <f>'Section III database '!R7</f>
        <v>9</v>
      </c>
      <c r="N7" s="131">
        <f>'Section III database '!T7</f>
        <v>1.01</v>
      </c>
      <c r="O7" s="131">
        <f>'Section III database '!J7</f>
        <v>60</v>
      </c>
      <c r="P7" s="61" t="str">
        <f>L7&amp;-I7&amp;-K7</f>
        <v>ESFM-50-3600</v>
      </c>
      <c r="Q7" s="168">
        <f>VLOOKUP(P7,Lookup!$U$28:$V$227,2,FALSE)</f>
        <v>93</v>
      </c>
      <c r="R7" s="39">
        <f>'Section III database '!K7</f>
        <v>349.83050847457599</v>
      </c>
      <c r="S7" s="39">
        <f>'Section III database '!L7</f>
        <v>424.42976156276899</v>
      </c>
      <c r="T7" s="39">
        <f>'Section III database '!M7</f>
        <v>262.37288135593201</v>
      </c>
      <c r="U7" s="39">
        <f>'Section III database '!N7</f>
        <v>498.891123240448</v>
      </c>
      <c r="V7" s="39">
        <f>'Section III database '!O7</f>
        <v>384.813559322034</v>
      </c>
      <c r="W7" s="39">
        <f>'Section III database '!P7</f>
        <v>383.47601264004601</v>
      </c>
      <c r="X7" s="131">
        <f>'Section III database '!A16</f>
        <v>52.811999999999998</v>
      </c>
      <c r="Y7" s="131">
        <f>'Section III database '!B16</f>
        <v>55.203000000000003</v>
      </c>
      <c r="Z7" s="131">
        <f>'Section III database '!C16</f>
        <v>55.62</v>
      </c>
      <c r="AA7" s="169">
        <f>'Section III database '!D16</f>
        <v>54.539545499999996</v>
      </c>
      <c r="AB7" s="169">
        <f>'Section III database '!E16</f>
        <v>53.999549999999992</v>
      </c>
      <c r="AC7" s="169">
        <f>'Section III database '!E24</f>
        <v>4.1025641025641022</v>
      </c>
      <c r="AD7" s="57">
        <f>IF(X7/($O7+$AC7)&gt;1,1,X7/($O7+$AC7))</f>
        <v>0.82386720000000002</v>
      </c>
      <c r="AE7" s="57">
        <f>IF(Y7/($O7+$AC7)&gt;1,1,Y7/($O7+$AC7))</f>
        <v>0.86116680000000001</v>
      </c>
      <c r="AF7" s="57">
        <f>IF(Z7/($O7+$AC7)&gt;1,1,Z7/($O7+$AC7))</f>
        <v>0.867672</v>
      </c>
      <c r="AG7" s="57">
        <f>-0.4508*AD7^3+1.2399*AD7^2+-0.4301*AD7+0.641</f>
        <v>0.87615576576549958</v>
      </c>
      <c r="AH7" s="57">
        <f>-0.4508*AE7^3+1.2399*AE7^2+-0.4301*AE7+0.641</f>
        <v>0.90222953451586818</v>
      </c>
      <c r="AI7" s="57">
        <f>-0.4508*AF7^3+1.2399*AF7^2+-0.4301*AF7+0.641</f>
        <v>0.90680230575603182</v>
      </c>
      <c r="AJ7" s="57">
        <f>AG7*$AC$7</f>
        <v>3.5944851928841004</v>
      </c>
      <c r="AK7" s="57">
        <f>AH7*$AC$7</f>
        <v>3.7014545005779205</v>
      </c>
      <c r="AL7" s="57">
        <f>AI7*AC7</f>
        <v>3.7202145877170532</v>
      </c>
      <c r="AM7" s="133">
        <f>X7-AJ7</f>
        <v>49.217514807115897</v>
      </c>
      <c r="AN7" s="133">
        <f>Y7-AK7</f>
        <v>51.501545499422079</v>
      </c>
      <c r="AO7" s="133">
        <f>Z7-AL7</f>
        <v>51.899785412282945</v>
      </c>
      <c r="AP7" s="57">
        <f>IF(AM7/($I7)&gt;1,1,AM7/($I7))</f>
        <v>0.98435029614231795</v>
      </c>
      <c r="AQ7" s="57">
        <f>IF(AN7/($I7)&gt;1,1,AN7/($I7))</f>
        <v>1</v>
      </c>
      <c r="AR7" s="57">
        <f>IF(AO7/($I7)&gt;1,1,AO7/($I7))</f>
        <v>1</v>
      </c>
      <c r="AS7" s="57">
        <f>-0.4508*AP7^3+1.2399*AP7^2+-0.4301*AP7+0.641</f>
        <v>0.98906163659661517</v>
      </c>
      <c r="AT7" s="57">
        <f>-0.4508*AQ7^3+1.2399*AQ7^2+-0.4301*AQ7+0.641</f>
        <v>1</v>
      </c>
      <c r="AU7" s="57">
        <f>-0.4508*AR7^3+1.2399*AR7^2+-0.4301*AR7+0.641</f>
        <v>1</v>
      </c>
      <c r="AV7" s="133">
        <f>(I7/(J7/100))-I7</f>
        <v>1.5463917525773212</v>
      </c>
      <c r="AW7" s="57">
        <f>AS7*$AV7</f>
        <v>1.5294767576236332</v>
      </c>
      <c r="AX7" s="57">
        <f>AT7*$AV7</f>
        <v>1.5463917525773212</v>
      </c>
      <c r="AY7" s="57">
        <f>AU7*$AV7</f>
        <v>1.5463917525773212</v>
      </c>
      <c r="AZ7" s="57">
        <f>AM7+AW7</f>
        <v>50.746991564739531</v>
      </c>
      <c r="BA7" s="57">
        <f>AN7+AX7</f>
        <v>53.0479372519994</v>
      </c>
      <c r="BB7" s="57">
        <f>AO7+AY7</f>
        <v>53.446177164860266</v>
      </c>
      <c r="BC7" s="57">
        <f>0.3333*BA7+0.3333*AZ7+0.3333*BB7</f>
        <v>52.408460623667011</v>
      </c>
      <c r="BD7" s="57">
        <f>BC7/AB7</f>
        <v>0.97053513637922939</v>
      </c>
      <c r="BE7" s="171">
        <f>'Section III database '!AC24</f>
        <v>52.30325905922431</v>
      </c>
      <c r="BF7" s="171">
        <f>'Section III database '!AB24</f>
        <v>56.184629268813275</v>
      </c>
      <c r="BG7" s="171">
        <f>'Section III database '!AD24</f>
        <v>56.689985716952151</v>
      </c>
      <c r="BH7" s="57">
        <f>IF((BE7/$I$7)&gt;=1,1,(BE7/$I$7))</f>
        <v>1</v>
      </c>
      <c r="BI7" s="57">
        <f>IF((BF7/$I$7)&gt;=1,1,(BF7/$I$7))</f>
        <v>1</v>
      </c>
      <c r="BJ7" s="57">
        <f>IF((BG7/$I$7)&gt;=1,1,(BG7/$I$7))</f>
        <v>1</v>
      </c>
      <c r="BK7" s="57">
        <f>-0.4508*BH7^3+1.2399*BH7^2+-0.4301*BH7+0.641</f>
        <v>1</v>
      </c>
      <c r="BL7" s="57">
        <f>-0.4508*BI7^3+1.2399*BI7^2+-0.4301*BI7+0.641</f>
        <v>1</v>
      </c>
      <c r="BM7" s="57">
        <f t="shared" ref="BM7" si="0">-0.4508*BJ7^3+1.2399*BJ7^2+-0.4301*BJ7+0.641</f>
        <v>1</v>
      </c>
      <c r="BN7" s="57">
        <f>(I7/(Q7/100))-I7</f>
        <v>3.7634408602150486</v>
      </c>
      <c r="BO7" s="57">
        <f>BK7*$BN$7</f>
        <v>3.7634408602150486</v>
      </c>
      <c r="BP7" s="57">
        <f>BL7*$BN$7</f>
        <v>3.7634408602150486</v>
      </c>
      <c r="BQ7" s="57">
        <f>BM7*$BN$7</f>
        <v>3.7634408602150486</v>
      </c>
      <c r="BR7" s="57">
        <f>BP7+BF7</f>
        <v>59.948070129028324</v>
      </c>
      <c r="BS7" s="57">
        <f>BO7+BE7</f>
        <v>56.066699919439358</v>
      </c>
      <c r="BT7" s="57">
        <f>BQ7+BG7</f>
        <v>60.4534265771672</v>
      </c>
      <c r="BU7" s="57">
        <f>0.3333*(BR7)+0.3333*(BS7)+0.3333*(BT7)</f>
        <v>58.8168499353241</v>
      </c>
      <c r="BV7" s="61">
        <f>BU7/AB7</f>
        <v>1.0892100014782367</v>
      </c>
      <c r="BW7" s="63">
        <f>(BV7-BD7)*100</f>
        <v>11.867486509900726</v>
      </c>
    </row>
    <row r="8" spans="1:77" s="18" customFormat="1" ht="29" thickBot="1">
      <c r="A8" s="138" t="s">
        <v>461</v>
      </c>
      <c r="B8" s="139" t="s">
        <v>463</v>
      </c>
      <c r="C8" s="139" t="s">
        <v>543</v>
      </c>
      <c r="D8" s="139"/>
      <c r="E8" s="139"/>
      <c r="F8" s="139" t="s">
        <v>531</v>
      </c>
      <c r="G8" s="139" t="s">
        <v>471</v>
      </c>
      <c r="H8" s="139" t="s">
        <v>471</v>
      </c>
      <c r="I8" s="139" t="s">
        <v>475</v>
      </c>
      <c r="J8" s="139" t="s">
        <v>471</v>
      </c>
      <c r="K8" s="139" t="s">
        <v>543</v>
      </c>
      <c r="L8" s="139" t="s">
        <v>543</v>
      </c>
      <c r="M8" s="139" t="s">
        <v>543</v>
      </c>
      <c r="N8" s="139" t="s">
        <v>543</v>
      </c>
      <c r="O8" s="139" t="s">
        <v>543</v>
      </c>
      <c r="P8" s="139" t="s">
        <v>548</v>
      </c>
      <c r="Q8" s="139" t="s">
        <v>545</v>
      </c>
      <c r="R8" s="139" t="s">
        <v>543</v>
      </c>
      <c r="S8" s="139" t="s">
        <v>543</v>
      </c>
      <c r="T8" s="139" t="s">
        <v>543</v>
      </c>
      <c r="U8" s="139" t="s">
        <v>543</v>
      </c>
      <c r="V8" s="139" t="s">
        <v>543</v>
      </c>
      <c r="W8" s="139" t="s">
        <v>543</v>
      </c>
      <c r="X8" s="139" t="s">
        <v>543</v>
      </c>
      <c r="Y8" s="139" t="s">
        <v>543</v>
      </c>
      <c r="Z8" s="139" t="s">
        <v>543</v>
      </c>
      <c r="AA8" s="139" t="s">
        <v>543</v>
      </c>
      <c r="AB8" s="139" t="s">
        <v>543</v>
      </c>
      <c r="AC8" s="139" t="s">
        <v>543</v>
      </c>
      <c r="AD8" s="139" t="s">
        <v>299</v>
      </c>
      <c r="AE8" s="139" t="s">
        <v>299</v>
      </c>
      <c r="AF8" s="139" t="s">
        <v>299</v>
      </c>
      <c r="AG8" s="139" t="s">
        <v>299</v>
      </c>
      <c r="AH8" s="139" t="s">
        <v>299</v>
      </c>
      <c r="AI8" s="139" t="s">
        <v>299</v>
      </c>
      <c r="AJ8" s="139" t="s">
        <v>299</v>
      </c>
      <c r="AK8" s="139" t="s">
        <v>299</v>
      </c>
      <c r="AL8" s="139" t="s">
        <v>299</v>
      </c>
      <c r="AM8" s="139" t="s">
        <v>299</v>
      </c>
      <c r="AN8" s="139" t="s">
        <v>299</v>
      </c>
      <c r="AO8" s="139" t="s">
        <v>299</v>
      </c>
      <c r="AP8" s="139" t="s">
        <v>299</v>
      </c>
      <c r="AQ8" s="139" t="s">
        <v>299</v>
      </c>
      <c r="AR8" s="139" t="s">
        <v>299</v>
      </c>
      <c r="AS8" s="139" t="s">
        <v>299</v>
      </c>
      <c r="AT8" s="139" t="s">
        <v>299</v>
      </c>
      <c r="AU8" s="139" t="s">
        <v>299</v>
      </c>
      <c r="AV8" s="139" t="s">
        <v>299</v>
      </c>
      <c r="AW8" s="139" t="s">
        <v>299</v>
      </c>
      <c r="AX8" s="139" t="s">
        <v>299</v>
      </c>
      <c r="AY8" s="139" t="s">
        <v>299</v>
      </c>
      <c r="AZ8" s="139" t="s">
        <v>299</v>
      </c>
      <c r="BA8" s="139" t="s">
        <v>299</v>
      </c>
      <c r="BB8" s="139" t="s">
        <v>299</v>
      </c>
      <c r="BC8" s="139" t="s">
        <v>299</v>
      </c>
      <c r="BD8" s="139" t="s">
        <v>299</v>
      </c>
      <c r="BE8" s="139" t="s">
        <v>543</v>
      </c>
      <c r="BF8" s="139" t="s">
        <v>543</v>
      </c>
      <c r="BG8" s="139" t="s">
        <v>543</v>
      </c>
      <c r="BH8" s="139" t="s">
        <v>299</v>
      </c>
      <c r="BI8" s="139" t="s">
        <v>299</v>
      </c>
      <c r="BJ8" s="139" t="s">
        <v>299</v>
      </c>
      <c r="BK8" s="139" t="s">
        <v>299</v>
      </c>
      <c r="BL8" s="139" t="s">
        <v>299</v>
      </c>
      <c r="BM8" s="139" t="s">
        <v>299</v>
      </c>
      <c r="BN8" s="139" t="s">
        <v>299</v>
      </c>
      <c r="BO8" s="139" t="s">
        <v>299</v>
      </c>
      <c r="BP8" s="139" t="s">
        <v>299</v>
      </c>
      <c r="BQ8" s="139" t="s">
        <v>299</v>
      </c>
      <c r="BR8" s="139" t="s">
        <v>299</v>
      </c>
      <c r="BS8" s="139" t="s">
        <v>299</v>
      </c>
      <c r="BT8" s="139" t="s">
        <v>299</v>
      </c>
      <c r="BU8" s="139" t="s">
        <v>299</v>
      </c>
      <c r="BV8" s="139" t="s">
        <v>299</v>
      </c>
      <c r="BW8" s="139" t="s">
        <v>299</v>
      </c>
    </row>
  </sheetData>
  <mergeCells count="1">
    <mergeCell ref="A4:BY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E8"/>
  <sheetViews>
    <sheetView topLeftCell="BI1" zoomScale="80" zoomScaleNormal="80" zoomScalePageLayoutView="80" workbookViewId="0">
      <selection activeCell="BL7" sqref="BL7"/>
    </sheetView>
  </sheetViews>
  <sheetFormatPr baseColWidth="10" defaultColWidth="8.83203125" defaultRowHeight="14" x14ac:dyDescent="0"/>
  <cols>
    <col min="1" max="1" width="21.6640625" customWidth="1"/>
    <col min="2" max="2" width="28.1640625" customWidth="1"/>
    <col min="3" max="3" width="32.5" customWidth="1"/>
    <col min="4" max="4" width="21.33203125" customWidth="1"/>
    <col min="5" max="5" width="24" customWidth="1"/>
    <col min="6" max="6" width="28" customWidth="1"/>
    <col min="7" max="7" width="17.5" customWidth="1"/>
    <col min="8" max="9" width="25.83203125" bestFit="1" customWidth="1"/>
    <col min="10" max="10" width="23.5" customWidth="1"/>
    <col min="11" max="12" width="18.83203125" customWidth="1"/>
    <col min="13" max="13" width="17.83203125" customWidth="1"/>
    <col min="14" max="14" width="18.5" customWidth="1"/>
    <col min="15" max="15" width="18.33203125" customWidth="1"/>
    <col min="16" max="16" width="20.33203125" customWidth="1"/>
    <col min="17" max="17" width="19" customWidth="1"/>
    <col min="18" max="18" width="28.83203125" customWidth="1"/>
    <col min="19" max="19" width="29.83203125" customWidth="1"/>
    <col min="20" max="20" width="30.5" customWidth="1"/>
    <col min="21"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6.5" customWidth="1"/>
    <col min="37" max="37" width="15.5" customWidth="1"/>
    <col min="38" max="38" width="18.5" customWidth="1"/>
    <col min="39" max="39" width="17.5" customWidth="1"/>
    <col min="40" max="40" width="17.33203125" customWidth="1"/>
    <col min="41" max="41" width="17" customWidth="1"/>
    <col min="42" max="42" width="21.5" customWidth="1"/>
    <col min="43" max="43" width="19.1640625" customWidth="1"/>
    <col min="44" max="44" width="21.6640625" customWidth="1"/>
    <col min="45" max="45" width="19.33203125" customWidth="1"/>
    <col min="46" max="46" width="15" customWidth="1"/>
    <col min="47" max="47" width="16.5" customWidth="1"/>
    <col min="48" max="48" width="15.5" customWidth="1"/>
    <col min="49" max="49" width="16.1640625" customWidth="1"/>
    <col min="50" max="50" width="16" customWidth="1"/>
    <col min="51" max="51" width="27" customWidth="1"/>
    <col min="52" max="52" width="22.5" customWidth="1"/>
    <col min="53" max="53" width="23" customWidth="1"/>
    <col min="54" max="56" width="28.1640625" customWidth="1"/>
    <col min="57" max="57" width="28" customWidth="1"/>
    <col min="58" max="58" width="22.6640625" customWidth="1"/>
    <col min="59" max="59" width="20.6640625" customWidth="1"/>
    <col min="60" max="60" width="33.5" customWidth="1"/>
    <col min="61" max="61" width="33.33203125" customWidth="1"/>
    <col min="62" max="62" width="35" style="22" customWidth="1"/>
    <col min="63" max="63" width="31" customWidth="1"/>
    <col min="64" max="64" width="34.83203125" customWidth="1"/>
    <col min="65" max="65" width="31.5" customWidth="1"/>
    <col min="66" max="66" width="20.5" customWidth="1"/>
    <col min="67" max="67" width="21.5" customWidth="1"/>
    <col min="68" max="68" width="20.5" customWidth="1"/>
    <col min="69" max="69" width="20.33203125" customWidth="1"/>
    <col min="70" max="70" width="22.5" customWidth="1"/>
    <col min="71" max="71" width="26.33203125" customWidth="1"/>
    <col min="72" max="72" width="22.33203125" customWidth="1"/>
    <col min="73" max="73" width="20.1640625" customWidth="1"/>
    <col min="74" max="74" width="18.83203125" customWidth="1"/>
    <col min="75" max="75" width="24.83203125" customWidth="1"/>
    <col min="76" max="76" width="21.5" customWidth="1"/>
    <col min="77" max="77" width="24.83203125" customWidth="1"/>
    <col min="78" max="78" width="23.5" customWidth="1"/>
    <col min="79" max="79" width="24.83203125" customWidth="1"/>
    <col min="80" max="80" width="22.6640625" customWidth="1"/>
    <col min="81" max="81" width="18.5" customWidth="1"/>
    <col min="82" max="82" width="18.83203125" customWidth="1"/>
    <col min="83" max="83" width="12.83203125" customWidth="1"/>
  </cols>
  <sheetData>
    <row r="3" spans="1:83" ht="15" thickBot="1"/>
    <row r="4" spans="1:83" ht="37" thickBot="1">
      <c r="A4" s="201" t="s">
        <v>612</v>
      </c>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3"/>
      <c r="BX4" s="170"/>
      <c r="BY4" s="170"/>
      <c r="BZ4" s="170"/>
      <c r="CA4" s="170"/>
      <c r="CB4" s="170"/>
      <c r="CC4" s="170"/>
      <c r="CD4" s="170"/>
      <c r="CE4" s="170"/>
    </row>
    <row r="5" spans="1:83" ht="62">
      <c r="A5" s="135"/>
      <c r="B5" s="134"/>
      <c r="C5" s="134"/>
      <c r="D5" s="134"/>
      <c r="E5" s="134"/>
      <c r="F5" s="134"/>
      <c r="G5" s="134"/>
      <c r="H5" s="134"/>
      <c r="I5" s="134" t="s">
        <v>547</v>
      </c>
      <c r="J5" s="134" t="s">
        <v>546</v>
      </c>
      <c r="K5" s="134"/>
      <c r="L5" s="134"/>
      <c r="M5" s="134" t="s">
        <v>356</v>
      </c>
      <c r="N5" s="134"/>
      <c r="O5" s="134" t="s">
        <v>341</v>
      </c>
      <c r="P5" s="134" t="s">
        <v>544</v>
      </c>
      <c r="Q5" s="134" t="s">
        <v>540</v>
      </c>
      <c r="R5" s="159"/>
      <c r="S5" s="159" t="s">
        <v>541</v>
      </c>
      <c r="T5" s="159" t="s">
        <v>342</v>
      </c>
      <c r="U5" s="159" t="s">
        <v>343</v>
      </c>
      <c r="V5" s="68" t="s">
        <v>480</v>
      </c>
      <c r="W5" s="68" t="s">
        <v>384</v>
      </c>
      <c r="X5" s="68" t="s">
        <v>380</v>
      </c>
      <c r="Y5" s="159" t="s">
        <v>360</v>
      </c>
      <c r="Z5" s="159" t="s">
        <v>368</v>
      </c>
      <c r="AA5" s="159" t="s">
        <v>371</v>
      </c>
      <c r="AB5" s="159" t="s">
        <v>374</v>
      </c>
      <c r="AC5" s="159" t="s">
        <v>344</v>
      </c>
      <c r="AD5" s="159" t="s">
        <v>573</v>
      </c>
      <c r="AE5" s="159" t="s">
        <v>574</v>
      </c>
      <c r="AF5" s="159" t="s">
        <v>575</v>
      </c>
      <c r="AG5" s="159" t="s">
        <v>497</v>
      </c>
      <c r="AH5" s="159" t="s">
        <v>498</v>
      </c>
      <c r="AI5" s="159" t="s">
        <v>579</v>
      </c>
      <c r="AJ5" s="159" t="s">
        <v>580</v>
      </c>
      <c r="AK5" s="159" t="s">
        <v>431</v>
      </c>
      <c r="AL5" s="159" t="s">
        <v>432</v>
      </c>
      <c r="AM5" s="159" t="s">
        <v>433</v>
      </c>
      <c r="AN5" s="159" t="s">
        <v>584</v>
      </c>
      <c r="AO5" s="159" t="s">
        <v>586</v>
      </c>
      <c r="AP5" s="159" t="s">
        <v>587</v>
      </c>
      <c r="AQ5" s="159" t="s">
        <v>588</v>
      </c>
      <c r="AR5" s="159" t="s">
        <v>418</v>
      </c>
      <c r="AS5" s="159" t="s">
        <v>589</v>
      </c>
      <c r="AT5" s="159" t="s">
        <v>594</v>
      </c>
      <c r="AU5" s="159" t="s">
        <v>597</v>
      </c>
      <c r="AV5" s="159" t="s">
        <v>598</v>
      </c>
      <c r="AW5" s="68" t="s">
        <v>419</v>
      </c>
      <c r="AX5" s="68" t="s">
        <v>428</v>
      </c>
      <c r="AY5" s="68" t="s">
        <v>427</v>
      </c>
      <c r="AZ5" s="68" t="s">
        <v>446</v>
      </c>
      <c r="BA5" s="68" t="s">
        <v>604</v>
      </c>
      <c r="BB5" s="68" t="s">
        <v>605</v>
      </c>
      <c r="BC5" s="68" t="s">
        <v>566</v>
      </c>
      <c r="BD5" s="68" t="s">
        <v>387</v>
      </c>
      <c r="BE5" s="68" t="s">
        <v>389</v>
      </c>
      <c r="BF5" s="159" t="s">
        <v>606</v>
      </c>
      <c r="BG5" s="159" t="s">
        <v>607</v>
      </c>
      <c r="BH5" s="159" t="s">
        <v>608</v>
      </c>
      <c r="BI5" s="159" t="s">
        <v>609</v>
      </c>
      <c r="BJ5" s="159" t="s">
        <v>610</v>
      </c>
      <c r="BK5" s="159" t="s">
        <v>611</v>
      </c>
      <c r="BL5" s="68" t="s">
        <v>527</v>
      </c>
      <c r="BM5" s="159" t="s">
        <v>407</v>
      </c>
      <c r="BN5" s="159" t="s">
        <v>406</v>
      </c>
      <c r="BO5" s="159" t="s">
        <v>408</v>
      </c>
      <c r="BP5" s="68" t="s">
        <v>410</v>
      </c>
      <c r="BQ5" s="68" t="s">
        <v>409</v>
      </c>
      <c r="BR5" s="68" t="s">
        <v>411</v>
      </c>
      <c r="BS5" s="71" t="s">
        <v>412</v>
      </c>
      <c r="BT5" s="71" t="s">
        <v>413</v>
      </c>
      <c r="BU5" s="72" t="s">
        <v>414</v>
      </c>
    </row>
    <row r="6" spans="1:83" s="18" customFormat="1" ht="56">
      <c r="A6" s="136" t="s">
        <v>459</v>
      </c>
      <c r="B6" s="127" t="s">
        <v>462</v>
      </c>
      <c r="C6" s="127" t="s">
        <v>615</v>
      </c>
      <c r="D6" s="127" t="s">
        <v>613</v>
      </c>
      <c r="E6" s="127" t="s">
        <v>529</v>
      </c>
      <c r="F6" s="127" t="s">
        <v>539</v>
      </c>
      <c r="G6" s="127" t="s">
        <v>470</v>
      </c>
      <c r="H6" s="127" t="s">
        <v>472</v>
      </c>
      <c r="I6" s="127" t="s">
        <v>474</v>
      </c>
      <c r="J6" s="127" t="s">
        <v>473</v>
      </c>
      <c r="K6" s="127" t="s">
        <v>569</v>
      </c>
      <c r="L6" s="127" t="s">
        <v>568</v>
      </c>
      <c r="M6" s="127" t="s">
        <v>478</v>
      </c>
      <c r="N6" s="127" t="s">
        <v>476</v>
      </c>
      <c r="O6" s="127" t="s">
        <v>525</v>
      </c>
      <c r="P6" s="127" t="s">
        <v>477</v>
      </c>
      <c r="Q6" s="127" t="s">
        <v>483</v>
      </c>
      <c r="R6" s="127" t="s">
        <v>565</v>
      </c>
      <c r="S6" s="127" t="s">
        <v>532</v>
      </c>
      <c r="T6" s="127" t="s">
        <v>519</v>
      </c>
      <c r="U6" s="127" t="s">
        <v>520</v>
      </c>
      <c r="V6" s="157" t="s">
        <v>479</v>
      </c>
      <c r="W6" s="127" t="s">
        <v>484</v>
      </c>
      <c r="X6" s="127" t="s">
        <v>485</v>
      </c>
      <c r="Y6" s="54" t="s">
        <v>486</v>
      </c>
      <c r="Z6" s="157" t="s">
        <v>487</v>
      </c>
      <c r="AA6" s="157" t="s">
        <v>490</v>
      </c>
      <c r="AB6" s="157" t="s">
        <v>337</v>
      </c>
      <c r="AC6" s="127" t="s">
        <v>493</v>
      </c>
      <c r="AD6" s="127" t="s">
        <v>494</v>
      </c>
      <c r="AE6" s="127" t="s">
        <v>571</v>
      </c>
      <c r="AF6" s="127" t="s">
        <v>572</v>
      </c>
      <c r="AG6" s="157" t="s">
        <v>512</v>
      </c>
      <c r="AH6" s="157" t="s">
        <v>513</v>
      </c>
      <c r="AI6" s="157" t="s">
        <v>581</v>
      </c>
      <c r="AJ6" s="157" t="s">
        <v>582</v>
      </c>
      <c r="AK6" s="127" t="s">
        <v>576</v>
      </c>
      <c r="AL6" s="127" t="s">
        <v>577</v>
      </c>
      <c r="AM6" s="127" t="s">
        <v>578</v>
      </c>
      <c r="AN6" s="157" t="s">
        <v>585</v>
      </c>
      <c r="AO6" s="157" t="s">
        <v>591</v>
      </c>
      <c r="AP6" s="157" t="s">
        <v>592</v>
      </c>
      <c r="AQ6" s="157" t="s">
        <v>593</v>
      </c>
      <c r="AR6" s="127" t="s">
        <v>570</v>
      </c>
      <c r="AS6" s="157" t="s">
        <v>590</v>
      </c>
      <c r="AT6" s="157" t="s">
        <v>595</v>
      </c>
      <c r="AU6" s="157" t="s">
        <v>596</v>
      </c>
      <c r="AV6" s="157" t="s">
        <v>599</v>
      </c>
      <c r="AW6" s="127" t="s">
        <v>600</v>
      </c>
      <c r="AX6" s="127" t="s">
        <v>601</v>
      </c>
      <c r="AY6" s="127" t="s">
        <v>602</v>
      </c>
      <c r="AZ6" s="127" t="s">
        <v>603</v>
      </c>
      <c r="BA6" s="127" t="s">
        <v>516</v>
      </c>
      <c r="BB6" s="127" t="s">
        <v>518</v>
      </c>
      <c r="BC6" s="157" t="s">
        <v>66</v>
      </c>
      <c r="BD6" s="157" t="s">
        <v>67</v>
      </c>
      <c r="BE6" s="157" t="s">
        <v>65</v>
      </c>
      <c r="BF6" s="157" t="s">
        <v>304</v>
      </c>
      <c r="BG6" s="157" t="s">
        <v>303</v>
      </c>
      <c r="BH6" s="157" t="s">
        <v>305</v>
      </c>
      <c r="BI6" s="157" t="s">
        <v>310</v>
      </c>
      <c r="BJ6" s="157" t="s">
        <v>309</v>
      </c>
      <c r="BK6" s="157" t="s">
        <v>311</v>
      </c>
      <c r="BL6" s="128" t="s">
        <v>526</v>
      </c>
      <c r="BM6" s="157" t="s">
        <v>320</v>
      </c>
      <c r="BN6" s="157" t="s">
        <v>319</v>
      </c>
      <c r="BO6" s="157" t="s">
        <v>321</v>
      </c>
      <c r="BP6" s="157" t="s">
        <v>354</v>
      </c>
      <c r="BQ6" s="157" t="s">
        <v>353</v>
      </c>
      <c r="BR6" s="157" t="s">
        <v>355</v>
      </c>
      <c r="BS6" s="157" t="s">
        <v>415</v>
      </c>
      <c r="BT6" s="157" t="s">
        <v>314</v>
      </c>
      <c r="BU6" s="47" t="s">
        <v>315</v>
      </c>
    </row>
    <row r="7" spans="1:83" s="18" customFormat="1" ht="56">
      <c r="A7" s="137" t="s">
        <v>460</v>
      </c>
      <c r="B7" s="129" t="s">
        <v>9</v>
      </c>
      <c r="C7" s="131" t="str">
        <f>'Section III database '!E7</f>
        <v>Section III - Test Pump Efficiency of Bare Pump + Default Nominal Full Load Motor Efficiency + Default Part Load Loss Curve</v>
      </c>
      <c r="D7" s="127" t="s">
        <v>528</v>
      </c>
      <c r="E7" s="127" t="s">
        <v>528</v>
      </c>
      <c r="F7" s="130" t="s">
        <v>567</v>
      </c>
      <c r="G7" s="129" t="s">
        <v>9</v>
      </c>
      <c r="H7" s="129" t="s">
        <v>9</v>
      </c>
      <c r="I7" s="129">
        <v>50</v>
      </c>
      <c r="J7" s="129">
        <v>97</v>
      </c>
      <c r="K7" s="129" t="s">
        <v>9</v>
      </c>
      <c r="L7" s="129" t="s">
        <v>9</v>
      </c>
      <c r="M7" s="131">
        <f>'Section III database '!H7</f>
        <v>3600</v>
      </c>
      <c r="N7" s="132" t="str">
        <f>'Section III database '!F7</f>
        <v>ESFM</v>
      </c>
      <c r="O7" s="132">
        <f>'Section III database '!R7</f>
        <v>9</v>
      </c>
      <c r="P7" s="131">
        <f>'Section III database '!T7</f>
        <v>1.01</v>
      </c>
      <c r="Q7" s="131">
        <f>'Section III database '!J7</f>
        <v>60</v>
      </c>
      <c r="R7" s="61" t="str">
        <f>N7&amp;-I7&amp;-M7</f>
        <v>ESFM-50-3600</v>
      </c>
      <c r="S7" s="168">
        <f>VLOOKUP(R7,Lookup!$U$28:$V$227,2,FALSE)</f>
        <v>93</v>
      </c>
      <c r="T7" s="39">
        <f>'Section III database '!K7</f>
        <v>349.83050847457599</v>
      </c>
      <c r="U7" s="39">
        <f>'Section III database '!L7</f>
        <v>424.42976156276899</v>
      </c>
      <c r="V7" s="131">
        <f>'Section III database '!B16</f>
        <v>55.203000000000003</v>
      </c>
      <c r="W7" s="169">
        <f>'Section III database '!D16</f>
        <v>54.539545499999996</v>
      </c>
      <c r="X7" s="169">
        <f>'Section III database '!E16</f>
        <v>53.999549999999992</v>
      </c>
      <c r="Y7" s="169">
        <f>'Section III database '!E24</f>
        <v>4.1025641025641022</v>
      </c>
      <c r="Z7" s="158">
        <f>IF(V7/($Q7+$Y7)&gt;1,1,V7/($Q7+$Y7))</f>
        <v>0.86116680000000001</v>
      </c>
      <c r="AA7" s="158">
        <f>-0.4508*Z7^3+1.2399*Z7^2+-0.4301*Z7+0.641</f>
        <v>0.90222953451586818</v>
      </c>
      <c r="AB7" s="158">
        <f>AA7*$Y$7</f>
        <v>3.7014545005779205</v>
      </c>
      <c r="AC7" s="133">
        <f>V7-AB7</f>
        <v>51.501545499422079</v>
      </c>
      <c r="AD7" s="133">
        <f>((0.8*((0.75*$T$7)^3)/$T$7^3)+(0.2*(0.75*$T$7/$T$7)))*$AC$7</f>
        <v>25.107003430968266</v>
      </c>
      <c r="AE7" s="133">
        <f>((0.8*((0.5*$T$7)^3)/$T$7^3)+(0.2*(0.5*$T$7/$T$7)))*$AC$7</f>
        <v>10.300309099884416</v>
      </c>
      <c r="AF7" s="133">
        <f>((0.8*((0.25*$T$7)^3)/$T$7^3)+(0.2*(0.25*$T$7/$T$7)))*$AC$7</f>
        <v>3.2188465937138799</v>
      </c>
      <c r="AG7" s="158">
        <f>IF(AC7/($I7)&gt;1,1,AC7/($I7))</f>
        <v>1</v>
      </c>
      <c r="AH7" s="158">
        <f t="shared" ref="AH7:AJ7" si="0">IF(AD7/($I7)&gt;1,1,AD7/($I7))</f>
        <v>0.50214006861936533</v>
      </c>
      <c r="AI7" s="158">
        <f t="shared" si="0"/>
        <v>0.2060061819976883</v>
      </c>
      <c r="AJ7" s="158">
        <f t="shared" si="0"/>
        <v>6.4376931874277593E-2</v>
      </c>
      <c r="AK7" s="169">
        <f>INDEX(Lookup!F58:F61,MATCH('ER cert A.1_B.1_C.1'!$I$7,Lookup!$D$58:$D$61,-1))</f>
        <v>-1.5122</v>
      </c>
      <c r="AL7" s="169">
        <f>INDEX(Lookup!G58:G61,MATCH('ER cert A.1_B.1_C.1'!$I$7,Lookup!$D$58:$D$61,-1))</f>
        <v>3.0777000000000001</v>
      </c>
      <c r="AM7" s="169">
        <f>INDEX(Lookup!H58:H61,MATCH('ER cert A.1_B.1_C.1'!$I$7,Lookup!$D$58:$D$61,-1))</f>
        <v>0.1847</v>
      </c>
      <c r="AN7" s="158">
        <f>$AK$7*AG7^2+$AL$7*AG7+$AM$7</f>
        <v>1.7502000000000002</v>
      </c>
      <c r="AO7" s="158">
        <f t="shared" ref="AO7:AQ7" si="1">$AK$7*AH7^2+$AL$7*AH7+$AM$7</f>
        <v>1.3488433517083702</v>
      </c>
      <c r="AP7" s="158">
        <f t="shared" si="1"/>
        <v>0.75454965552872877</v>
      </c>
      <c r="AQ7" s="158">
        <f t="shared" si="1"/>
        <v>0.37656573764298407</v>
      </c>
      <c r="AR7" s="133">
        <f>(I7/(J7/100))-I7</f>
        <v>1.5463917525773212</v>
      </c>
      <c r="AS7" s="158">
        <f>AN7*$AR7</f>
        <v>2.7064948453608277</v>
      </c>
      <c r="AT7" s="158">
        <f t="shared" ref="AT7:AV7" si="2">AO7*$AR7</f>
        <v>2.0858402346005747</v>
      </c>
      <c r="AU7" s="158">
        <f t="shared" si="2"/>
        <v>1.166829364219685</v>
      </c>
      <c r="AV7" s="158">
        <f t="shared" si="2"/>
        <v>0.58231815099430584</v>
      </c>
      <c r="AW7" s="158">
        <f>AC7+AS7</f>
        <v>54.208040344782908</v>
      </c>
      <c r="AX7" s="158">
        <f t="shared" ref="AX7:AZ7" si="3">AD7+AT7</f>
        <v>27.192843665568841</v>
      </c>
      <c r="AY7" s="158">
        <f t="shared" si="3"/>
        <v>11.467138464104101</v>
      </c>
      <c r="AZ7" s="158">
        <f t="shared" si="3"/>
        <v>3.8011647447081858</v>
      </c>
      <c r="BA7" s="158">
        <f>0.25*SUM(AW7:AZ7)</f>
        <v>24.167296804791008</v>
      </c>
      <c r="BB7" s="158">
        <f>BA7/X7</f>
        <v>0.44754626297424721</v>
      </c>
      <c r="BC7" s="39">
        <f>'Section III database '!AC24</f>
        <v>52.30325905922431</v>
      </c>
      <c r="BD7" s="39">
        <f>'Section III database '!AB24</f>
        <v>56.184629268813275</v>
      </c>
      <c r="BE7" s="39">
        <f>'Section III database '!AD24</f>
        <v>56.689985716952151</v>
      </c>
      <c r="BF7" s="158">
        <f>IF((BC7/$I$7)&gt;=1,1,(BC7/$I$7))</f>
        <v>1</v>
      </c>
      <c r="BG7" s="158">
        <f>IF((BD7/$I$7)&gt;=1,1,(BD7/$I$7))</f>
        <v>1</v>
      </c>
      <c r="BH7" s="158">
        <f>IF((BE7/$I$7)&gt;=1,1,(BE7/$I$7))</f>
        <v>1</v>
      </c>
      <c r="BI7" s="158">
        <f>-0.4508*BF7^3+1.2399*BF7^2+-0.4301*BF7+0.641</f>
        <v>1</v>
      </c>
      <c r="BJ7" s="158">
        <f>-0.4508*BG7^3+1.2399*BG7^2+-0.4301*BG7+0.641</f>
        <v>1</v>
      </c>
      <c r="BK7" s="158">
        <f t="shared" ref="BK7" si="4">-0.4508*BH7^3+1.2399*BH7^2+-0.4301*BH7+0.641</f>
        <v>1</v>
      </c>
      <c r="BL7" s="158">
        <f>(I7/(S7/100))-I7</f>
        <v>3.7634408602150486</v>
      </c>
      <c r="BM7" s="158">
        <f>BI7*$BL$7</f>
        <v>3.7634408602150486</v>
      </c>
      <c r="BN7" s="158">
        <f>BJ7*$BL$7</f>
        <v>3.7634408602150486</v>
      </c>
      <c r="BO7" s="158">
        <f>BK7*$BL$7</f>
        <v>3.7634408602150486</v>
      </c>
      <c r="BP7" s="158">
        <f>BM7+BC7</f>
        <v>56.066699919439358</v>
      </c>
      <c r="BQ7" s="158">
        <f>BN7+BD7</f>
        <v>59.948070129028324</v>
      </c>
      <c r="BR7" s="158">
        <f>BO7+BE7</f>
        <v>60.4534265771672</v>
      </c>
      <c r="BS7" s="158">
        <f>0.3333*(BQ7)+0.3333*(BP7)+0.3333*(BR7)</f>
        <v>58.8168499353241</v>
      </c>
      <c r="BT7" s="61">
        <f>BS7/X7</f>
        <v>1.0892100014782367</v>
      </c>
      <c r="BU7" s="63">
        <f>(BT7-BB7)*100</f>
        <v>64.166373850398941</v>
      </c>
    </row>
    <row r="8" spans="1:83" s="18" customFormat="1" ht="29" thickBot="1">
      <c r="A8" s="138" t="s">
        <v>461</v>
      </c>
      <c r="B8" s="139" t="s">
        <v>463</v>
      </c>
      <c r="C8" s="139" t="s">
        <v>543</v>
      </c>
      <c r="D8" s="139"/>
      <c r="E8" s="139"/>
      <c r="F8" s="139" t="s">
        <v>531</v>
      </c>
      <c r="G8" s="139" t="s">
        <v>471</v>
      </c>
      <c r="H8" s="139" t="s">
        <v>471</v>
      </c>
      <c r="I8" s="139" t="s">
        <v>475</v>
      </c>
      <c r="J8" s="139" t="s">
        <v>471</v>
      </c>
      <c r="K8" s="139"/>
      <c r="L8" s="139" t="s">
        <v>471</v>
      </c>
      <c r="M8" s="139" t="s">
        <v>543</v>
      </c>
      <c r="N8" s="139" t="s">
        <v>543</v>
      </c>
      <c r="O8" s="139" t="s">
        <v>543</v>
      </c>
      <c r="P8" s="139" t="s">
        <v>543</v>
      </c>
      <c r="Q8" s="139" t="s">
        <v>543</v>
      </c>
      <c r="R8" s="139" t="s">
        <v>548</v>
      </c>
      <c r="S8" s="139" t="s">
        <v>545</v>
      </c>
      <c r="T8" s="139" t="s">
        <v>543</v>
      </c>
      <c r="U8" s="139" t="s">
        <v>543</v>
      </c>
      <c r="V8" s="139" t="s">
        <v>543</v>
      </c>
      <c r="W8" s="139" t="s">
        <v>543</v>
      </c>
      <c r="X8" s="139" t="s">
        <v>543</v>
      </c>
      <c r="Y8" s="139" t="s">
        <v>543</v>
      </c>
      <c r="Z8" s="139" t="s">
        <v>299</v>
      </c>
      <c r="AA8" s="139" t="s">
        <v>299</v>
      </c>
      <c r="AB8" s="139" t="s">
        <v>299</v>
      </c>
      <c r="AC8" s="139" t="s">
        <v>299</v>
      </c>
      <c r="AD8" s="139" t="s">
        <v>299</v>
      </c>
      <c r="AE8" s="139" t="s">
        <v>299</v>
      </c>
      <c r="AF8" s="139" t="s">
        <v>299</v>
      </c>
      <c r="AG8" s="139" t="s">
        <v>299</v>
      </c>
      <c r="AH8" s="139" t="s">
        <v>299</v>
      </c>
      <c r="AI8" s="139" t="s">
        <v>299</v>
      </c>
      <c r="AJ8" s="139" t="s">
        <v>299</v>
      </c>
      <c r="AK8" s="139" t="s">
        <v>583</v>
      </c>
      <c r="AL8" s="139" t="s">
        <v>583</v>
      </c>
      <c r="AM8" s="139" t="s">
        <v>583</v>
      </c>
      <c r="AN8" s="139" t="s">
        <v>299</v>
      </c>
      <c r="AO8" s="139" t="s">
        <v>299</v>
      </c>
      <c r="AP8" s="139" t="s">
        <v>299</v>
      </c>
      <c r="AQ8" s="139" t="s">
        <v>299</v>
      </c>
      <c r="AR8" s="139" t="s">
        <v>299</v>
      </c>
      <c r="AS8" s="139" t="s">
        <v>299</v>
      </c>
      <c r="AT8" s="139" t="s">
        <v>299</v>
      </c>
      <c r="AU8" s="139" t="s">
        <v>299</v>
      </c>
      <c r="AV8" s="139" t="s">
        <v>299</v>
      </c>
      <c r="AW8" s="139" t="s">
        <v>299</v>
      </c>
      <c r="AX8" s="139" t="s">
        <v>299</v>
      </c>
      <c r="AY8" s="139"/>
      <c r="AZ8" s="139" t="s">
        <v>299</v>
      </c>
      <c r="BA8" s="139" t="s">
        <v>299</v>
      </c>
      <c r="BB8" s="139" t="s">
        <v>299</v>
      </c>
      <c r="BC8" s="139" t="s">
        <v>543</v>
      </c>
      <c r="BD8" s="139" t="s">
        <v>543</v>
      </c>
      <c r="BE8" s="139" t="s">
        <v>543</v>
      </c>
      <c r="BF8" s="139" t="s">
        <v>299</v>
      </c>
      <c r="BG8" s="139" t="s">
        <v>299</v>
      </c>
      <c r="BH8" s="139" t="s">
        <v>299</v>
      </c>
      <c r="BI8" s="139" t="s">
        <v>299</v>
      </c>
      <c r="BJ8" s="139" t="s">
        <v>299</v>
      </c>
      <c r="BK8" s="139" t="s">
        <v>299</v>
      </c>
      <c r="BL8" s="139" t="s">
        <v>299</v>
      </c>
      <c r="BM8" s="139" t="s">
        <v>299</v>
      </c>
      <c r="BN8" s="139" t="s">
        <v>299</v>
      </c>
      <c r="BO8" s="139" t="s">
        <v>299</v>
      </c>
      <c r="BP8" s="139" t="s">
        <v>299</v>
      </c>
      <c r="BQ8" s="139" t="s">
        <v>299</v>
      </c>
      <c r="BR8" s="139" t="s">
        <v>299</v>
      </c>
      <c r="BS8" s="139" t="s">
        <v>299</v>
      </c>
      <c r="BT8" s="139" t="s">
        <v>299</v>
      </c>
      <c r="BU8" s="139" t="s">
        <v>299</v>
      </c>
    </row>
  </sheetData>
  <mergeCells count="1">
    <mergeCell ref="A4:BW4"/>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E8"/>
  <sheetViews>
    <sheetView topLeftCell="R1" zoomScale="80" zoomScaleNormal="80" zoomScalePageLayoutView="80" workbookViewId="0">
      <selection activeCell="V7" sqref="V7"/>
    </sheetView>
  </sheetViews>
  <sheetFormatPr baseColWidth="10" defaultColWidth="8.83203125" defaultRowHeight="14" x14ac:dyDescent="0"/>
  <cols>
    <col min="1" max="1" width="21.6640625" customWidth="1"/>
    <col min="2" max="2" width="28.1640625" customWidth="1"/>
    <col min="3" max="3" width="45.1640625" customWidth="1"/>
    <col min="4" max="5" width="21.33203125" customWidth="1"/>
    <col min="6" max="6" width="37.6640625" customWidth="1"/>
    <col min="7" max="7" width="15.33203125" customWidth="1"/>
    <col min="8" max="9" width="25.83203125" bestFit="1" customWidth="1"/>
    <col min="10" max="10" width="23.5" customWidth="1"/>
    <col min="11" max="12" width="18.83203125" customWidth="1"/>
    <col min="13" max="13" width="17.83203125" customWidth="1"/>
    <col min="14" max="14" width="18.5" customWidth="1"/>
    <col min="15" max="15" width="18.33203125" customWidth="1"/>
    <col min="16" max="16" width="20.33203125" customWidth="1"/>
    <col min="17" max="17" width="19" customWidth="1"/>
    <col min="18" max="18" width="28.83203125" customWidth="1"/>
    <col min="19" max="19" width="29.83203125" customWidth="1"/>
    <col min="20" max="20" width="30.5" customWidth="1"/>
    <col min="21"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6.5" customWidth="1"/>
    <col min="37" max="37" width="15.5" customWidth="1"/>
    <col min="38" max="38" width="18.5" customWidth="1"/>
    <col min="39" max="39" width="17.5" customWidth="1"/>
    <col min="40" max="40" width="17.33203125" customWidth="1"/>
    <col min="41" max="41" width="17" customWidth="1"/>
    <col min="42" max="42" width="21.5" customWidth="1"/>
    <col min="43" max="43" width="19.1640625" customWidth="1"/>
    <col min="44" max="44" width="21.6640625" customWidth="1"/>
    <col min="45" max="45" width="19.33203125" customWidth="1"/>
    <col min="46" max="46" width="15" customWidth="1"/>
    <col min="47" max="47" width="16.5" customWidth="1"/>
    <col min="48" max="48" width="15.5" customWidth="1"/>
    <col min="49" max="49" width="16.1640625" customWidth="1"/>
    <col min="50" max="50" width="16" customWidth="1"/>
    <col min="51" max="51" width="27" customWidth="1"/>
    <col min="52" max="52" width="22.5" customWidth="1"/>
    <col min="53" max="53" width="21.5" customWidth="1"/>
    <col min="54" max="56" width="28.1640625" customWidth="1"/>
    <col min="57" max="57" width="32.83203125" bestFit="1" customWidth="1"/>
    <col min="58" max="59" width="31.33203125" bestFit="1" customWidth="1"/>
    <col min="60" max="60" width="33.5" customWidth="1"/>
    <col min="61" max="61" width="33.33203125" customWidth="1"/>
    <col min="62" max="62" width="35" style="22" customWidth="1"/>
    <col min="63" max="63" width="31" customWidth="1"/>
    <col min="64" max="64" width="34.83203125" customWidth="1"/>
    <col min="65" max="65" width="31.5" customWidth="1"/>
    <col min="66" max="66" width="20.5" customWidth="1"/>
    <col min="67" max="67" width="21.5" customWidth="1"/>
    <col min="68" max="69" width="22.1640625" bestFit="1" customWidth="1"/>
    <col min="70" max="70" width="22.5" customWidth="1"/>
    <col min="71" max="71" width="26.33203125" customWidth="1"/>
    <col min="72" max="72" width="22.33203125" customWidth="1"/>
    <col min="73" max="73" width="20.1640625" customWidth="1"/>
    <col min="74" max="74" width="18.83203125" customWidth="1"/>
    <col min="75" max="75" width="24.83203125" customWidth="1"/>
    <col min="76" max="76" width="21.5" customWidth="1"/>
    <col min="77" max="77" width="24.83203125" customWidth="1"/>
    <col min="78" max="78" width="23.5" customWidth="1"/>
    <col min="79" max="79" width="24.83203125" customWidth="1"/>
    <col min="80" max="80" width="22.6640625" customWidth="1"/>
    <col min="81" max="81" width="18.5" customWidth="1"/>
    <col min="82" max="82" width="18.83203125" customWidth="1"/>
    <col min="83" max="83" width="12.83203125" customWidth="1"/>
  </cols>
  <sheetData>
    <row r="3" spans="1:83" ht="15" thickBot="1"/>
    <row r="4" spans="1:83" ht="37" thickBot="1">
      <c r="A4" s="201" t="s">
        <v>612</v>
      </c>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3"/>
      <c r="BX4" s="170"/>
      <c r="BY4" s="170"/>
      <c r="BZ4" s="170"/>
      <c r="CA4" s="170"/>
      <c r="CB4" s="170"/>
      <c r="CC4" s="170"/>
      <c r="CD4" s="170"/>
      <c r="CE4" s="170"/>
    </row>
    <row r="5" spans="1:83" ht="32">
      <c r="A5" s="135"/>
      <c r="B5" s="134"/>
      <c r="C5" s="134"/>
      <c r="D5" s="134"/>
      <c r="E5" s="134"/>
      <c r="F5" s="134"/>
      <c r="G5" s="134"/>
      <c r="H5" s="134"/>
      <c r="I5" s="134" t="s">
        <v>547</v>
      </c>
      <c r="J5" s="134"/>
      <c r="K5" s="134"/>
      <c r="L5" s="134" t="s">
        <v>356</v>
      </c>
      <c r="M5" s="134"/>
      <c r="N5" s="134" t="s">
        <v>341</v>
      </c>
      <c r="O5" s="134" t="s">
        <v>544</v>
      </c>
      <c r="P5" s="134" t="s">
        <v>540</v>
      </c>
      <c r="Q5" s="159"/>
      <c r="R5" s="159" t="s">
        <v>541</v>
      </c>
      <c r="S5" s="159" t="s">
        <v>342</v>
      </c>
      <c r="T5" s="159" t="s">
        <v>343</v>
      </c>
      <c r="U5" s="68" t="s">
        <v>480</v>
      </c>
      <c r="V5" s="68" t="s">
        <v>384</v>
      </c>
      <c r="W5" s="68" t="s">
        <v>380</v>
      </c>
      <c r="X5" s="159" t="s">
        <v>360</v>
      </c>
      <c r="Y5" s="159" t="s">
        <v>368</v>
      </c>
      <c r="Z5" s="159" t="s">
        <v>371</v>
      </c>
      <c r="AA5" s="159" t="s">
        <v>374</v>
      </c>
      <c r="AB5" s="159" t="s">
        <v>344</v>
      </c>
      <c r="AC5" s="159" t="s">
        <v>573</v>
      </c>
      <c r="AD5" s="159" t="s">
        <v>574</v>
      </c>
      <c r="AE5" s="159" t="s">
        <v>575</v>
      </c>
      <c r="AF5" s="159" t="s">
        <v>497</v>
      </c>
      <c r="AG5" s="159" t="s">
        <v>498</v>
      </c>
      <c r="AH5" s="159" t="s">
        <v>579</v>
      </c>
      <c r="AI5" s="159" t="s">
        <v>580</v>
      </c>
      <c r="AJ5" s="159" t="s">
        <v>431</v>
      </c>
      <c r="AK5" s="159" t="s">
        <v>432</v>
      </c>
      <c r="AL5" s="159" t="s">
        <v>433</v>
      </c>
      <c r="AM5" s="159" t="s">
        <v>584</v>
      </c>
      <c r="AN5" s="159" t="s">
        <v>586</v>
      </c>
      <c r="AO5" s="159" t="s">
        <v>587</v>
      </c>
      <c r="AP5" s="159" t="s">
        <v>588</v>
      </c>
      <c r="AQ5" s="159" t="s">
        <v>418</v>
      </c>
      <c r="AR5" s="159" t="s">
        <v>589</v>
      </c>
      <c r="AS5" s="159" t="s">
        <v>594</v>
      </c>
      <c r="AT5" s="159" t="s">
        <v>597</v>
      </c>
      <c r="AU5" s="159" t="s">
        <v>598</v>
      </c>
      <c r="AV5" s="68" t="s">
        <v>419</v>
      </c>
      <c r="AW5" s="68" t="s">
        <v>428</v>
      </c>
      <c r="AX5" s="68" t="s">
        <v>427</v>
      </c>
      <c r="AY5" s="68" t="s">
        <v>446</v>
      </c>
      <c r="AZ5" s="68" t="s">
        <v>604</v>
      </c>
      <c r="BA5" s="68" t="s">
        <v>605</v>
      </c>
      <c r="BB5" s="68" t="s">
        <v>566</v>
      </c>
      <c r="BC5" s="68" t="s">
        <v>387</v>
      </c>
      <c r="BD5" s="68" t="s">
        <v>389</v>
      </c>
      <c r="BE5" s="159" t="s">
        <v>606</v>
      </c>
      <c r="BF5" s="159" t="s">
        <v>607</v>
      </c>
      <c r="BG5" s="159" t="s">
        <v>608</v>
      </c>
      <c r="BH5" s="159" t="s">
        <v>609</v>
      </c>
      <c r="BI5" s="159" t="s">
        <v>610</v>
      </c>
      <c r="BJ5" s="159" t="s">
        <v>611</v>
      </c>
      <c r="BK5" s="68" t="s">
        <v>527</v>
      </c>
      <c r="BL5" s="159" t="s">
        <v>407</v>
      </c>
      <c r="BM5" s="159" t="s">
        <v>406</v>
      </c>
      <c r="BN5" s="159" t="s">
        <v>408</v>
      </c>
      <c r="BO5" s="68" t="s">
        <v>410</v>
      </c>
      <c r="BP5" s="68" t="s">
        <v>409</v>
      </c>
      <c r="BQ5" s="68" t="s">
        <v>411</v>
      </c>
      <c r="BR5" s="71" t="s">
        <v>412</v>
      </c>
      <c r="BS5" s="71" t="s">
        <v>413</v>
      </c>
      <c r="BT5" s="72" t="s">
        <v>414</v>
      </c>
    </row>
    <row r="6" spans="1:83" s="18" customFormat="1" ht="56">
      <c r="A6" s="136" t="s">
        <v>459</v>
      </c>
      <c r="B6" s="127" t="s">
        <v>462</v>
      </c>
      <c r="C6" s="127" t="s">
        <v>615</v>
      </c>
      <c r="D6" s="127" t="s">
        <v>613</v>
      </c>
      <c r="E6" s="127" t="s">
        <v>529</v>
      </c>
      <c r="F6" s="127" t="s">
        <v>539</v>
      </c>
      <c r="G6" s="127" t="s">
        <v>470</v>
      </c>
      <c r="H6" s="127" t="s">
        <v>472</v>
      </c>
      <c r="I6" s="127" t="s">
        <v>474</v>
      </c>
      <c r="J6" s="127" t="s">
        <v>569</v>
      </c>
      <c r="K6" s="127" t="s">
        <v>568</v>
      </c>
      <c r="L6" s="127" t="s">
        <v>478</v>
      </c>
      <c r="M6" s="127" t="s">
        <v>476</v>
      </c>
      <c r="N6" s="127" t="s">
        <v>525</v>
      </c>
      <c r="O6" s="127" t="s">
        <v>477</v>
      </c>
      <c r="P6" s="127" t="s">
        <v>483</v>
      </c>
      <c r="Q6" s="127" t="s">
        <v>565</v>
      </c>
      <c r="R6" s="127" t="s">
        <v>532</v>
      </c>
      <c r="S6" s="127" t="s">
        <v>519</v>
      </c>
      <c r="T6" s="127" t="s">
        <v>520</v>
      </c>
      <c r="U6" s="157" t="s">
        <v>479</v>
      </c>
      <c r="V6" s="127" t="s">
        <v>484</v>
      </c>
      <c r="W6" s="127" t="s">
        <v>485</v>
      </c>
      <c r="X6" s="54" t="s">
        <v>486</v>
      </c>
      <c r="Y6" s="157" t="s">
        <v>487</v>
      </c>
      <c r="Z6" s="157" t="s">
        <v>490</v>
      </c>
      <c r="AA6" s="157" t="s">
        <v>337</v>
      </c>
      <c r="AB6" s="127" t="s">
        <v>493</v>
      </c>
      <c r="AC6" s="127" t="s">
        <v>494</v>
      </c>
      <c r="AD6" s="127" t="s">
        <v>571</v>
      </c>
      <c r="AE6" s="127" t="s">
        <v>572</v>
      </c>
      <c r="AF6" s="157" t="s">
        <v>512</v>
      </c>
      <c r="AG6" s="157" t="s">
        <v>513</v>
      </c>
      <c r="AH6" s="157" t="s">
        <v>581</v>
      </c>
      <c r="AI6" s="157" t="s">
        <v>582</v>
      </c>
      <c r="AJ6" s="127" t="s">
        <v>576</v>
      </c>
      <c r="AK6" s="127" t="s">
        <v>577</v>
      </c>
      <c r="AL6" s="127" t="s">
        <v>578</v>
      </c>
      <c r="AM6" s="157" t="s">
        <v>585</v>
      </c>
      <c r="AN6" s="157" t="s">
        <v>591</v>
      </c>
      <c r="AO6" s="157" t="s">
        <v>592</v>
      </c>
      <c r="AP6" s="157" t="s">
        <v>593</v>
      </c>
      <c r="AQ6" s="127" t="s">
        <v>570</v>
      </c>
      <c r="AR6" s="157" t="s">
        <v>590</v>
      </c>
      <c r="AS6" s="157" t="s">
        <v>595</v>
      </c>
      <c r="AT6" s="157" t="s">
        <v>596</v>
      </c>
      <c r="AU6" s="157" t="s">
        <v>599</v>
      </c>
      <c r="AV6" s="127" t="s">
        <v>600</v>
      </c>
      <c r="AW6" s="127" t="s">
        <v>601</v>
      </c>
      <c r="AX6" s="127" t="s">
        <v>602</v>
      </c>
      <c r="AY6" s="127" t="s">
        <v>603</v>
      </c>
      <c r="AZ6" s="127" t="s">
        <v>516</v>
      </c>
      <c r="BA6" s="127" t="s">
        <v>518</v>
      </c>
      <c r="BB6" s="157" t="s">
        <v>66</v>
      </c>
      <c r="BC6" s="157" t="s">
        <v>67</v>
      </c>
      <c r="BD6" s="157" t="s">
        <v>65</v>
      </c>
      <c r="BE6" s="157" t="s">
        <v>304</v>
      </c>
      <c r="BF6" s="157" t="s">
        <v>303</v>
      </c>
      <c r="BG6" s="157" t="s">
        <v>305</v>
      </c>
      <c r="BH6" s="157" t="s">
        <v>310</v>
      </c>
      <c r="BI6" s="157" t="s">
        <v>309</v>
      </c>
      <c r="BJ6" s="157" t="s">
        <v>311</v>
      </c>
      <c r="BK6" s="128" t="s">
        <v>526</v>
      </c>
      <c r="BL6" s="157" t="s">
        <v>320</v>
      </c>
      <c r="BM6" s="157" t="s">
        <v>319</v>
      </c>
      <c r="BN6" s="157" t="s">
        <v>321</v>
      </c>
      <c r="BO6" s="157" t="s">
        <v>354</v>
      </c>
      <c r="BP6" s="157" t="s">
        <v>353</v>
      </c>
      <c r="BQ6" s="157" t="s">
        <v>355</v>
      </c>
      <c r="BR6" s="157" t="s">
        <v>415</v>
      </c>
      <c r="BS6" s="157" t="s">
        <v>314</v>
      </c>
      <c r="BT6" s="47" t="s">
        <v>315</v>
      </c>
    </row>
    <row r="7" spans="1:83" s="18" customFormat="1" ht="42">
      <c r="A7" s="137" t="s">
        <v>460</v>
      </c>
      <c r="B7" s="129" t="s">
        <v>9</v>
      </c>
      <c r="C7" s="131" t="str">
        <f>'Section III database '!E7</f>
        <v>Section III - Test Pump Efficiency of Bare Pump + Default Nominal Full Load Motor Efficiency + Default Part Load Loss Curve</v>
      </c>
      <c r="D7" s="127" t="s">
        <v>530</v>
      </c>
      <c r="E7" s="127" t="s">
        <v>528</v>
      </c>
      <c r="F7" s="130" t="s">
        <v>619</v>
      </c>
      <c r="G7" s="129" t="s">
        <v>9</v>
      </c>
      <c r="H7" s="129" t="s">
        <v>9</v>
      </c>
      <c r="I7" s="129">
        <v>50</v>
      </c>
      <c r="J7" s="129" t="s">
        <v>9</v>
      </c>
      <c r="K7" s="129" t="s">
        <v>9</v>
      </c>
      <c r="L7" s="131">
        <f>'Section III database '!H7</f>
        <v>3600</v>
      </c>
      <c r="M7" s="132" t="str">
        <f>'Section III database '!F7</f>
        <v>ESFM</v>
      </c>
      <c r="N7" s="132">
        <f>'Section III database '!R7</f>
        <v>9</v>
      </c>
      <c r="O7" s="131">
        <f>'Section III database '!T7</f>
        <v>1.01</v>
      </c>
      <c r="P7" s="131">
        <f>'Section III database '!J7</f>
        <v>60</v>
      </c>
      <c r="Q7" s="61" t="str">
        <f>M7&amp;-I7&amp;-L7</f>
        <v>ESFM-50-3600</v>
      </c>
      <c r="R7" s="168">
        <f>VLOOKUP(Q7,Lookup!$U$28:$V$227,2,FALSE)</f>
        <v>93</v>
      </c>
      <c r="S7" s="39">
        <f>'Section III database '!K7</f>
        <v>349.83050847457599</v>
      </c>
      <c r="T7" s="39">
        <f>'Section III database '!L7</f>
        <v>424.42976156276899</v>
      </c>
      <c r="U7" s="131">
        <f>'Section III database '!B16</f>
        <v>55.203000000000003</v>
      </c>
      <c r="V7" s="169">
        <f>'Section III database '!D16</f>
        <v>54.539545499999996</v>
      </c>
      <c r="W7" s="169">
        <f>'Section III database '!E16</f>
        <v>53.999549999999992</v>
      </c>
      <c r="X7" s="169">
        <f>'Section III database '!E24</f>
        <v>4.1025641025641022</v>
      </c>
      <c r="Y7" s="158">
        <f>IF(U7/($P7+$X7)&gt;1,1,U7/($P7+$X7))</f>
        <v>0.86116680000000001</v>
      </c>
      <c r="Z7" s="158">
        <f>-0.4508*Y7^3+1.2399*Y7^2+-0.4301*Y7+0.641</f>
        <v>0.90222953451586818</v>
      </c>
      <c r="AA7" s="158">
        <f>Z7*$X$7</f>
        <v>3.7014545005779205</v>
      </c>
      <c r="AB7" s="133">
        <f>U7-AA7</f>
        <v>51.501545499422079</v>
      </c>
      <c r="AC7" s="133">
        <f>((0.8*((0.75*$S$7)^3)/$S$7^3)+(0.2*(0.75*$S$7/$S$7)))*$AB$7</f>
        <v>25.107003430968266</v>
      </c>
      <c r="AD7" s="133">
        <f>((0.8*((0.5*$S$7)^3)/$S$7^3)+(0.2*(0.5*$S$7/$S$7)))*$AB$7</f>
        <v>10.300309099884416</v>
      </c>
      <c r="AE7" s="133">
        <f>((0.8*((0.25*$S$7)^3)/$S$7^3)+(0.2*(0.25*$S$7/$S$7)))*$AB$7</f>
        <v>3.2188465937138799</v>
      </c>
      <c r="AF7" s="158">
        <f>IF(AB7/($I7)&gt;1,1,AB7/($I7))</f>
        <v>1</v>
      </c>
      <c r="AG7" s="158">
        <f>IF(AC7/($I7)&gt;1,1,AC7/($I7))</f>
        <v>0.50214006861936533</v>
      </c>
      <c r="AH7" s="158">
        <f>IF(AD7/($I7)&gt;1,1,AD7/($I7))</f>
        <v>0.2060061819976883</v>
      </c>
      <c r="AI7" s="158">
        <f>IF(AE7/($I7)&gt;1,1,AE7/($I7))</f>
        <v>6.4376931874277593E-2</v>
      </c>
      <c r="AJ7" s="169">
        <f>INDEX(Lookup!F58:F61,MATCH('ER cert A.1_C.1'!$I$7,Lookup!$D$58:$D$61,-1))</f>
        <v>-1.5122</v>
      </c>
      <c r="AK7" s="169">
        <f>INDEX(Lookup!G58:G61,MATCH('ER cert A.1_C.1'!$I$7,Lookup!$D$58:$D$61,-1))</f>
        <v>3.0777000000000001</v>
      </c>
      <c r="AL7" s="169">
        <f>INDEX(Lookup!H58:H61,MATCH('ER cert A.1_C.1'!$I$7,Lookup!$D$58:$D$61,-1))</f>
        <v>0.1847</v>
      </c>
      <c r="AM7" s="158">
        <f>$AJ$7*AF7^2+$AK$7*AF7+$AL$7</f>
        <v>1.7502000000000002</v>
      </c>
      <c r="AN7" s="158">
        <f t="shared" ref="AN7:AP7" si="0">$AJ$7*AG7^2+$AK$7*AG7+$AL$7</f>
        <v>1.3488433517083702</v>
      </c>
      <c r="AO7" s="158">
        <f t="shared" si="0"/>
        <v>0.75454965552872877</v>
      </c>
      <c r="AP7" s="158">
        <f t="shared" si="0"/>
        <v>0.37656573764298407</v>
      </c>
      <c r="AQ7" s="133">
        <f>(I7/(R7/100))-I7</f>
        <v>3.7634408602150486</v>
      </c>
      <c r="AR7" s="158">
        <f>AM7*$AQ7</f>
        <v>6.5867741935483792</v>
      </c>
      <c r="AS7" s="158">
        <f t="shared" ref="AS7:AU7" si="1">AN7*$AQ7</f>
        <v>5.0762921838486985</v>
      </c>
      <c r="AT7" s="158">
        <f t="shared" si="1"/>
        <v>2.8397030046780078</v>
      </c>
      <c r="AU7" s="158">
        <f t="shared" si="1"/>
        <v>1.4171828836026263</v>
      </c>
      <c r="AV7" s="158">
        <f>AB7+AR7</f>
        <v>58.088319692970458</v>
      </c>
      <c r="AW7" s="158">
        <f t="shared" ref="AW7:AY7" si="2">AC7+AS7</f>
        <v>30.183295614816963</v>
      </c>
      <c r="AX7" s="158">
        <f t="shared" si="2"/>
        <v>13.140012104562423</v>
      </c>
      <c r="AY7" s="158">
        <f t="shared" si="2"/>
        <v>4.6360294773165061</v>
      </c>
      <c r="AZ7" s="158">
        <f>0.25*SUM(AV7:AY7)</f>
        <v>26.511914222416589</v>
      </c>
      <c r="BA7" s="158">
        <f>AZ7/W7</f>
        <v>0.49096546586807838</v>
      </c>
      <c r="BB7" s="39">
        <f>'Section III database '!AC24</f>
        <v>52.30325905922431</v>
      </c>
      <c r="BC7" s="39">
        <f>'Section III database '!AB24</f>
        <v>56.184629268813275</v>
      </c>
      <c r="BD7" s="39">
        <f>'Section III database '!AD24</f>
        <v>56.689985716952151</v>
      </c>
      <c r="BE7" s="158">
        <f>IF((BB7/$I$7)&gt;=1,1,(BB7/$I$7))</f>
        <v>1</v>
      </c>
      <c r="BF7" s="158">
        <f>IF((BC7/$I$7)&gt;=1,1,(BC7/$I$7))</f>
        <v>1</v>
      </c>
      <c r="BG7" s="158">
        <f>IF((BD7/$I$7)&gt;=1,1,(BD7/$I$7))</f>
        <v>1</v>
      </c>
      <c r="BH7" s="158">
        <f>-0.4508*BE7^3+1.2399*BE7^2+-0.4301*BE7+0.641</f>
        <v>1</v>
      </c>
      <c r="BI7" s="158">
        <f>-0.4508*BF7^3+1.2399*BF7^2+-0.4301*BF7+0.641</f>
        <v>1</v>
      </c>
      <c r="BJ7" s="158">
        <f t="shared" ref="BJ7" si="3">-0.4508*BG7^3+1.2399*BG7^2+-0.4301*BG7+0.641</f>
        <v>1</v>
      </c>
      <c r="BK7" s="158">
        <f>(I7/(R7/100))-I7</f>
        <v>3.7634408602150486</v>
      </c>
      <c r="BL7" s="158">
        <f>BH7*$BK$7</f>
        <v>3.7634408602150486</v>
      </c>
      <c r="BM7" s="158">
        <f>BI7*$BK$7</f>
        <v>3.7634408602150486</v>
      </c>
      <c r="BN7" s="158">
        <f>BJ7*$BK$7</f>
        <v>3.7634408602150486</v>
      </c>
      <c r="BO7" s="158">
        <f>BL7+BB7</f>
        <v>56.066699919439358</v>
      </c>
      <c r="BP7" s="158">
        <f>BM7+BC7</f>
        <v>59.948070129028324</v>
      </c>
      <c r="BQ7" s="158">
        <f>BN7+BD7</f>
        <v>60.4534265771672</v>
      </c>
      <c r="BR7" s="158">
        <f>0.3333*(BP7)+0.3333*(BO7)+0.3333*(BQ7)</f>
        <v>58.8168499353241</v>
      </c>
      <c r="BS7" s="61">
        <f>BR7/W7</f>
        <v>1.0892100014782367</v>
      </c>
      <c r="BT7" s="63">
        <f>(BS7-BA7)*100</f>
        <v>59.824453561015822</v>
      </c>
    </row>
    <row r="8" spans="1:83" s="18" customFormat="1" ht="29" thickBot="1">
      <c r="A8" s="138" t="s">
        <v>461</v>
      </c>
      <c r="B8" s="139" t="s">
        <v>463</v>
      </c>
      <c r="C8" s="139" t="s">
        <v>543</v>
      </c>
      <c r="D8" s="139"/>
      <c r="E8" s="139"/>
      <c r="F8" s="139" t="s">
        <v>531</v>
      </c>
      <c r="G8" s="139" t="s">
        <v>471</v>
      </c>
      <c r="H8" s="139" t="s">
        <v>471</v>
      </c>
      <c r="I8" s="139" t="s">
        <v>475</v>
      </c>
      <c r="J8" s="139"/>
      <c r="K8" s="139" t="s">
        <v>471</v>
      </c>
      <c r="L8" s="139" t="s">
        <v>543</v>
      </c>
      <c r="M8" s="139" t="s">
        <v>543</v>
      </c>
      <c r="N8" s="139" t="s">
        <v>543</v>
      </c>
      <c r="O8" s="139" t="s">
        <v>543</v>
      </c>
      <c r="P8" s="139" t="s">
        <v>543</v>
      </c>
      <c r="Q8" s="139" t="s">
        <v>548</v>
      </c>
      <c r="R8" s="139" t="s">
        <v>545</v>
      </c>
      <c r="S8" s="139" t="s">
        <v>543</v>
      </c>
      <c r="T8" s="139" t="s">
        <v>543</v>
      </c>
      <c r="U8" s="139" t="s">
        <v>543</v>
      </c>
      <c r="V8" s="139" t="s">
        <v>543</v>
      </c>
      <c r="W8" s="139" t="s">
        <v>543</v>
      </c>
      <c r="X8" s="139" t="s">
        <v>543</v>
      </c>
      <c r="Y8" s="139" t="s">
        <v>299</v>
      </c>
      <c r="Z8" s="139" t="s">
        <v>299</v>
      </c>
      <c r="AA8" s="139" t="s">
        <v>299</v>
      </c>
      <c r="AB8" s="139" t="s">
        <v>299</v>
      </c>
      <c r="AC8" s="139" t="s">
        <v>299</v>
      </c>
      <c r="AD8" s="139" t="s">
        <v>299</v>
      </c>
      <c r="AE8" s="139" t="s">
        <v>299</v>
      </c>
      <c r="AF8" s="139" t="s">
        <v>299</v>
      </c>
      <c r="AG8" s="139" t="s">
        <v>299</v>
      </c>
      <c r="AH8" s="139" t="s">
        <v>299</v>
      </c>
      <c r="AI8" s="139" t="s">
        <v>299</v>
      </c>
      <c r="AJ8" s="139" t="s">
        <v>583</v>
      </c>
      <c r="AK8" s="139" t="s">
        <v>583</v>
      </c>
      <c r="AL8" s="139" t="s">
        <v>583</v>
      </c>
      <c r="AM8" s="139" t="s">
        <v>299</v>
      </c>
      <c r="AN8" s="139" t="s">
        <v>299</v>
      </c>
      <c r="AO8" s="139" t="s">
        <v>299</v>
      </c>
      <c r="AP8" s="139" t="s">
        <v>299</v>
      </c>
      <c r="AQ8" s="139" t="s">
        <v>299</v>
      </c>
      <c r="AR8" s="139" t="s">
        <v>299</v>
      </c>
      <c r="AS8" s="139" t="s">
        <v>299</v>
      </c>
      <c r="AT8" s="139" t="s">
        <v>299</v>
      </c>
      <c r="AU8" s="139" t="s">
        <v>299</v>
      </c>
      <c r="AV8" s="139" t="s">
        <v>299</v>
      </c>
      <c r="AW8" s="139" t="s">
        <v>299</v>
      </c>
      <c r="AX8" s="139"/>
      <c r="AY8" s="139" t="s">
        <v>299</v>
      </c>
      <c r="AZ8" s="139" t="s">
        <v>299</v>
      </c>
      <c r="BA8" s="139" t="s">
        <v>299</v>
      </c>
      <c r="BB8" s="139" t="s">
        <v>543</v>
      </c>
      <c r="BC8" s="139" t="s">
        <v>543</v>
      </c>
      <c r="BD8" s="139" t="s">
        <v>543</v>
      </c>
      <c r="BE8" s="139" t="s">
        <v>299</v>
      </c>
      <c r="BF8" s="139" t="s">
        <v>299</v>
      </c>
      <c r="BG8" s="139" t="s">
        <v>299</v>
      </c>
      <c r="BH8" s="139" t="s">
        <v>299</v>
      </c>
      <c r="BI8" s="139" t="s">
        <v>299</v>
      </c>
      <c r="BJ8" s="139" t="s">
        <v>299</v>
      </c>
      <c r="BK8" s="139" t="s">
        <v>299</v>
      </c>
      <c r="BL8" s="139" t="s">
        <v>299</v>
      </c>
      <c r="BM8" s="139" t="s">
        <v>299</v>
      </c>
      <c r="BN8" s="139" t="s">
        <v>299</v>
      </c>
      <c r="BO8" s="139" t="s">
        <v>299</v>
      </c>
      <c r="BP8" s="139" t="s">
        <v>299</v>
      </c>
      <c r="BQ8" s="139" t="s">
        <v>299</v>
      </c>
      <c r="BR8" s="139" t="s">
        <v>299</v>
      </c>
      <c r="BS8" s="139" t="s">
        <v>299</v>
      </c>
      <c r="BT8" s="139" t="s">
        <v>299</v>
      </c>
    </row>
  </sheetData>
  <mergeCells count="1">
    <mergeCell ref="A4:BW4"/>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Database Input Tab all Sections</vt:lpstr>
      <vt:lpstr>Section III database </vt:lpstr>
      <vt:lpstr>Section IV database</vt:lpstr>
      <vt:lpstr>Section V database</vt:lpstr>
      <vt:lpstr>Section VI database</vt:lpstr>
      <vt:lpstr>Section VII database</vt:lpstr>
      <vt:lpstr>ER cert A.1 to B.1</vt:lpstr>
      <vt:lpstr>ER cert A.1_B.1_C.1</vt:lpstr>
      <vt:lpstr>ER cert A.1_C.1</vt:lpstr>
      <vt:lpstr>ER cert B.1_C.1</vt:lpstr>
      <vt:lpstr>ER cert B.2_C.1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2016-11-16T20:43:42Z</dcterms:modified>
</cp:coreProperties>
</file>