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Edmar Beatingo\Downloads\"/>
    </mc:Choice>
  </mc:AlternateContent>
  <xr:revisionPtr revIDLastSave="0" documentId="13_ncr:1_{93BA269A-62F7-471D-BA3A-1EBE80E2446D}" xr6:coauthVersionLast="47" xr6:coauthVersionMax="47" xr10:uidLastSave="{00000000-0000-0000-0000-000000000000}"/>
  <bookViews>
    <workbookView xWindow="-108" yWindow="-108" windowWidth="23256" windowHeight="12456" tabRatio="546" activeTab="5" xr2:uid="{0D5B794A-ECEF-4E7A-A070-83F7DCE0479D}"/>
  </bookViews>
  <sheets>
    <sheet name="Week-1" sheetId="1" r:id="rId1"/>
    <sheet name="Week-2" sheetId="2" r:id="rId2"/>
    <sheet name="Week-3" sheetId="4" r:id="rId3"/>
    <sheet name="Week-4" sheetId="5" r:id="rId4"/>
    <sheet name="Week-5" sheetId="6" r:id="rId5"/>
    <sheet name="Chart" sheetId="7" r:id="rId6"/>
  </sheets>
  <definedNames>
    <definedName name="_xlnm._FilterDatabase" localSheetId="0" hidden="1">'Week-1'!$D$1:$X$59</definedName>
    <definedName name="_xlnm._FilterDatabase" localSheetId="1" hidden="1">'Week-2'!$D$1:$AJ$19</definedName>
    <definedName name="_xlnm._FilterDatabase" localSheetId="2" hidden="1">'Week-3'!$D$1:$BZ$60</definedName>
    <definedName name="_xlnm._FilterDatabase" localSheetId="3" hidden="1">'Week-4'!$D$1:$CD$60</definedName>
    <definedName name="_xlnm._FilterDatabase" localSheetId="4" hidden="1">'Week-5'!$D$1:$CD$60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4" i="6" l="1" a="1"/>
  <c r="M24" i="6"/>
  <c r="L25" i="6"/>
  <c r="M25" i="6" s="1" a="1"/>
  <c r="M25" i="6" s="1"/>
  <c r="L24" i="6"/>
  <c r="L23" i="6"/>
  <c r="M23" i="6" s="1" a="1"/>
  <c r="M23" i="6" s="1"/>
  <c r="L22" i="6"/>
  <c r="L21" i="6"/>
  <c r="M21" i="6" s="1" a="1"/>
  <c r="M21" i="6" s="1"/>
  <c r="L20" i="6"/>
  <c r="M20" i="6" s="1" a="1"/>
  <c r="M20" i="6" s="1"/>
  <c r="L19" i="6"/>
  <c r="M19" i="6" s="1" a="1"/>
  <c r="M19" i="6" s="1"/>
  <c r="L18" i="6"/>
  <c r="M18" i="6" s="1" a="1"/>
  <c r="M18" i="6" s="1"/>
  <c r="L17" i="6"/>
  <c r="M17" i="6" s="1" a="1"/>
  <c r="M17" i="6" s="1"/>
  <c r="L16" i="6"/>
  <c r="M16" i="6" s="1" a="1"/>
  <c r="M16" i="6" s="1"/>
  <c r="M22" i="6" a="1"/>
  <c r="M22" i="6"/>
  <c r="H60" i="6"/>
  <c r="I60" i="6" s="1" a="1"/>
  <c r="I60" i="6" s="1"/>
  <c r="H59" i="6"/>
  <c r="I59" i="6" s="1" a="1"/>
  <c r="I59" i="6" s="1"/>
  <c r="H58" i="6"/>
  <c r="I58" i="6" s="1" a="1"/>
  <c r="I58" i="6" s="1"/>
  <c r="H57" i="6"/>
  <c r="I57" i="6" s="1" a="1"/>
  <c r="I57" i="6" s="1"/>
  <c r="H56" i="6"/>
  <c r="I56" i="6" s="1" a="1"/>
  <c r="I56" i="6" s="1"/>
  <c r="H55" i="6"/>
  <c r="I55" i="6" s="1" a="1"/>
  <c r="I55" i="6" s="1"/>
  <c r="H54" i="6"/>
  <c r="I54" i="6" s="1" a="1"/>
  <c r="I54" i="6" s="1"/>
  <c r="H53" i="6"/>
  <c r="I53" i="6" s="1" a="1"/>
  <c r="I53" i="6" s="1"/>
  <c r="H52" i="6"/>
  <c r="H51" i="6"/>
  <c r="I51" i="6" s="1" a="1"/>
  <c r="I51" i="6" s="1"/>
  <c r="H50" i="6"/>
  <c r="I50" i="6" s="1" a="1"/>
  <c r="I50" i="6" s="1"/>
  <c r="H49" i="6"/>
  <c r="I49" i="6" s="1" a="1"/>
  <c r="I49" i="6" s="1"/>
  <c r="H48" i="6"/>
  <c r="I48" i="6" s="1" a="1"/>
  <c r="I48" i="6" s="1"/>
  <c r="H47" i="6"/>
  <c r="I47" i="6" s="1" a="1"/>
  <c r="I47" i="6" s="1"/>
  <c r="H46" i="6"/>
  <c r="I46" i="6" s="1" a="1"/>
  <c r="I46" i="6" s="1"/>
  <c r="H45" i="6"/>
  <c r="I45" i="6" s="1" a="1"/>
  <c r="I45" i="6" s="1"/>
  <c r="H44" i="6"/>
  <c r="I44" i="6" s="1" a="1"/>
  <c r="I44" i="6" s="1"/>
  <c r="H43" i="6"/>
  <c r="I43" i="6" s="1" a="1"/>
  <c r="I43" i="6" s="1"/>
  <c r="H42" i="6"/>
  <c r="I42" i="6" s="1" a="1"/>
  <c r="I42" i="6" s="1"/>
  <c r="H40" i="6"/>
  <c r="I40" i="6" s="1" a="1"/>
  <c r="I40" i="6" s="1"/>
  <c r="H41" i="6"/>
  <c r="I41" i="6" s="1" a="1"/>
  <c r="I41" i="6" s="1"/>
  <c r="H39" i="6"/>
  <c r="I39" i="6" s="1" a="1"/>
  <c r="I39" i="6" s="1"/>
  <c r="H38" i="6"/>
  <c r="I38" i="6" s="1" a="1"/>
  <c r="I38" i="6" s="1"/>
  <c r="H37" i="6"/>
  <c r="I37" i="6" s="1" a="1"/>
  <c r="I37" i="6" s="1"/>
  <c r="H36" i="6"/>
  <c r="I36" i="6" s="1" a="1"/>
  <c r="I36" i="6" s="1"/>
  <c r="H35" i="6"/>
  <c r="I35" i="6" s="1" a="1"/>
  <c r="I35" i="6" s="1"/>
  <c r="H34" i="6"/>
  <c r="I34" i="6" s="1" a="1"/>
  <c r="I34" i="6" s="1"/>
  <c r="H33" i="6"/>
  <c r="I33" i="6" s="1" a="1"/>
  <c r="I33" i="6" s="1"/>
  <c r="H32" i="6"/>
  <c r="I32" i="6" s="1" a="1"/>
  <c r="I32" i="6" s="1"/>
  <c r="H31" i="6"/>
  <c r="I31" i="6" s="1" a="1"/>
  <c r="I31" i="6" s="1"/>
  <c r="H30" i="6"/>
  <c r="I30" i="6" s="1" a="1"/>
  <c r="I30" i="6" s="1"/>
  <c r="H29" i="6"/>
  <c r="I29" i="6" s="1" a="1"/>
  <c r="I29" i="6" s="1"/>
  <c r="H28" i="6"/>
  <c r="I28" i="6" s="1" a="1"/>
  <c r="I28" i="6" s="1"/>
  <c r="H27" i="6"/>
  <c r="I27" i="6" s="1" a="1"/>
  <c r="I27" i="6" s="1"/>
  <c r="H26" i="6"/>
  <c r="I26" i="6" s="1" a="1"/>
  <c r="I26" i="6" s="1"/>
  <c r="H25" i="6"/>
  <c r="I25" i="6" s="1" a="1"/>
  <c r="I25" i="6" s="1"/>
  <c r="H24" i="6"/>
  <c r="I24" i="6" s="1" a="1"/>
  <c r="I24" i="6" s="1"/>
  <c r="H23" i="6"/>
  <c r="I23" i="6" s="1" a="1"/>
  <c r="I23" i="6" s="1"/>
  <c r="H22" i="6"/>
  <c r="I22" i="6" s="1" a="1"/>
  <c r="I22" i="6" s="1"/>
  <c r="H21" i="6"/>
  <c r="I21" i="6" s="1" a="1"/>
  <c r="I21" i="6" s="1"/>
  <c r="H20" i="6"/>
  <c r="I20" i="6" s="1" a="1"/>
  <c r="I20" i="6" s="1"/>
  <c r="H19" i="6"/>
  <c r="I19" i="6" s="1" a="1"/>
  <c r="I19" i="6" s="1"/>
  <c r="H18" i="6"/>
  <c r="I18" i="6" s="1" a="1"/>
  <c r="I18" i="6" s="1"/>
  <c r="I52" i="6" a="1"/>
  <c r="I52" i="6"/>
  <c r="H17" i="6"/>
  <c r="I17" i="6" s="1" a="1"/>
  <c r="I17" i="6" s="1"/>
  <c r="F31" i="6" a="1"/>
  <c r="F31" i="6" s="1"/>
  <c r="H16" i="6"/>
  <c r="I16" i="6" s="1" a="1"/>
  <c r="I16" i="6" s="1"/>
  <c r="Q43" i="6"/>
  <c r="R43" i="6"/>
  <c r="S43" i="6"/>
  <c r="T43" i="6"/>
  <c r="U43" i="6"/>
  <c r="V43" i="6"/>
  <c r="W43" i="6"/>
  <c r="X43" i="6"/>
  <c r="Y43" i="6"/>
  <c r="P43" i="6"/>
  <c r="Z43" i="6"/>
  <c r="E60" i="6"/>
  <c r="F60" i="6" s="1" a="1"/>
  <c r="F60" i="6" s="1"/>
  <c r="E59" i="6"/>
  <c r="F59" i="6" s="1" a="1"/>
  <c r="F59" i="6" s="1"/>
  <c r="E58" i="6"/>
  <c r="F58" i="6" s="1" a="1"/>
  <c r="F58" i="6" s="1"/>
  <c r="E57" i="6"/>
  <c r="F57" i="6" s="1" a="1"/>
  <c r="F57" i="6" s="1"/>
  <c r="E56" i="6"/>
  <c r="F56" i="6" s="1" a="1"/>
  <c r="F56" i="6" s="1"/>
  <c r="E55" i="6"/>
  <c r="F55" i="6" s="1" a="1"/>
  <c r="F55" i="6" s="1"/>
  <c r="E54" i="6"/>
  <c r="F54" i="6" s="1" a="1"/>
  <c r="F54" i="6" s="1"/>
  <c r="E53" i="6"/>
  <c r="F53" i="6" s="1" a="1"/>
  <c r="F53" i="6" s="1"/>
  <c r="E52" i="6"/>
  <c r="F52" i="6" s="1" a="1"/>
  <c r="F52" i="6" s="1"/>
  <c r="E51" i="6"/>
  <c r="F51" i="6" s="1" a="1"/>
  <c r="F51" i="6" s="1"/>
  <c r="E50" i="6"/>
  <c r="F50" i="6" s="1" a="1"/>
  <c r="F50" i="6" s="1"/>
  <c r="E49" i="6"/>
  <c r="F49" i="6" s="1" a="1"/>
  <c r="F49" i="6" s="1"/>
  <c r="E48" i="6"/>
  <c r="F48" i="6" s="1" a="1"/>
  <c r="F48" i="6" s="1"/>
  <c r="E47" i="6"/>
  <c r="F47" i="6" s="1" a="1"/>
  <c r="F47" i="6" s="1"/>
  <c r="E46" i="6"/>
  <c r="F46" i="6" s="1" a="1"/>
  <c r="F46" i="6" s="1"/>
  <c r="E45" i="6"/>
  <c r="F45" i="6" s="1" a="1"/>
  <c r="F45" i="6" s="1"/>
  <c r="E44" i="6"/>
  <c r="F44" i="6" s="1" a="1"/>
  <c r="F44" i="6" s="1"/>
  <c r="E43" i="6"/>
  <c r="F43" i="6" s="1" a="1"/>
  <c r="F43" i="6" s="1"/>
  <c r="E42" i="6"/>
  <c r="F42" i="6" s="1" a="1"/>
  <c r="F42" i="6" s="1"/>
  <c r="E41" i="6"/>
  <c r="F41" i="6" s="1" a="1"/>
  <c r="F41" i="6" s="1"/>
  <c r="E40" i="6"/>
  <c r="F40" i="6" s="1" a="1"/>
  <c r="F40" i="6" s="1"/>
  <c r="E39" i="6"/>
  <c r="F39" i="6" s="1" a="1"/>
  <c r="F39" i="6" s="1"/>
  <c r="E38" i="6"/>
  <c r="F38" i="6" s="1" a="1"/>
  <c r="F38" i="6" s="1"/>
  <c r="E37" i="6"/>
  <c r="F37" i="6" s="1" a="1"/>
  <c r="F37" i="6" s="1"/>
  <c r="E36" i="6"/>
  <c r="F36" i="6" s="1" a="1"/>
  <c r="F36" i="6" s="1"/>
  <c r="E35" i="6"/>
  <c r="F35" i="6" s="1" a="1"/>
  <c r="F35" i="6" s="1"/>
  <c r="E34" i="6"/>
  <c r="F34" i="6" s="1" a="1"/>
  <c r="F34" i="6" s="1"/>
  <c r="E33" i="6"/>
  <c r="F33" i="6" s="1" a="1"/>
  <c r="F33" i="6" s="1"/>
  <c r="E32" i="6"/>
  <c r="F32" i="6" s="1" a="1"/>
  <c r="F32" i="6" s="1"/>
  <c r="E31" i="6"/>
  <c r="E17" i="6"/>
  <c r="F17" i="6" s="1" a="1"/>
  <c r="F17" i="6" s="1"/>
  <c r="E16" i="6"/>
  <c r="F16" i="6" s="1" a="1"/>
  <c r="F16" i="6" s="1"/>
  <c r="E30" i="6"/>
  <c r="F30" i="6" s="1" a="1"/>
  <c r="F30" i="6" s="1"/>
  <c r="E29" i="6"/>
  <c r="F29" i="6" s="1" a="1"/>
  <c r="F29" i="6" s="1"/>
  <c r="E28" i="6"/>
  <c r="F28" i="6" s="1" a="1"/>
  <c r="F28" i="6" s="1"/>
  <c r="E27" i="6"/>
  <c r="F27" i="6" s="1" a="1"/>
  <c r="F27" i="6" s="1"/>
  <c r="E26" i="6"/>
  <c r="F26" i="6" s="1" a="1"/>
  <c r="F26" i="6" s="1"/>
  <c r="E25" i="6"/>
  <c r="F25" i="6" s="1" a="1"/>
  <c r="F25" i="6" s="1"/>
  <c r="E24" i="6"/>
  <c r="F24" i="6" s="1" a="1"/>
  <c r="F24" i="6" s="1"/>
  <c r="E23" i="6"/>
  <c r="F23" i="6" s="1" a="1"/>
  <c r="F23" i="6" s="1"/>
  <c r="E21" i="6"/>
  <c r="F21" i="6" s="1" a="1"/>
  <c r="F21" i="6" s="1"/>
  <c r="E22" i="6"/>
  <c r="F22" i="6" s="1" a="1"/>
  <c r="F22" i="6" s="1"/>
  <c r="E20" i="6"/>
  <c r="F20" i="6" s="1" a="1"/>
  <c r="F20" i="6" s="1"/>
  <c r="E19" i="6"/>
  <c r="F19" i="6" s="1" a="1"/>
  <c r="F19" i="6" s="1"/>
  <c r="E18" i="6"/>
  <c r="F18" i="6" s="1" a="1"/>
  <c r="F18" i="6" s="1"/>
  <c r="AI43" i="6" l="1"/>
  <c r="L11" i="6" s="1"/>
  <c r="AH43" i="6"/>
  <c r="AG43" i="6"/>
  <c r="AF43" i="6"/>
  <c r="AE43" i="6"/>
  <c r="L7" i="6" s="1"/>
  <c r="AD43" i="6"/>
  <c r="AC43" i="6"/>
  <c r="AB43" i="6"/>
  <c r="L4" i="6" s="1"/>
  <c r="AA43" i="6"/>
  <c r="L3" i="6" s="1"/>
  <c r="L2" i="6"/>
  <c r="AO24" i="6"/>
  <c r="AO23" i="6"/>
  <c r="AO22" i="6"/>
  <c r="AO21" i="6"/>
  <c r="AO20" i="6"/>
  <c r="AO19" i="6"/>
  <c r="AO18" i="6"/>
  <c r="AO17" i="6"/>
  <c r="AO16" i="6"/>
  <c r="AO15" i="6"/>
  <c r="AO14" i="6"/>
  <c r="AO13" i="6"/>
  <c r="AO12" i="6"/>
  <c r="CD11" i="6"/>
  <c r="CB11" i="6"/>
  <c r="BZ11" i="6"/>
  <c r="BX11" i="6"/>
  <c r="BV11" i="6"/>
  <c r="AV11" i="6"/>
  <c r="AU11" i="6"/>
  <c r="AS11" i="6"/>
  <c r="AO11" i="6"/>
  <c r="K11" i="6"/>
  <c r="CD10" i="6"/>
  <c r="CB10" i="6"/>
  <c r="BZ10" i="6"/>
  <c r="BX10" i="6"/>
  <c r="BV10" i="6"/>
  <c r="AV10" i="6"/>
  <c r="AU10" i="6"/>
  <c r="AS10" i="6"/>
  <c r="AO10" i="6"/>
  <c r="K10" i="6"/>
  <c r="CD9" i="6"/>
  <c r="CB9" i="6"/>
  <c r="BZ9" i="6"/>
  <c r="BX9" i="6"/>
  <c r="BV9" i="6"/>
  <c r="AV9" i="6"/>
  <c r="AU9" i="6"/>
  <c r="AS9" i="6"/>
  <c r="AO9" i="6"/>
  <c r="K9" i="6"/>
  <c r="CD8" i="6"/>
  <c r="CB8" i="6"/>
  <c r="BZ8" i="6"/>
  <c r="BX8" i="6"/>
  <c r="BV8" i="6"/>
  <c r="AV8" i="6"/>
  <c r="AU8" i="6"/>
  <c r="AS8" i="6"/>
  <c r="AO8" i="6"/>
  <c r="K8" i="6"/>
  <c r="CD7" i="6"/>
  <c r="CB7" i="6"/>
  <c r="BZ7" i="6"/>
  <c r="BX7" i="6"/>
  <c r="BV7" i="6"/>
  <c r="AV7" i="6"/>
  <c r="AU7" i="6"/>
  <c r="AS7" i="6"/>
  <c r="AO7" i="6"/>
  <c r="K7" i="6"/>
  <c r="CD6" i="6"/>
  <c r="CB6" i="6"/>
  <c r="BZ6" i="6"/>
  <c r="BX6" i="6"/>
  <c r="BV6" i="6"/>
  <c r="BR6" i="6"/>
  <c r="BP6" i="6"/>
  <c r="BN6" i="6"/>
  <c r="BL6" i="6"/>
  <c r="BJ6" i="6"/>
  <c r="BH6" i="6"/>
  <c r="BF6" i="6"/>
  <c r="BD6" i="6"/>
  <c r="BB6" i="6"/>
  <c r="AZ6" i="6"/>
  <c r="AV6" i="6"/>
  <c r="AU6" i="6"/>
  <c r="AS6" i="6"/>
  <c r="AO6" i="6"/>
  <c r="K6" i="6"/>
  <c r="E6" i="6"/>
  <c r="D6" i="6"/>
  <c r="CD5" i="6"/>
  <c r="CB5" i="6"/>
  <c r="BZ5" i="6"/>
  <c r="BX5" i="6"/>
  <c r="BV5" i="6"/>
  <c r="BR5" i="6"/>
  <c r="BP5" i="6"/>
  <c r="BN5" i="6"/>
  <c r="BL5" i="6"/>
  <c r="BJ5" i="6"/>
  <c r="BH5" i="6"/>
  <c r="BF5" i="6"/>
  <c r="BD5" i="6"/>
  <c r="BB5" i="6"/>
  <c r="AZ5" i="6"/>
  <c r="AV5" i="6"/>
  <c r="AU5" i="6"/>
  <c r="AS5" i="6"/>
  <c r="AO5" i="6"/>
  <c r="K5" i="6"/>
  <c r="E5" i="6"/>
  <c r="D5" i="6"/>
  <c r="CD4" i="6"/>
  <c r="CB4" i="6"/>
  <c r="BZ4" i="6"/>
  <c r="BX4" i="6"/>
  <c r="BV4" i="6"/>
  <c r="BR4" i="6"/>
  <c r="BP4" i="6"/>
  <c r="BN4" i="6"/>
  <c r="BL4" i="6"/>
  <c r="BJ4" i="6"/>
  <c r="BH4" i="6"/>
  <c r="BF4" i="6"/>
  <c r="BD4" i="6"/>
  <c r="BB4" i="6"/>
  <c r="AZ4" i="6"/>
  <c r="AV4" i="6"/>
  <c r="AU4" i="6"/>
  <c r="AS4" i="6"/>
  <c r="AO4" i="6"/>
  <c r="K4" i="6"/>
  <c r="E4" i="6"/>
  <c r="D4" i="6"/>
  <c r="CD3" i="6"/>
  <c r="CB3" i="6"/>
  <c r="BZ3" i="6"/>
  <c r="BX3" i="6"/>
  <c r="BV3" i="6"/>
  <c r="BR3" i="6"/>
  <c r="BP3" i="6"/>
  <c r="BN3" i="6"/>
  <c r="BL3" i="6"/>
  <c r="BJ3" i="6"/>
  <c r="BH3" i="6"/>
  <c r="BF3" i="6"/>
  <c r="BD3" i="6"/>
  <c r="BB3" i="6"/>
  <c r="AZ3" i="6"/>
  <c r="AV3" i="6"/>
  <c r="AU3" i="6"/>
  <c r="AS3" i="6"/>
  <c r="AO3" i="6"/>
  <c r="K3" i="6"/>
  <c r="E3" i="6"/>
  <c r="D3" i="6"/>
  <c r="CD2" i="6"/>
  <c r="CB2" i="6"/>
  <c r="BZ2" i="6"/>
  <c r="BX2" i="6"/>
  <c r="BV2" i="6"/>
  <c r="BR2" i="6"/>
  <c r="BP2" i="6"/>
  <c r="BN2" i="6"/>
  <c r="BL2" i="6"/>
  <c r="BJ2" i="6"/>
  <c r="BH2" i="6"/>
  <c r="BF2" i="6"/>
  <c r="BD2" i="6"/>
  <c r="BB2" i="6"/>
  <c r="AZ2" i="6"/>
  <c r="AV2" i="6"/>
  <c r="AU2" i="6"/>
  <c r="AS2" i="6"/>
  <c r="AO2" i="6"/>
  <c r="K2" i="6"/>
  <c r="E2" i="6"/>
  <c r="D2" i="6"/>
  <c r="H2" i="6" s="1"/>
  <c r="S43" i="5"/>
  <c r="Q43" i="5"/>
  <c r="AI38" i="5"/>
  <c r="AI39" i="5"/>
  <c r="AI40" i="5"/>
  <c r="AI41" i="5"/>
  <c r="AI42" i="5"/>
  <c r="AG38" i="5"/>
  <c r="AG39" i="5"/>
  <c r="AG40" i="5"/>
  <c r="AG41" i="5"/>
  <c r="AG42" i="5"/>
  <c r="AE38" i="5"/>
  <c r="AE39" i="5"/>
  <c r="AE40" i="5"/>
  <c r="AE41" i="5"/>
  <c r="AE42" i="5"/>
  <c r="AC38" i="5"/>
  <c r="AC39" i="5"/>
  <c r="AC40" i="5"/>
  <c r="AC41" i="5"/>
  <c r="AC42" i="5"/>
  <c r="AA38" i="5"/>
  <c r="AA39" i="5"/>
  <c r="AA40" i="5"/>
  <c r="AA41" i="5"/>
  <c r="AA42" i="5"/>
  <c r="Y37" i="5"/>
  <c r="Y38" i="5"/>
  <c r="Y39" i="5"/>
  <c r="Y40" i="5"/>
  <c r="Y41" i="5"/>
  <c r="Y43" i="5" s="1"/>
  <c r="Y42" i="5"/>
  <c r="W38" i="5"/>
  <c r="W39" i="5"/>
  <c r="W40" i="5"/>
  <c r="W41" i="5"/>
  <c r="W42" i="5"/>
  <c r="U38" i="5"/>
  <c r="U39" i="5"/>
  <c r="U40" i="5"/>
  <c r="U41" i="5"/>
  <c r="U42" i="5"/>
  <c r="S42" i="5"/>
  <c r="S41" i="5"/>
  <c r="S40" i="5"/>
  <c r="S39" i="5"/>
  <c r="S38" i="5"/>
  <c r="Q42" i="5"/>
  <c r="Q41" i="5"/>
  <c r="Q40" i="5"/>
  <c r="Q39" i="5"/>
  <c r="Q38" i="5"/>
  <c r="Q37" i="5"/>
  <c r="I2" i="5"/>
  <c r="H2" i="5"/>
  <c r="K2" i="5"/>
  <c r="K11" i="5"/>
  <c r="K10" i="5"/>
  <c r="K9" i="5"/>
  <c r="K8" i="5"/>
  <c r="K7" i="5"/>
  <c r="K6" i="5"/>
  <c r="K5" i="5"/>
  <c r="K4" i="5"/>
  <c r="K3" i="5"/>
  <c r="AH43" i="5"/>
  <c r="AF43" i="5"/>
  <c r="AD43" i="5"/>
  <c r="AB43" i="5"/>
  <c r="Z43" i="5"/>
  <c r="X43" i="5"/>
  <c r="V43" i="5"/>
  <c r="T43" i="5"/>
  <c r="R43" i="5"/>
  <c r="P43" i="5"/>
  <c r="AI37" i="5"/>
  <c r="AG37" i="5"/>
  <c r="AE37" i="5"/>
  <c r="AC37" i="5"/>
  <c r="AA37" i="5"/>
  <c r="W37" i="5"/>
  <c r="U37" i="5"/>
  <c r="S37" i="5"/>
  <c r="AI36" i="5"/>
  <c r="AG36" i="5"/>
  <c r="AE36" i="5"/>
  <c r="AC36" i="5"/>
  <c r="AA36" i="5"/>
  <c r="Y36" i="5"/>
  <c r="W36" i="5"/>
  <c r="U36" i="5"/>
  <c r="S36" i="5"/>
  <c r="Q36" i="5"/>
  <c r="AI35" i="5"/>
  <c r="AG35" i="5"/>
  <c r="AE35" i="5"/>
  <c r="AC35" i="5"/>
  <c r="AA35" i="5"/>
  <c r="Y35" i="5"/>
  <c r="W35" i="5"/>
  <c r="U35" i="5"/>
  <c r="S35" i="5"/>
  <c r="Q35" i="5"/>
  <c r="AI34" i="5"/>
  <c r="AG34" i="5"/>
  <c r="AE34" i="5"/>
  <c r="AC34" i="5"/>
  <c r="AA34" i="5"/>
  <c r="Y34" i="5"/>
  <c r="W34" i="5"/>
  <c r="U34" i="5"/>
  <c r="S34" i="5"/>
  <c r="Q34" i="5"/>
  <c r="AI33" i="5"/>
  <c r="AG33" i="5"/>
  <c r="AE33" i="5"/>
  <c r="AC33" i="5"/>
  <c r="AA33" i="5"/>
  <c r="Y33" i="5"/>
  <c r="W33" i="5"/>
  <c r="U33" i="5"/>
  <c r="S33" i="5"/>
  <c r="Q33" i="5"/>
  <c r="AI32" i="5"/>
  <c r="AG32" i="5"/>
  <c r="AE32" i="5"/>
  <c r="AC32" i="5"/>
  <c r="AA32" i="5"/>
  <c r="Y32" i="5"/>
  <c r="W32" i="5"/>
  <c r="U32" i="5"/>
  <c r="S32" i="5"/>
  <c r="Q32" i="5"/>
  <c r="AI31" i="5"/>
  <c r="AG31" i="5"/>
  <c r="AE31" i="5"/>
  <c r="AC31" i="5"/>
  <c r="AA31" i="5"/>
  <c r="Y31" i="5"/>
  <c r="W31" i="5"/>
  <c r="U31" i="5"/>
  <c r="S31" i="5"/>
  <c r="Q31" i="5"/>
  <c r="AI30" i="5"/>
  <c r="AG30" i="5"/>
  <c r="AE30" i="5"/>
  <c r="AC30" i="5"/>
  <c r="AA30" i="5"/>
  <c r="Y30" i="5"/>
  <c r="W30" i="5"/>
  <c r="U30" i="5"/>
  <c r="S30" i="5"/>
  <c r="Q30" i="5"/>
  <c r="AI29" i="5"/>
  <c r="AG29" i="5"/>
  <c r="AE29" i="5"/>
  <c r="AC29" i="5"/>
  <c r="AA29" i="5"/>
  <c r="Y29" i="5"/>
  <c r="W29" i="5"/>
  <c r="U29" i="5"/>
  <c r="S29" i="5"/>
  <c r="Q29" i="5"/>
  <c r="AI28" i="5"/>
  <c r="AG28" i="5"/>
  <c r="AE28" i="5"/>
  <c r="AC28" i="5"/>
  <c r="AA28" i="5"/>
  <c r="Y28" i="5"/>
  <c r="W28" i="5"/>
  <c r="U28" i="5"/>
  <c r="S28" i="5"/>
  <c r="Q28" i="5"/>
  <c r="AI27" i="5"/>
  <c r="AG27" i="5"/>
  <c r="AE27" i="5"/>
  <c r="AC27" i="5"/>
  <c r="AA27" i="5"/>
  <c r="Y27" i="5"/>
  <c r="W27" i="5"/>
  <c r="U27" i="5"/>
  <c r="S27" i="5"/>
  <c r="Q27" i="5"/>
  <c r="AI26" i="5"/>
  <c r="AG26" i="5"/>
  <c r="AE26" i="5"/>
  <c r="AC26" i="5"/>
  <c r="AA26" i="5"/>
  <c r="Y26" i="5"/>
  <c r="W26" i="5"/>
  <c r="U26" i="5"/>
  <c r="S26" i="5"/>
  <c r="Q26" i="5"/>
  <c r="AI25" i="5"/>
  <c r="AG25" i="5"/>
  <c r="AE25" i="5"/>
  <c r="AC25" i="5"/>
  <c r="AA25" i="5"/>
  <c r="Y25" i="5"/>
  <c r="W25" i="5"/>
  <c r="U25" i="5"/>
  <c r="S25" i="5"/>
  <c r="Q25" i="5"/>
  <c r="AO24" i="5"/>
  <c r="AI24" i="5"/>
  <c r="AG24" i="5"/>
  <c r="AE24" i="5"/>
  <c r="AC24" i="5"/>
  <c r="AA24" i="5"/>
  <c r="Y24" i="5"/>
  <c r="W24" i="5"/>
  <c r="U24" i="5"/>
  <c r="S24" i="5"/>
  <c r="Q24" i="5"/>
  <c r="AO23" i="5"/>
  <c r="AI23" i="5"/>
  <c r="AG23" i="5"/>
  <c r="AE23" i="5"/>
  <c r="AC23" i="5"/>
  <c r="AA23" i="5"/>
  <c r="Y23" i="5"/>
  <c r="W23" i="5"/>
  <c r="U23" i="5"/>
  <c r="S23" i="5"/>
  <c r="Q23" i="5"/>
  <c r="AO22" i="5"/>
  <c r="AI22" i="5"/>
  <c r="AG22" i="5"/>
  <c r="AE22" i="5"/>
  <c r="AC22" i="5"/>
  <c r="AA22" i="5"/>
  <c r="Y22" i="5"/>
  <c r="W22" i="5"/>
  <c r="U22" i="5"/>
  <c r="S22" i="5"/>
  <c r="Q22" i="5"/>
  <c r="AO21" i="5"/>
  <c r="AI21" i="5"/>
  <c r="AG21" i="5"/>
  <c r="AE21" i="5"/>
  <c r="AC21" i="5"/>
  <c r="AA21" i="5"/>
  <c r="Y21" i="5"/>
  <c r="W21" i="5"/>
  <c r="U21" i="5"/>
  <c r="S21" i="5"/>
  <c r="Q21" i="5"/>
  <c r="AO20" i="5"/>
  <c r="AI20" i="5"/>
  <c r="AG20" i="5"/>
  <c r="AE20" i="5"/>
  <c r="AC20" i="5"/>
  <c r="AA20" i="5"/>
  <c r="Y20" i="5"/>
  <c r="W20" i="5"/>
  <c r="U20" i="5"/>
  <c r="S20" i="5"/>
  <c r="Q20" i="5"/>
  <c r="AO19" i="5"/>
  <c r="AI19" i="5"/>
  <c r="AG19" i="5"/>
  <c r="AE19" i="5"/>
  <c r="AC19" i="5"/>
  <c r="AA19" i="5"/>
  <c r="Y19" i="5"/>
  <c r="W19" i="5"/>
  <c r="U19" i="5"/>
  <c r="S19" i="5"/>
  <c r="Q19" i="5"/>
  <c r="AO18" i="5"/>
  <c r="AI18" i="5"/>
  <c r="AG18" i="5"/>
  <c r="AE18" i="5"/>
  <c r="AC18" i="5"/>
  <c r="AA18" i="5"/>
  <c r="Y18" i="5"/>
  <c r="W18" i="5"/>
  <c r="U18" i="5"/>
  <c r="S18" i="5"/>
  <c r="Q18" i="5"/>
  <c r="AO17" i="5"/>
  <c r="AI17" i="5"/>
  <c r="AG17" i="5"/>
  <c r="AE17" i="5"/>
  <c r="AC17" i="5"/>
  <c r="AA17" i="5"/>
  <c r="Y17" i="5"/>
  <c r="W17" i="5"/>
  <c r="U17" i="5"/>
  <c r="S17" i="5"/>
  <c r="Q17" i="5"/>
  <c r="AO16" i="5"/>
  <c r="AI16" i="5"/>
  <c r="AG16" i="5"/>
  <c r="AE16" i="5"/>
  <c r="AC16" i="5"/>
  <c r="AA16" i="5"/>
  <c r="Y16" i="5"/>
  <c r="W16" i="5"/>
  <c r="U16" i="5"/>
  <c r="S16" i="5"/>
  <c r="Q16" i="5"/>
  <c r="AO15" i="5"/>
  <c r="AI15" i="5"/>
  <c r="AG15" i="5"/>
  <c r="AE15" i="5"/>
  <c r="AC15" i="5"/>
  <c r="AA15" i="5"/>
  <c r="Y15" i="5"/>
  <c r="W15" i="5"/>
  <c r="U15" i="5"/>
  <c r="S15" i="5"/>
  <c r="Q15" i="5"/>
  <c r="AO14" i="5"/>
  <c r="AI14" i="5"/>
  <c r="AG14" i="5"/>
  <c r="AE14" i="5"/>
  <c r="AC14" i="5"/>
  <c r="AA14" i="5"/>
  <c r="Y14" i="5"/>
  <c r="W14" i="5"/>
  <c r="U14" i="5"/>
  <c r="S14" i="5"/>
  <c r="Q14" i="5"/>
  <c r="AO13" i="5"/>
  <c r="AI13" i="5"/>
  <c r="AG13" i="5"/>
  <c r="AE13" i="5"/>
  <c r="AC13" i="5"/>
  <c r="AA13" i="5"/>
  <c r="Y13" i="5"/>
  <c r="W13" i="5"/>
  <c r="U13" i="5"/>
  <c r="S13" i="5"/>
  <c r="Q13" i="5"/>
  <c r="AO12" i="5"/>
  <c r="AI12" i="5"/>
  <c r="AG12" i="5"/>
  <c r="AE12" i="5"/>
  <c r="AC12" i="5"/>
  <c r="AA12" i="5"/>
  <c r="Y12" i="5"/>
  <c r="W12" i="5"/>
  <c r="U12" i="5"/>
  <c r="S12" i="5"/>
  <c r="Q12" i="5"/>
  <c r="CD11" i="5"/>
  <c r="CB11" i="5"/>
  <c r="BZ11" i="5"/>
  <c r="BX11" i="5"/>
  <c r="BV11" i="5"/>
  <c r="AU11" i="5"/>
  <c r="AS11" i="5"/>
  <c r="AO11" i="5"/>
  <c r="AI11" i="5"/>
  <c r="AG11" i="5"/>
  <c r="AE11" i="5"/>
  <c r="AC11" i="5"/>
  <c r="AA11" i="5"/>
  <c r="Y11" i="5"/>
  <c r="W11" i="5"/>
  <c r="U11" i="5"/>
  <c r="S11" i="5"/>
  <c r="Q11" i="5"/>
  <c r="CD10" i="5"/>
  <c r="CB10" i="5"/>
  <c r="BZ10" i="5"/>
  <c r="BX10" i="5"/>
  <c r="BV10" i="5"/>
  <c r="AU10" i="5"/>
  <c r="AS10" i="5"/>
  <c r="AO10" i="5"/>
  <c r="AI10" i="5"/>
  <c r="AG10" i="5"/>
  <c r="AE10" i="5"/>
  <c r="AC10" i="5"/>
  <c r="AA10" i="5"/>
  <c r="Y10" i="5"/>
  <c r="W10" i="5"/>
  <c r="U10" i="5"/>
  <c r="S10" i="5"/>
  <c r="Q10" i="5"/>
  <c r="CD9" i="5"/>
  <c r="CB9" i="5"/>
  <c r="BZ9" i="5"/>
  <c r="BX9" i="5"/>
  <c r="BV9" i="5"/>
  <c r="AU9" i="5"/>
  <c r="AS9" i="5"/>
  <c r="AO9" i="5"/>
  <c r="AI9" i="5"/>
  <c r="AG9" i="5"/>
  <c r="AE9" i="5"/>
  <c r="AC9" i="5"/>
  <c r="AA9" i="5"/>
  <c r="Y9" i="5"/>
  <c r="W9" i="5"/>
  <c r="U9" i="5"/>
  <c r="S9" i="5"/>
  <c r="Q9" i="5"/>
  <c r="CD8" i="5"/>
  <c r="CB8" i="5"/>
  <c r="BZ8" i="5"/>
  <c r="BX8" i="5"/>
  <c r="BV8" i="5"/>
  <c r="AU8" i="5"/>
  <c r="AS8" i="5"/>
  <c r="AO8" i="5"/>
  <c r="AI8" i="5"/>
  <c r="AG8" i="5"/>
  <c r="AE8" i="5"/>
  <c r="AC8" i="5"/>
  <c r="AA8" i="5"/>
  <c r="Y8" i="5"/>
  <c r="W8" i="5"/>
  <c r="U8" i="5"/>
  <c r="S8" i="5"/>
  <c r="Q8" i="5"/>
  <c r="AV6" i="5"/>
  <c r="CD7" i="5"/>
  <c r="CB7" i="5"/>
  <c r="BZ7" i="5"/>
  <c r="BX7" i="5"/>
  <c r="BV7" i="5"/>
  <c r="AU7" i="5"/>
  <c r="AS7" i="5"/>
  <c r="AO7" i="5"/>
  <c r="AI7" i="5"/>
  <c r="AG7" i="5"/>
  <c r="AE7" i="5"/>
  <c r="AC7" i="5"/>
  <c r="AA7" i="5"/>
  <c r="Y7" i="5"/>
  <c r="W7" i="5"/>
  <c r="U7" i="5"/>
  <c r="S7" i="5"/>
  <c r="Q7" i="5"/>
  <c r="CD6" i="5"/>
  <c r="CB6" i="5"/>
  <c r="BZ6" i="5"/>
  <c r="BX6" i="5"/>
  <c r="BV6" i="5"/>
  <c r="BR6" i="5"/>
  <c r="BP6" i="5"/>
  <c r="BN6" i="5"/>
  <c r="BL6" i="5"/>
  <c r="BJ6" i="5"/>
  <c r="BH6" i="5"/>
  <c r="BF6" i="5"/>
  <c r="BD6" i="5"/>
  <c r="BB6" i="5"/>
  <c r="AZ6" i="5"/>
  <c r="AU6" i="5"/>
  <c r="AS6" i="5"/>
  <c r="AO6" i="5"/>
  <c r="AI6" i="5"/>
  <c r="AG6" i="5"/>
  <c r="AE6" i="5"/>
  <c r="AC6" i="5"/>
  <c r="AA6" i="5"/>
  <c r="Y6" i="5"/>
  <c r="W6" i="5"/>
  <c r="U6" i="5"/>
  <c r="S6" i="5"/>
  <c r="Q6" i="5"/>
  <c r="E6" i="5"/>
  <c r="D6" i="5"/>
  <c r="CD5" i="5"/>
  <c r="CB5" i="5"/>
  <c r="BZ5" i="5"/>
  <c r="BX5" i="5"/>
  <c r="BV5" i="5"/>
  <c r="BR5" i="5"/>
  <c r="BP5" i="5"/>
  <c r="BN5" i="5"/>
  <c r="BL5" i="5"/>
  <c r="BJ5" i="5"/>
  <c r="BH5" i="5"/>
  <c r="BF5" i="5"/>
  <c r="BD5" i="5"/>
  <c r="BB5" i="5"/>
  <c r="AZ5" i="5"/>
  <c r="AU5" i="5"/>
  <c r="AS5" i="5"/>
  <c r="AO5" i="5"/>
  <c r="AI5" i="5"/>
  <c r="AG5" i="5"/>
  <c r="AE5" i="5"/>
  <c r="AC5" i="5"/>
  <c r="AA5" i="5"/>
  <c r="Y5" i="5"/>
  <c r="W5" i="5"/>
  <c r="U5" i="5"/>
  <c r="S5" i="5"/>
  <c r="Q5" i="5"/>
  <c r="E5" i="5"/>
  <c r="D5" i="5"/>
  <c r="CD4" i="5"/>
  <c r="CB4" i="5"/>
  <c r="BZ4" i="5"/>
  <c r="BX4" i="5"/>
  <c r="BV4" i="5"/>
  <c r="BR4" i="5"/>
  <c r="BP4" i="5"/>
  <c r="BN4" i="5"/>
  <c r="BL4" i="5"/>
  <c r="BJ4" i="5"/>
  <c r="BH4" i="5"/>
  <c r="BF4" i="5"/>
  <c r="BD4" i="5"/>
  <c r="BB4" i="5"/>
  <c r="AZ4" i="5"/>
  <c r="AU4" i="5"/>
  <c r="AS4" i="5"/>
  <c r="AO4" i="5"/>
  <c r="AI4" i="5"/>
  <c r="AG4" i="5"/>
  <c r="AE4" i="5"/>
  <c r="AC4" i="5"/>
  <c r="AA4" i="5"/>
  <c r="Y4" i="5"/>
  <c r="W4" i="5"/>
  <c r="U4" i="5"/>
  <c r="S4" i="5"/>
  <c r="Q4" i="5"/>
  <c r="E4" i="5"/>
  <c r="D4" i="5"/>
  <c r="CD3" i="5"/>
  <c r="CB3" i="5"/>
  <c r="BZ3" i="5"/>
  <c r="BX3" i="5"/>
  <c r="BV3" i="5"/>
  <c r="BR3" i="5"/>
  <c r="BP3" i="5"/>
  <c r="BN3" i="5"/>
  <c r="BL3" i="5"/>
  <c r="BJ3" i="5"/>
  <c r="BH3" i="5"/>
  <c r="BF3" i="5"/>
  <c r="BD3" i="5"/>
  <c r="BB3" i="5"/>
  <c r="AZ3" i="5"/>
  <c r="AU3" i="5"/>
  <c r="AS3" i="5"/>
  <c r="AO3" i="5"/>
  <c r="AI3" i="5"/>
  <c r="AG3" i="5"/>
  <c r="AE3" i="5"/>
  <c r="AC3" i="5"/>
  <c r="AA3" i="5"/>
  <c r="Y3" i="5"/>
  <c r="W3" i="5"/>
  <c r="U3" i="5"/>
  <c r="S3" i="5"/>
  <c r="Q3" i="5"/>
  <c r="E3" i="5"/>
  <c r="D3" i="5"/>
  <c r="CD2" i="5"/>
  <c r="CB2" i="5"/>
  <c r="BZ2" i="5"/>
  <c r="BX2" i="5"/>
  <c r="BV2" i="5"/>
  <c r="BR2" i="5"/>
  <c r="BP2" i="5"/>
  <c r="BN2" i="5"/>
  <c r="BL2" i="5"/>
  <c r="BJ2" i="5"/>
  <c r="BH2" i="5"/>
  <c r="BF2" i="5"/>
  <c r="BD2" i="5"/>
  <c r="BB2" i="5"/>
  <c r="AZ2" i="5"/>
  <c r="AU2" i="5"/>
  <c r="AS2" i="5"/>
  <c r="AO2" i="5"/>
  <c r="AI2" i="5"/>
  <c r="AG2" i="5"/>
  <c r="AE2" i="5"/>
  <c r="AC2" i="5"/>
  <c r="AA2" i="5"/>
  <c r="Y2" i="5"/>
  <c r="W2" i="5"/>
  <c r="U2" i="5"/>
  <c r="S2" i="5"/>
  <c r="Q2" i="5"/>
  <c r="E2" i="5"/>
  <c r="D2" i="5"/>
  <c r="AO3" i="4"/>
  <c r="F8" i="4"/>
  <c r="AR7" i="4" s="1"/>
  <c r="M3" i="4"/>
  <c r="AQ3" i="4"/>
  <c r="AQ4" i="4"/>
  <c r="AQ5" i="4"/>
  <c r="AQ6" i="4"/>
  <c r="AQ7" i="4"/>
  <c r="AQ8" i="4"/>
  <c r="AQ9" i="4"/>
  <c r="AQ10" i="4"/>
  <c r="AQ11" i="4"/>
  <c r="AQ2" i="4"/>
  <c r="AR11" i="4"/>
  <c r="AR3" i="4"/>
  <c r="AR4" i="4"/>
  <c r="AR5" i="4"/>
  <c r="AR6" i="4"/>
  <c r="M2" i="4"/>
  <c r="AD38" i="4"/>
  <c r="AB38" i="4"/>
  <c r="Z38" i="4"/>
  <c r="X38" i="4"/>
  <c r="V38" i="4"/>
  <c r="T38" i="4"/>
  <c r="R38" i="4"/>
  <c r="P38" i="4"/>
  <c r="N38" i="4"/>
  <c r="L38" i="4"/>
  <c r="AE37" i="4"/>
  <c r="AE36" i="4"/>
  <c r="AE35" i="4"/>
  <c r="AE34" i="4"/>
  <c r="AE33" i="4"/>
  <c r="AE32" i="4"/>
  <c r="AE31" i="4"/>
  <c r="AE30" i="4"/>
  <c r="AE29" i="4"/>
  <c r="AE28" i="4"/>
  <c r="AE27" i="4"/>
  <c r="AE26" i="4"/>
  <c r="AE25" i="4"/>
  <c r="AE24" i="4"/>
  <c r="AE23" i="4"/>
  <c r="AE22" i="4"/>
  <c r="AE21" i="4"/>
  <c r="AE20" i="4"/>
  <c r="AE19" i="4"/>
  <c r="AE18" i="4"/>
  <c r="AE17" i="4"/>
  <c r="AE16" i="4"/>
  <c r="AE15" i="4"/>
  <c r="AE14" i="4"/>
  <c r="AE13" i="4"/>
  <c r="AE12" i="4"/>
  <c r="AE11" i="4"/>
  <c r="AE10" i="4"/>
  <c r="AE9" i="4"/>
  <c r="AE8" i="4"/>
  <c r="AE7" i="4"/>
  <c r="AE6" i="4"/>
  <c r="AE5" i="4"/>
  <c r="AE4" i="4"/>
  <c r="AE3" i="4"/>
  <c r="AC37" i="4"/>
  <c r="AC36" i="4"/>
  <c r="AC35" i="4"/>
  <c r="AC34" i="4"/>
  <c r="AC33" i="4"/>
  <c r="AC32" i="4"/>
  <c r="AC31" i="4"/>
  <c r="AC30" i="4"/>
  <c r="AC29" i="4"/>
  <c r="AC28" i="4"/>
  <c r="AC27" i="4"/>
  <c r="AC26" i="4"/>
  <c r="AC25" i="4"/>
  <c r="AC24" i="4"/>
  <c r="AC23" i="4"/>
  <c r="AC22" i="4"/>
  <c r="AC21" i="4"/>
  <c r="AC20" i="4"/>
  <c r="AC19" i="4"/>
  <c r="AC18" i="4"/>
  <c r="AC17" i="4"/>
  <c r="AC16" i="4"/>
  <c r="AC15" i="4"/>
  <c r="AC14" i="4"/>
  <c r="AC13" i="4"/>
  <c r="AC12" i="4"/>
  <c r="AC11" i="4"/>
  <c r="AC10" i="4"/>
  <c r="AC9" i="4"/>
  <c r="AC8" i="4"/>
  <c r="AC7" i="4"/>
  <c r="AC6" i="4"/>
  <c r="AC5" i="4"/>
  <c r="AC4" i="4"/>
  <c r="AC3" i="4"/>
  <c r="AA37" i="4"/>
  <c r="AA36" i="4"/>
  <c r="AA35" i="4"/>
  <c r="AA34" i="4"/>
  <c r="AA33" i="4"/>
  <c r="AA32" i="4"/>
  <c r="AA31" i="4"/>
  <c r="AA30" i="4"/>
  <c r="AA29" i="4"/>
  <c r="AA28" i="4"/>
  <c r="AA27" i="4"/>
  <c r="AA26" i="4"/>
  <c r="AA25" i="4"/>
  <c r="AA24" i="4"/>
  <c r="AA23" i="4"/>
  <c r="AA22" i="4"/>
  <c r="AA21" i="4"/>
  <c r="AA20" i="4"/>
  <c r="AA19" i="4"/>
  <c r="AA18" i="4"/>
  <c r="AA17" i="4"/>
  <c r="AA16" i="4"/>
  <c r="AA15" i="4"/>
  <c r="AA14" i="4"/>
  <c r="AA13" i="4"/>
  <c r="AA12" i="4"/>
  <c r="AA11" i="4"/>
  <c r="AA10" i="4"/>
  <c r="AA9" i="4"/>
  <c r="AA8" i="4"/>
  <c r="AA7" i="4"/>
  <c r="AA6" i="4"/>
  <c r="AA5" i="4"/>
  <c r="AA4" i="4"/>
  <c r="AA3" i="4"/>
  <c r="AE2" i="4"/>
  <c r="AC2" i="4"/>
  <c r="AA2" i="4"/>
  <c r="Y37" i="4"/>
  <c r="Y36" i="4"/>
  <c r="Y35" i="4"/>
  <c r="Y34" i="4"/>
  <c r="Y33" i="4"/>
  <c r="Y32" i="4"/>
  <c r="Y31" i="4"/>
  <c r="Y30" i="4"/>
  <c r="Y29" i="4"/>
  <c r="Y28" i="4"/>
  <c r="Y27" i="4"/>
  <c r="Y26" i="4"/>
  <c r="Y25" i="4"/>
  <c r="Y24" i="4"/>
  <c r="Y23" i="4"/>
  <c r="Y22" i="4"/>
  <c r="Y21" i="4"/>
  <c r="Y20" i="4"/>
  <c r="Y19" i="4"/>
  <c r="Y18" i="4"/>
  <c r="Y17" i="4"/>
  <c r="Y16" i="4"/>
  <c r="Y15" i="4"/>
  <c r="Y14" i="4"/>
  <c r="Y13" i="4"/>
  <c r="Y12" i="4"/>
  <c r="Y11" i="4"/>
  <c r="Y10" i="4"/>
  <c r="Y9" i="4"/>
  <c r="Y8" i="4"/>
  <c r="Y7" i="4"/>
  <c r="Y6" i="4"/>
  <c r="Y5" i="4"/>
  <c r="Y4" i="4"/>
  <c r="Y3" i="4"/>
  <c r="Y2" i="4"/>
  <c r="W37" i="4"/>
  <c r="W36" i="4"/>
  <c r="W35" i="4"/>
  <c r="W34" i="4"/>
  <c r="W33" i="4"/>
  <c r="W32" i="4"/>
  <c r="W31" i="4"/>
  <c r="W30" i="4"/>
  <c r="W29" i="4"/>
  <c r="W28" i="4"/>
  <c r="W27" i="4"/>
  <c r="W26" i="4"/>
  <c r="W25" i="4"/>
  <c r="W24" i="4"/>
  <c r="W23" i="4"/>
  <c r="W22" i="4"/>
  <c r="W21" i="4"/>
  <c r="W20" i="4"/>
  <c r="W19" i="4"/>
  <c r="W18" i="4"/>
  <c r="W17" i="4"/>
  <c r="W16" i="4"/>
  <c r="W15" i="4"/>
  <c r="W14" i="4"/>
  <c r="W13" i="4"/>
  <c r="W12" i="4"/>
  <c r="W11" i="4"/>
  <c r="W10" i="4"/>
  <c r="W9" i="4"/>
  <c r="W8" i="4"/>
  <c r="W7" i="4"/>
  <c r="W6" i="4"/>
  <c r="W5" i="4"/>
  <c r="W4" i="4"/>
  <c r="W3" i="4"/>
  <c r="W2" i="4"/>
  <c r="U37" i="4"/>
  <c r="U36" i="4"/>
  <c r="U35" i="4"/>
  <c r="U34" i="4"/>
  <c r="U33" i="4"/>
  <c r="U32" i="4"/>
  <c r="U31" i="4"/>
  <c r="U30" i="4"/>
  <c r="U29" i="4"/>
  <c r="U28" i="4"/>
  <c r="U27" i="4"/>
  <c r="U26" i="4"/>
  <c r="U25" i="4"/>
  <c r="U24" i="4"/>
  <c r="U23" i="4"/>
  <c r="U22" i="4"/>
  <c r="U21" i="4"/>
  <c r="U20" i="4"/>
  <c r="U19" i="4"/>
  <c r="U18" i="4"/>
  <c r="U17" i="4"/>
  <c r="U16" i="4"/>
  <c r="U15" i="4"/>
  <c r="U14" i="4"/>
  <c r="U13" i="4"/>
  <c r="U12" i="4"/>
  <c r="U11" i="4"/>
  <c r="U10" i="4"/>
  <c r="U9" i="4"/>
  <c r="U8" i="4"/>
  <c r="U7" i="4"/>
  <c r="U6" i="4"/>
  <c r="U5" i="4"/>
  <c r="U4" i="4"/>
  <c r="U3" i="4"/>
  <c r="U2" i="4"/>
  <c r="S37" i="4"/>
  <c r="S36" i="4"/>
  <c r="S35" i="4"/>
  <c r="S34" i="4"/>
  <c r="S33" i="4"/>
  <c r="S32" i="4"/>
  <c r="S31" i="4"/>
  <c r="S30" i="4"/>
  <c r="S29" i="4"/>
  <c r="S28" i="4"/>
  <c r="S27" i="4"/>
  <c r="S26" i="4"/>
  <c r="S25" i="4"/>
  <c r="S24" i="4"/>
  <c r="S23" i="4"/>
  <c r="S22" i="4"/>
  <c r="S21" i="4"/>
  <c r="S20" i="4"/>
  <c r="S19" i="4"/>
  <c r="S18" i="4"/>
  <c r="S17" i="4"/>
  <c r="S16" i="4"/>
  <c r="S15" i="4"/>
  <c r="S14" i="4"/>
  <c r="S13" i="4"/>
  <c r="S12" i="4"/>
  <c r="S11" i="4"/>
  <c r="S10" i="4"/>
  <c r="S9" i="4"/>
  <c r="S8" i="4"/>
  <c r="S7" i="4"/>
  <c r="S6" i="4"/>
  <c r="S5" i="4"/>
  <c r="S4" i="4"/>
  <c r="S3" i="4"/>
  <c r="S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2" i="4"/>
  <c r="O37" i="4"/>
  <c r="O36" i="4"/>
  <c r="O35" i="4"/>
  <c r="O34" i="4"/>
  <c r="O33" i="4"/>
  <c r="O32" i="4"/>
  <c r="O31" i="4"/>
  <c r="O30" i="4"/>
  <c r="O29" i="4"/>
  <c r="O28" i="4"/>
  <c r="O27" i="4"/>
  <c r="O26" i="4"/>
  <c r="O25" i="4"/>
  <c r="O24" i="4"/>
  <c r="O23" i="4"/>
  <c r="O22" i="4"/>
  <c r="O21" i="4"/>
  <c r="O20" i="4"/>
  <c r="O19" i="4"/>
  <c r="O18" i="4"/>
  <c r="O17" i="4"/>
  <c r="O16" i="4"/>
  <c r="O15" i="4"/>
  <c r="O14" i="4"/>
  <c r="O13" i="4"/>
  <c r="O12" i="4"/>
  <c r="O11" i="4"/>
  <c r="O10" i="4"/>
  <c r="O9" i="4"/>
  <c r="O8" i="4"/>
  <c r="O7" i="4"/>
  <c r="O6" i="4"/>
  <c r="O5" i="4"/>
  <c r="O4" i="4"/>
  <c r="O3" i="4"/>
  <c r="O2" i="4"/>
  <c r="M37" i="4"/>
  <c r="M36" i="4"/>
  <c r="M35" i="4"/>
  <c r="M34" i="4"/>
  <c r="M33" i="4"/>
  <c r="M32" i="4"/>
  <c r="M31" i="4"/>
  <c r="M30" i="4"/>
  <c r="M29" i="4"/>
  <c r="M28" i="4"/>
  <c r="M27" i="4"/>
  <c r="M26" i="4"/>
  <c r="M25" i="4"/>
  <c r="M24" i="4"/>
  <c r="M23" i="4"/>
  <c r="M22" i="4"/>
  <c r="M21" i="4"/>
  <c r="M20" i="4"/>
  <c r="M19" i="4"/>
  <c r="M18" i="4"/>
  <c r="M17" i="4"/>
  <c r="M16" i="4"/>
  <c r="M15" i="4"/>
  <c r="M14" i="4"/>
  <c r="M13" i="4"/>
  <c r="M12" i="4"/>
  <c r="M11" i="4"/>
  <c r="M10" i="4"/>
  <c r="M9" i="4"/>
  <c r="M8" i="4"/>
  <c r="M7" i="4"/>
  <c r="M6" i="4"/>
  <c r="M5" i="4"/>
  <c r="M4" i="4"/>
  <c r="E3" i="4"/>
  <c r="E4" i="4"/>
  <c r="E5" i="4"/>
  <c r="E6" i="4"/>
  <c r="E2" i="4"/>
  <c r="D3" i="4"/>
  <c r="D4" i="4"/>
  <c r="D5" i="4"/>
  <c r="D6" i="4"/>
  <c r="D2" i="4"/>
  <c r="H2" i="4" s="1"/>
  <c r="AK24" i="4"/>
  <c r="AK23" i="4"/>
  <c r="AK22" i="4"/>
  <c r="AK21" i="4"/>
  <c r="AK20" i="4"/>
  <c r="AK19" i="4"/>
  <c r="AK18" i="4"/>
  <c r="AK17" i="4"/>
  <c r="AK16" i="4"/>
  <c r="AK15" i="4"/>
  <c r="AK14" i="4"/>
  <c r="AK13" i="4"/>
  <c r="AK12" i="4"/>
  <c r="BZ11" i="4"/>
  <c r="BX11" i="4"/>
  <c r="BV11" i="4"/>
  <c r="BT11" i="4"/>
  <c r="BR11" i="4"/>
  <c r="AO11" i="4"/>
  <c r="AK11" i="4"/>
  <c r="BZ10" i="4"/>
  <c r="BX10" i="4"/>
  <c r="BV10" i="4"/>
  <c r="BT10" i="4"/>
  <c r="BR10" i="4"/>
  <c r="AO10" i="4"/>
  <c r="AK10" i="4"/>
  <c r="BZ9" i="4"/>
  <c r="BX9" i="4"/>
  <c r="BV9" i="4"/>
  <c r="BT9" i="4"/>
  <c r="BR9" i="4"/>
  <c r="AO9" i="4"/>
  <c r="AK9" i="4"/>
  <c r="BZ8" i="4"/>
  <c r="BX8" i="4"/>
  <c r="BV8" i="4"/>
  <c r="BT8" i="4"/>
  <c r="BR8" i="4"/>
  <c r="AO8" i="4"/>
  <c r="AK8" i="4"/>
  <c r="BZ7" i="4"/>
  <c r="BX7" i="4"/>
  <c r="BV7" i="4"/>
  <c r="BT7" i="4"/>
  <c r="BR7" i="4"/>
  <c r="AO7" i="4"/>
  <c r="AK7" i="4"/>
  <c r="BZ6" i="4"/>
  <c r="BX6" i="4"/>
  <c r="BV6" i="4"/>
  <c r="BT6" i="4"/>
  <c r="BR6" i="4"/>
  <c r="BN6" i="4"/>
  <c r="BL6" i="4"/>
  <c r="BJ6" i="4"/>
  <c r="BH6" i="4"/>
  <c r="BF6" i="4"/>
  <c r="BD6" i="4"/>
  <c r="BB6" i="4"/>
  <c r="AZ6" i="4"/>
  <c r="AX6" i="4"/>
  <c r="AV6" i="4"/>
  <c r="AO6" i="4"/>
  <c r="AK6" i="4"/>
  <c r="BZ5" i="4"/>
  <c r="BX5" i="4"/>
  <c r="BV5" i="4"/>
  <c r="BT5" i="4"/>
  <c r="BR5" i="4"/>
  <c r="BN5" i="4"/>
  <c r="BL5" i="4"/>
  <c r="BJ5" i="4"/>
  <c r="BH5" i="4"/>
  <c r="BF5" i="4"/>
  <c r="BD5" i="4"/>
  <c r="BB5" i="4"/>
  <c r="AZ5" i="4"/>
  <c r="AX5" i="4"/>
  <c r="AV5" i="4"/>
  <c r="AO5" i="4"/>
  <c r="AK5" i="4"/>
  <c r="BZ4" i="4"/>
  <c r="BX4" i="4"/>
  <c r="BV4" i="4"/>
  <c r="BT4" i="4"/>
  <c r="BR4" i="4"/>
  <c r="BN4" i="4"/>
  <c r="BL4" i="4"/>
  <c r="BJ4" i="4"/>
  <c r="BH4" i="4"/>
  <c r="BF4" i="4"/>
  <c r="BD4" i="4"/>
  <c r="BB4" i="4"/>
  <c r="AZ4" i="4"/>
  <c r="AX4" i="4"/>
  <c r="AV4" i="4"/>
  <c r="AO4" i="4"/>
  <c r="AK4" i="4"/>
  <c r="BZ3" i="4"/>
  <c r="BX3" i="4"/>
  <c r="BV3" i="4"/>
  <c r="BT3" i="4"/>
  <c r="BR3" i="4"/>
  <c r="BN3" i="4"/>
  <c r="BL3" i="4"/>
  <c r="BJ3" i="4"/>
  <c r="BH3" i="4"/>
  <c r="BF3" i="4"/>
  <c r="BD3" i="4"/>
  <c r="BB3" i="4"/>
  <c r="AZ3" i="4"/>
  <c r="AX3" i="4"/>
  <c r="AV3" i="4"/>
  <c r="AK3" i="4"/>
  <c r="BZ2" i="4"/>
  <c r="BX2" i="4"/>
  <c r="BV2" i="4"/>
  <c r="BT2" i="4"/>
  <c r="BR2" i="4"/>
  <c r="BN2" i="4"/>
  <c r="BL2" i="4"/>
  <c r="BJ2" i="4"/>
  <c r="BH2" i="4"/>
  <c r="BF2" i="4"/>
  <c r="BD2" i="4"/>
  <c r="BB2" i="4"/>
  <c r="AZ2" i="4"/>
  <c r="AX2" i="4"/>
  <c r="AV2" i="4"/>
  <c r="AO2" i="4"/>
  <c r="AK2" i="4"/>
  <c r="AJ6" i="2"/>
  <c r="AJ5" i="2"/>
  <c r="AJ4" i="2"/>
  <c r="AJ3" i="2"/>
  <c r="AJ2" i="2"/>
  <c r="AH6" i="2"/>
  <c r="AH5" i="2"/>
  <c r="AH4" i="2"/>
  <c r="AH3" i="2"/>
  <c r="AF2" i="2"/>
  <c r="AH2" i="2"/>
  <c r="AF6" i="2"/>
  <c r="AF5" i="2"/>
  <c r="AF4" i="2"/>
  <c r="AF3" i="2"/>
  <c r="AD6" i="2"/>
  <c r="AD5" i="2"/>
  <c r="AD4" i="2"/>
  <c r="AD3" i="2"/>
  <c r="AD2" i="2"/>
  <c r="AB6" i="2"/>
  <c r="AB5" i="2"/>
  <c r="AB4" i="2"/>
  <c r="AB3" i="2"/>
  <c r="AB2" i="2"/>
  <c r="Z6" i="2"/>
  <c r="Z5" i="2"/>
  <c r="Z4" i="2"/>
  <c r="Z3" i="2"/>
  <c r="Z2" i="2"/>
  <c r="X6" i="2"/>
  <c r="X5" i="2"/>
  <c r="X4" i="2"/>
  <c r="X3" i="2"/>
  <c r="X2" i="2"/>
  <c r="V6" i="2"/>
  <c r="V5" i="2"/>
  <c r="V4" i="2"/>
  <c r="V3" i="2"/>
  <c r="V2" i="2"/>
  <c r="T6" i="2"/>
  <c r="T4" i="2"/>
  <c r="T2" i="2"/>
  <c r="T5" i="2"/>
  <c r="T3" i="2"/>
  <c r="R3" i="2"/>
  <c r="R4" i="2"/>
  <c r="R5" i="2"/>
  <c r="R6" i="2"/>
  <c r="R2" i="2"/>
  <c r="AN2" i="2"/>
  <c r="H11" i="2"/>
  <c r="H24" i="2"/>
  <c r="H23" i="2"/>
  <c r="H22" i="2"/>
  <c r="H21" i="2"/>
  <c r="H20" i="2"/>
  <c r="H19" i="2"/>
  <c r="H18" i="2"/>
  <c r="H17" i="2"/>
  <c r="H16" i="2"/>
  <c r="H15" i="2"/>
  <c r="H14" i="2"/>
  <c r="H13" i="2"/>
  <c r="H12" i="2"/>
  <c r="AV11" i="2"/>
  <c r="AT11" i="2"/>
  <c r="AR11" i="2"/>
  <c r="AP11" i="2"/>
  <c r="AN11" i="2"/>
  <c r="N11" i="2"/>
  <c r="L11" i="2"/>
  <c r="AV10" i="2"/>
  <c r="AT10" i="2"/>
  <c r="AR10" i="2"/>
  <c r="AP10" i="2"/>
  <c r="AN10" i="2"/>
  <c r="N10" i="2"/>
  <c r="L10" i="2"/>
  <c r="H10" i="2"/>
  <c r="AV9" i="2"/>
  <c r="AT9" i="2"/>
  <c r="AR9" i="2"/>
  <c r="AP9" i="2"/>
  <c r="AN9" i="2"/>
  <c r="N9" i="2"/>
  <c r="L9" i="2"/>
  <c r="H9" i="2"/>
  <c r="AV8" i="2"/>
  <c r="AT8" i="2"/>
  <c r="AR8" i="2"/>
  <c r="AP8" i="2"/>
  <c r="AN8" i="2"/>
  <c r="N8" i="2"/>
  <c r="L8" i="2"/>
  <c r="H8" i="2"/>
  <c r="AV7" i="2"/>
  <c r="AT7" i="2"/>
  <c r="AR7" i="2"/>
  <c r="AP7" i="2"/>
  <c r="AN7" i="2"/>
  <c r="N7" i="2"/>
  <c r="L7" i="2"/>
  <c r="H7" i="2"/>
  <c r="AV6" i="2"/>
  <c r="AT6" i="2"/>
  <c r="AR6" i="2"/>
  <c r="AP6" i="2"/>
  <c r="AN6" i="2"/>
  <c r="N6" i="2"/>
  <c r="L6" i="2"/>
  <c r="H6" i="2"/>
  <c r="AV5" i="2"/>
  <c r="AT5" i="2"/>
  <c r="AR5" i="2"/>
  <c r="AP5" i="2"/>
  <c r="AN5" i="2"/>
  <c r="N5" i="2"/>
  <c r="L5" i="2"/>
  <c r="H5" i="2"/>
  <c r="AV4" i="2"/>
  <c r="AT4" i="2"/>
  <c r="AR4" i="2"/>
  <c r="AP4" i="2"/>
  <c r="AN4" i="2"/>
  <c r="N4" i="2"/>
  <c r="L4" i="2"/>
  <c r="H4" i="2"/>
  <c r="AV3" i="2"/>
  <c r="AT3" i="2"/>
  <c r="AR3" i="2"/>
  <c r="AP3" i="2"/>
  <c r="AN3" i="2"/>
  <c r="N3" i="2"/>
  <c r="L3" i="2"/>
  <c r="H3" i="2"/>
  <c r="AV2" i="2"/>
  <c r="AT2" i="2"/>
  <c r="AR2" i="2"/>
  <c r="AP2" i="2"/>
  <c r="N2" i="2"/>
  <c r="L2" i="2"/>
  <c r="H2" i="2"/>
  <c r="R5" i="1"/>
  <c r="X11" i="1"/>
  <c r="V11" i="1"/>
  <c r="T11" i="1"/>
  <c r="R11" i="1"/>
  <c r="P11" i="1"/>
  <c r="X10" i="1"/>
  <c r="V10" i="1"/>
  <c r="T10" i="1"/>
  <c r="R10" i="1"/>
  <c r="P10" i="1"/>
  <c r="X9" i="1"/>
  <c r="V9" i="1"/>
  <c r="T9" i="1"/>
  <c r="R9" i="1"/>
  <c r="P9" i="1"/>
  <c r="X8" i="1"/>
  <c r="V8" i="1"/>
  <c r="T8" i="1"/>
  <c r="R8" i="1"/>
  <c r="P8" i="1"/>
  <c r="X7" i="1"/>
  <c r="V7" i="1"/>
  <c r="T7" i="1"/>
  <c r="R7" i="1"/>
  <c r="P7" i="1"/>
  <c r="X6" i="1"/>
  <c r="V6" i="1"/>
  <c r="T6" i="1"/>
  <c r="R6" i="1"/>
  <c r="P6" i="1"/>
  <c r="X5" i="1"/>
  <c r="V5" i="1"/>
  <c r="T5" i="1"/>
  <c r="P5" i="1"/>
  <c r="X4" i="1"/>
  <c r="V4" i="1"/>
  <c r="T4" i="1"/>
  <c r="R4" i="1"/>
  <c r="P4" i="1"/>
  <c r="X3" i="1"/>
  <c r="V3" i="1"/>
  <c r="T3" i="1"/>
  <c r="R3" i="1"/>
  <c r="P3" i="1"/>
  <c r="X2" i="1"/>
  <c r="V2" i="1"/>
  <c r="T2" i="1"/>
  <c r="R2" i="1"/>
  <c r="P2" i="1"/>
  <c r="J11" i="1"/>
  <c r="J10" i="1"/>
  <c r="J9" i="1"/>
  <c r="J8" i="1"/>
  <c r="J7" i="1"/>
  <c r="J6" i="1"/>
  <c r="J5" i="1"/>
  <c r="J4" i="1"/>
  <c r="J3" i="1"/>
  <c r="J2" i="1"/>
  <c r="L11" i="1"/>
  <c r="L10" i="1"/>
  <c r="L9" i="1"/>
  <c r="L8" i="1"/>
  <c r="L7" i="1"/>
  <c r="L6" i="1"/>
  <c r="L5" i="1"/>
  <c r="L4" i="1"/>
  <c r="L2" i="1"/>
  <c r="L3" i="1"/>
  <c r="G24" i="1"/>
  <c r="G23" i="1"/>
  <c r="G22" i="1"/>
  <c r="G21" i="1"/>
  <c r="G20" i="1"/>
  <c r="G19" i="1"/>
  <c r="G18" i="1"/>
  <c r="G17" i="1"/>
  <c r="G16" i="1"/>
  <c r="G15" i="1"/>
  <c r="G14" i="1"/>
  <c r="G13" i="1"/>
  <c r="G12" i="1"/>
  <c r="G11" i="1"/>
  <c r="G10" i="1"/>
  <c r="G9" i="1"/>
  <c r="G8" i="1"/>
  <c r="G7" i="1"/>
  <c r="G6" i="1"/>
  <c r="G5" i="1"/>
  <c r="G4" i="1"/>
  <c r="G3" i="1"/>
  <c r="G2" i="1"/>
  <c r="F2" i="6" l="1"/>
  <c r="G2" i="6" s="1"/>
  <c r="G3" i="6" s="1"/>
  <c r="G4" i="6" s="1"/>
  <c r="G5" i="6" s="1"/>
  <c r="G6" i="6" s="1"/>
  <c r="L9" i="6"/>
  <c r="L8" i="6"/>
  <c r="L10" i="6"/>
  <c r="L6" i="6"/>
  <c r="L5" i="6"/>
  <c r="AI43" i="5"/>
  <c r="L11" i="5" s="1"/>
  <c r="M11" i="5" s="1" a="1"/>
  <c r="M11" i="5" s="1"/>
  <c r="AG43" i="5"/>
  <c r="L10" i="5" s="1"/>
  <c r="M10" i="5" s="1" a="1"/>
  <c r="M10" i="5" s="1"/>
  <c r="AE43" i="5"/>
  <c r="L9" i="5" s="1"/>
  <c r="M9" i="5" s="1" a="1"/>
  <c r="M9" i="5" s="1"/>
  <c r="AC43" i="5"/>
  <c r="L8" i="5" s="1"/>
  <c r="M8" i="5" s="1" a="1"/>
  <c r="M8" i="5" s="1"/>
  <c r="AA43" i="5"/>
  <c r="L7" i="5" s="1"/>
  <c r="M7" i="5" s="1" a="1"/>
  <c r="M7" i="5" s="1"/>
  <c r="W43" i="5"/>
  <c r="L5" i="5" s="1"/>
  <c r="M5" i="5" s="1" a="1"/>
  <c r="M5" i="5" s="1"/>
  <c r="U43" i="5"/>
  <c r="L4" i="5" s="1"/>
  <c r="M4" i="5" s="1" a="1"/>
  <c r="M4" i="5" s="1"/>
  <c r="AV8" i="5"/>
  <c r="L6" i="5"/>
  <c r="M6" i="5" s="1" a="1"/>
  <c r="M6" i="5" s="1"/>
  <c r="L3" i="5"/>
  <c r="M3" i="5" s="1" a="1"/>
  <c r="M3" i="5" s="1"/>
  <c r="AV9" i="5"/>
  <c r="AV4" i="5"/>
  <c r="AV3" i="5"/>
  <c r="F2" i="5"/>
  <c r="F3" i="5" s="1"/>
  <c r="F4" i="5" s="1"/>
  <c r="F5" i="5" s="1"/>
  <c r="F6" i="5" s="1"/>
  <c r="AV2" i="5"/>
  <c r="AV10" i="5"/>
  <c r="L2" i="5"/>
  <c r="M2" i="5" s="1" a="1"/>
  <c r="M2" i="5" s="1"/>
  <c r="AV11" i="5"/>
  <c r="AV5" i="5"/>
  <c r="AV7" i="5"/>
  <c r="AR2" i="4"/>
  <c r="AR10" i="4"/>
  <c r="AR9" i="4"/>
  <c r="AR8" i="4"/>
  <c r="AC38" i="4"/>
  <c r="S38" i="4"/>
  <c r="O38" i="4"/>
  <c r="W38" i="4"/>
  <c r="Q38" i="4"/>
  <c r="AE38" i="4"/>
  <c r="AA38" i="4"/>
  <c r="U38" i="4"/>
  <c r="Y38" i="4"/>
  <c r="M38" i="4"/>
  <c r="F2" i="4"/>
  <c r="F3" i="4" s="1"/>
  <c r="F4" i="4" s="1"/>
  <c r="F5" i="4" s="1"/>
  <c r="F6" i="4" s="1"/>
  <c r="F3" i="6" l="1"/>
  <c r="F4" i="6" s="1"/>
  <c r="F5" i="6" s="1"/>
  <c r="F6" i="6" s="1"/>
  <c r="F13" i="6"/>
  <c r="F11" i="6"/>
  <c r="I11" i="6"/>
  <c r="F9" i="6"/>
  <c r="I12" i="6"/>
  <c r="M12" i="6"/>
  <c r="I9" i="6"/>
  <c r="I10" i="6"/>
  <c r="I13" i="6"/>
  <c r="F12" i="6"/>
  <c r="M13" i="6"/>
  <c r="F10" i="6"/>
  <c r="I2" i="6"/>
  <c r="M12" i="5"/>
  <c r="I12" i="5"/>
  <c r="I11" i="5"/>
  <c r="I10" i="5"/>
  <c r="F13" i="5"/>
  <c r="F12" i="5"/>
  <c r="F11" i="5"/>
  <c r="F10" i="5"/>
  <c r="F9" i="5"/>
  <c r="M13" i="5"/>
  <c r="I13" i="5"/>
  <c r="I9" i="5"/>
  <c r="G2" i="5"/>
  <c r="G3" i="5" s="1"/>
  <c r="G4" i="5" s="1"/>
  <c r="G5" i="5" s="1"/>
  <c r="G6" i="5" s="1"/>
  <c r="G2" i="4"/>
  <c r="G3" i="4" s="1"/>
  <c r="G4" i="4" s="1"/>
  <c r="G5" i="4" s="1"/>
  <c r="G6" i="4" s="1"/>
  <c r="I3" i="6" l="1"/>
  <c r="H3" i="6"/>
  <c r="I2" i="4"/>
  <c r="H3" i="4" s="1"/>
  <c r="H4" i="6" l="1"/>
  <c r="I4" i="6"/>
  <c r="H3" i="5"/>
  <c r="I3" i="5"/>
  <c r="I3" i="4"/>
  <c r="I4" i="4" s="1"/>
  <c r="I5" i="4" s="1"/>
  <c r="I5" i="6" l="1"/>
  <c r="H5" i="6"/>
  <c r="H4" i="5"/>
  <c r="I4" i="5"/>
  <c r="H4" i="4"/>
  <c r="H5" i="4"/>
  <c r="I6" i="4"/>
  <c r="H6" i="4"/>
  <c r="I6" i="6" l="1"/>
  <c r="H6" i="6"/>
  <c r="M8" i="6" s="1" a="1"/>
  <c r="M8" i="6" s="1"/>
  <c r="I5" i="5"/>
  <c r="H5" i="5"/>
  <c r="M2" i="6" l="1" a="1"/>
  <c r="M2" i="6" s="1"/>
  <c r="M9" i="6" a="1"/>
  <c r="M9" i="6" s="1"/>
  <c r="M11" i="6" a="1"/>
  <c r="M11" i="6" s="1"/>
  <c r="M10" i="6" a="1"/>
  <c r="M10" i="6" s="1"/>
  <c r="M7" i="6" a="1"/>
  <c r="M7" i="6" s="1"/>
  <c r="M4" i="6" a="1"/>
  <c r="M4" i="6" s="1"/>
  <c r="M5" i="6" a="1"/>
  <c r="M5" i="6" s="1"/>
  <c r="M3" i="6" a="1"/>
  <c r="M3" i="6" s="1"/>
  <c r="M6" i="6" a="1"/>
  <c r="M6" i="6" s="1"/>
  <c r="H6" i="5"/>
  <c r="I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<sst xmlns="http://schemas.openxmlformats.org/spreadsheetml/2006/main" count="1931" uniqueCount="384">
  <si>
    <t>TITLE</t>
  </si>
  <si>
    <t>Understanding Time Allocation Patterns of College Students: A Time Study Survey to Assess Daily Time Allocation and Activities</t>
  </si>
  <si>
    <t>Attending classes and lectures</t>
  </si>
  <si>
    <t>1 = Strongly Disagree</t>
  </si>
  <si>
    <t>2 = Disagree</t>
  </si>
  <si>
    <t>3 = Neutral</t>
  </si>
  <si>
    <t>4 = Agree</t>
  </si>
  <si>
    <t>5 = Strongly Agree</t>
  </si>
  <si>
    <t>Please rate the following statements based on your typical time allocation, using the Likert scale below:</t>
  </si>
  <si>
    <t xml:space="preserve">I spend an adequate amount of time studying and completing assignments. </t>
  </si>
  <si>
    <t xml:space="preserve">I am involved in extracurricular activities that contribute to my personal growth and development. </t>
  </si>
  <si>
    <t xml:space="preserve">I dedicate enough time to socializing and maintaining relationships with friends, family, and significant others. </t>
  </si>
  <si>
    <t>My commute to and from campus is reasonable and does not significantly impact my time.</t>
  </si>
  <si>
    <t xml:space="preserve">I get enough restful sleep on a regular basis. </t>
  </si>
  <si>
    <t>Thank you for participating in this survey! Your responses will contribute to a better understanding of time allocation among college students on a daily basis.</t>
  </si>
  <si>
    <t>OBJECTIVE</t>
  </si>
  <si>
    <t>SURVEY LINK</t>
  </si>
  <si>
    <t>QUESTIONNAIRES</t>
  </si>
  <si>
    <t>The survey aims to provide insights into the distribution of time among various activities and identify potential areas of focus for time management and productivity enhancement. The findings of this study can assist educational institutions and students in understanding how time is utilized and provide valuable insights for improving time management skills and promoting a balanced lifestyle among college students.</t>
  </si>
  <si>
    <t>Imagine you have a total of 24 hours in a day to allocate your time across different activities. Please distribute these 24 hours according to how you typically spend your day. Assign the number of hours you spend on each activity by entering a whole number from 0 to 24 in the respective category. Ensure that the total number of hours allocated adds up to 24.</t>
  </si>
  <si>
    <t>DATA PRIVACY CONSENT AND AGREEMENT</t>
  </si>
  <si>
    <t>By participating in this survey, you agree to the collection, storage, and processing of your personal information and survey responses for research purposes. Your data will be treated confidentially and protected in accordance with applicable data protection laws. Your information will not be shared with third parties without your consent, except as required by law. Participation in this survey is voluntary, and you can withdraw at any time.</t>
  </si>
  <si>
    <t>Would you like to provide your consent to continue with the survey?  Please select the appropriate option that reflects your decision.</t>
  </si>
  <si>
    <t>HYPOTHESIS</t>
  </si>
  <si>
    <t>SURVEY RESPONSES</t>
  </si>
  <si>
    <t>https://docs.google.com/spreadsheets/d/1blo1iP8AD0CmVIvgDDGu3No6WABOU6PWk-6x1ddWIUk/edit#gid=1891099184</t>
  </si>
  <si>
    <t>https://docs.google.com/forms/d/e/1FAIpQLSca0jaQQFxS26s4XjyrLcNNM_pHaG0sp4puW4urMfiFK3TwSw/viewform</t>
  </si>
  <si>
    <t>Male</t>
  </si>
  <si>
    <t>Female</t>
  </si>
  <si>
    <t>Prefer not to Say</t>
  </si>
  <si>
    <t>Responses</t>
  </si>
  <si>
    <t>Percentage</t>
  </si>
  <si>
    <t>Under 18 years old</t>
  </si>
  <si>
    <t>18-21 years old</t>
  </si>
  <si>
    <t>Choices</t>
  </si>
  <si>
    <t>22-25 years old</t>
  </si>
  <si>
    <t>26-29 years old</t>
  </si>
  <si>
    <t>30 years old and above</t>
  </si>
  <si>
    <t>Arts and Humanities</t>
  </si>
  <si>
    <t>Business and Economics</t>
  </si>
  <si>
    <t>Engineering and Technology</t>
  </si>
  <si>
    <t>Natural Sciences</t>
  </si>
  <si>
    <t>Social Sciences</t>
  </si>
  <si>
    <t>Computer Science and IT</t>
  </si>
  <si>
    <t>Education</t>
  </si>
  <si>
    <t>Criminology</t>
  </si>
  <si>
    <t>Hospitality Management</t>
  </si>
  <si>
    <t>Others</t>
  </si>
  <si>
    <t>Freshman/1st year</t>
  </si>
  <si>
    <t>Sophomore/2nd year</t>
  </si>
  <si>
    <t>Junior/3rd year</t>
  </si>
  <si>
    <t>Senior/4th year</t>
  </si>
  <si>
    <t>Senior/5th year</t>
  </si>
  <si>
    <t>Sleeping</t>
  </si>
  <si>
    <t>Studying and completing assignments</t>
  </si>
  <si>
    <t>Engaging in group projects and collaborations</t>
  </si>
  <si>
    <t>Participating in extracurricular activities</t>
  </si>
  <si>
    <t>Working part-time or internships</t>
  </si>
  <si>
    <t>Socializing with friends and maintaining relationships</t>
  </si>
  <si>
    <t>Commuting to and from campus</t>
  </si>
  <si>
    <t xml:space="preserve">Personal care activities </t>
  </si>
  <si>
    <t xml:space="preserve"> Engaging in personal hobbies and interests</t>
  </si>
  <si>
    <t>I attend classes regularly and actively participate in lectures, seminars, and lab sessions.</t>
  </si>
  <si>
    <t xml:space="preserve"> I actively engage in group projects and collaborations, coordinating schedules and contributing to shared assignments. </t>
  </si>
  <si>
    <t>Balancing my part-time job or internship responsibilities with my academic commitments is manageable</t>
  </si>
  <si>
    <t xml:space="preserve"> I prioritize personal care activities such as exercise, cooking, eating, and self-care routines. </t>
  </si>
  <si>
    <t xml:space="preserve"> I allocate enough time for personal hobbies and interests that provide me with relaxation and enjoyment. </t>
  </si>
  <si>
    <r>
      <rPr>
        <b/>
        <sz val="10"/>
        <color theme="1"/>
        <rFont val="Arial"/>
        <family val="2"/>
      </rPr>
      <t xml:space="preserve">H1: </t>
    </r>
    <r>
      <rPr>
        <sz val="10"/>
        <color theme="1"/>
        <rFont val="Arial"/>
        <family val="2"/>
      </rPr>
      <t>College students who prioritize getting enough sleep as their primary time  will allocate more time and rate high levels of satisfaction with their overall time management as compared to other activities.</t>
    </r>
  </si>
  <si>
    <r>
      <rPr>
        <b/>
        <sz val="10"/>
        <color theme="1"/>
        <rFont val="Arial"/>
        <family val="2"/>
      </rPr>
      <t>H2:</t>
    </r>
    <r>
      <rPr>
        <sz val="10"/>
        <color theme="1"/>
        <rFont val="Arial"/>
        <family val="2"/>
      </rPr>
      <t xml:space="preserve"> Students who prioritize attending classes and actively participating in lectures, seminars, and lab sessions will allocate more time and rate high levels of satisfaction with their overall time management as compared to other activities.</t>
    </r>
  </si>
  <si>
    <r>
      <rPr>
        <b/>
        <sz val="10"/>
        <color theme="1"/>
        <rFont val="Arial"/>
        <family val="2"/>
      </rPr>
      <t>H3:</t>
    </r>
    <r>
      <rPr>
        <sz val="10"/>
        <color theme="1"/>
        <rFont val="Arial"/>
        <family val="2"/>
      </rPr>
      <t xml:space="preserve"> College students who prioritize studying and completing assignments will allocate more time and rate high levels of satisfaction with their overall time management as compared to other activities.</t>
    </r>
  </si>
  <si>
    <r>
      <rPr>
        <b/>
        <sz val="10"/>
        <color theme="1"/>
        <rFont val="Arial"/>
        <family val="2"/>
      </rPr>
      <t>H4:</t>
    </r>
    <r>
      <rPr>
        <sz val="10"/>
        <color theme="1"/>
        <rFont val="Arial"/>
        <family val="2"/>
      </rPr>
      <t xml:space="preserve"> College students who prioritize group projects and collaborations will allocate more time to working on shared assignments and coordinating schedules with their team members compared to other activities and rate high levels of satisfaction with their overall time management as compared to other activities.</t>
    </r>
  </si>
  <si>
    <r>
      <rPr>
        <b/>
        <sz val="10"/>
        <color theme="1"/>
        <rFont val="Arial"/>
        <family val="2"/>
      </rPr>
      <t>H5:</t>
    </r>
    <r>
      <rPr>
        <sz val="10"/>
        <color theme="1"/>
        <rFont val="Arial"/>
        <family val="2"/>
      </rPr>
      <t xml:space="preserve"> College students who prioritize extracurricular activities as their primary time allocation will allocate more time to participating in clubs, organizations, sports teams, or cultural groups and rate high levels of satisfaction with their overall time management as compared to other activities.</t>
    </r>
  </si>
  <si>
    <r>
      <rPr>
        <b/>
        <sz val="10"/>
        <color theme="1"/>
        <rFont val="Arial"/>
        <family val="2"/>
      </rPr>
      <t xml:space="preserve">H6: </t>
    </r>
    <r>
      <rPr>
        <sz val="10"/>
        <color theme="1"/>
        <rFont val="Arial"/>
        <family val="2"/>
      </rPr>
      <t>Students who prioritize their part-time jobs or internships as their primary time allocation will spend more time on work-related responsibilities and rate high levels of satisfaction with their overall time management as compared to other activities.</t>
    </r>
  </si>
  <si>
    <r>
      <rPr>
        <b/>
        <sz val="10"/>
        <color theme="1"/>
        <rFont val="Arial"/>
        <family val="2"/>
      </rPr>
      <t xml:space="preserve">H7: </t>
    </r>
    <r>
      <rPr>
        <sz val="10"/>
        <color theme="1"/>
        <rFont val="Arial"/>
        <family val="2"/>
      </rPr>
      <t>Students who prioritize socializing and maintaining relationships as their primary time allocation will spend more time engaging in social activities and interacting with friends, family, and significant others and rate high levels of satisfaction with their overall time management as compared to other activities.</t>
    </r>
  </si>
  <si>
    <r>
      <rPr>
        <b/>
        <sz val="10"/>
        <color theme="1"/>
        <rFont val="Arial"/>
        <family val="2"/>
      </rPr>
      <t xml:space="preserve">H9: </t>
    </r>
    <r>
      <rPr>
        <sz val="10"/>
        <color theme="1"/>
        <rFont val="Arial"/>
        <family val="2"/>
      </rPr>
      <t>College students who prioritize personal care and well-being as their primary time allocation will allocate more time to self-care activities such as exercising, cooking, eating, and maintaining their physical and mental health and rate high levels of satisfaction with their overall time management as compared to other activities.</t>
    </r>
  </si>
  <si>
    <r>
      <rPr>
        <b/>
        <sz val="10"/>
        <color theme="1"/>
        <rFont val="Arial"/>
        <family val="2"/>
      </rPr>
      <t>H10:</t>
    </r>
    <r>
      <rPr>
        <sz val="10"/>
        <color theme="1"/>
        <rFont val="Arial"/>
        <family val="2"/>
      </rPr>
      <t xml:space="preserve"> Students who prioritize personal hobbies and interests as their primary time allocation will spend more time pursuing activities such as reading for leisure, gaming, playing musical instruments, or engaging in arts and crafts compared to other activities and rate high levels of satisfaction with their overall time management as compared to other activities.</t>
    </r>
  </si>
  <si>
    <t>III. TIME MANAGEMENT</t>
  </si>
  <si>
    <t>II. TIME ALLOCATION</t>
  </si>
  <si>
    <t>I. DEMOGRAPHIC INFORMATION</t>
  </si>
  <si>
    <r>
      <rPr>
        <b/>
        <sz val="10"/>
        <color theme="1"/>
        <rFont val="Arial"/>
        <family val="2"/>
      </rPr>
      <t xml:space="preserve">H8: </t>
    </r>
    <r>
      <rPr>
        <sz val="10"/>
        <color theme="1"/>
        <rFont val="Arial"/>
        <family val="2"/>
      </rPr>
      <t>College students with shorter commute times will rate high levels of satisfaction with their overall time management compared to other activities.</t>
    </r>
  </si>
  <si>
    <t>DEMOGRAPHIC INFORMATION</t>
  </si>
  <si>
    <t>TIME ALLOCATION</t>
  </si>
  <si>
    <t>TIME MANAGEMENT</t>
  </si>
  <si>
    <t>GENDER</t>
  </si>
  <si>
    <t>AGE</t>
  </si>
  <si>
    <t>MAJOR/FIELD OF STUDY</t>
  </si>
  <si>
    <t>YEAR LEVEL</t>
  </si>
  <si>
    <r>
      <rPr>
        <b/>
        <sz val="10"/>
        <color theme="1"/>
        <rFont val="Arial"/>
        <family val="2"/>
      </rPr>
      <t>1.1</t>
    </r>
    <r>
      <rPr>
        <sz val="10"/>
        <color theme="1"/>
        <rFont val="Arial"/>
        <family val="2"/>
      </rPr>
      <t xml:space="preserve"> Complete Name (Optional)</t>
    </r>
  </si>
  <si>
    <r>
      <rPr>
        <b/>
        <sz val="10"/>
        <color theme="1"/>
        <rFont val="Arial"/>
        <family val="2"/>
      </rPr>
      <t>1.2</t>
    </r>
    <r>
      <rPr>
        <sz val="10"/>
        <color theme="1"/>
        <rFont val="Arial"/>
        <family val="2"/>
      </rPr>
      <t xml:space="preserve"> Gender (Male/Female/Prefer not to Say)</t>
    </r>
  </si>
  <si>
    <r>
      <rPr>
        <b/>
        <sz val="10"/>
        <color theme="1"/>
        <rFont val="Arial"/>
        <family val="2"/>
      </rPr>
      <t>1.3</t>
    </r>
    <r>
      <rPr>
        <sz val="10"/>
        <color theme="1"/>
        <rFont val="Arial"/>
        <family val="2"/>
      </rPr>
      <t xml:space="preserve"> Age (Under 18 years old/18-21 years old/22-25 years old/26-29 years old/30 years old and above)</t>
    </r>
  </si>
  <si>
    <r>
      <rPr>
        <b/>
        <sz val="10"/>
        <color theme="1"/>
        <rFont val="Arial"/>
        <family val="2"/>
      </rPr>
      <t>1.4</t>
    </r>
    <r>
      <rPr>
        <sz val="10"/>
        <color theme="1"/>
        <rFont val="Arial"/>
        <family val="2"/>
      </rPr>
      <t xml:space="preserve"> Major/Field of Study</t>
    </r>
  </si>
  <si>
    <r>
      <rPr>
        <b/>
        <sz val="10"/>
        <color theme="1"/>
        <rFont val="Arial"/>
        <family val="2"/>
      </rPr>
      <t>1.5</t>
    </r>
    <r>
      <rPr>
        <sz val="10"/>
        <color theme="1"/>
        <rFont val="Arial"/>
        <family val="2"/>
      </rPr>
      <t xml:space="preserve"> Year Level</t>
    </r>
  </si>
  <si>
    <r>
      <rPr>
        <b/>
        <sz val="10"/>
        <color theme="1"/>
        <rFont val="Arial"/>
        <family val="2"/>
      </rPr>
      <t>2.1</t>
    </r>
    <r>
      <rPr>
        <sz val="10"/>
        <color theme="1"/>
        <rFont val="Arial"/>
        <family val="2"/>
      </rPr>
      <t xml:space="preserve"> Sleeping</t>
    </r>
  </si>
  <si>
    <r>
      <rPr>
        <b/>
        <sz val="10"/>
        <color theme="1"/>
        <rFont val="Arial"/>
        <family val="2"/>
      </rPr>
      <t>2.2</t>
    </r>
    <r>
      <rPr>
        <sz val="10"/>
        <color theme="1"/>
        <rFont val="Arial"/>
        <family val="2"/>
      </rPr>
      <t xml:space="preserve"> Attending classes and lectures</t>
    </r>
  </si>
  <si>
    <r>
      <rPr>
        <b/>
        <sz val="10"/>
        <color theme="1"/>
        <rFont val="Arial"/>
        <family val="2"/>
      </rPr>
      <t>2.3</t>
    </r>
    <r>
      <rPr>
        <sz val="10"/>
        <color theme="1"/>
        <rFont val="Arial"/>
        <family val="2"/>
      </rPr>
      <t xml:space="preserve"> Studying and completing assignments</t>
    </r>
  </si>
  <si>
    <r>
      <rPr>
        <b/>
        <sz val="10"/>
        <color theme="1"/>
        <rFont val="Arial"/>
        <family val="2"/>
      </rPr>
      <t>2.4</t>
    </r>
    <r>
      <rPr>
        <sz val="10"/>
        <color theme="1"/>
        <rFont val="Arial"/>
        <family val="2"/>
      </rPr>
      <t xml:space="preserve"> Engaging in group projects and collaborations</t>
    </r>
  </si>
  <si>
    <r>
      <rPr>
        <b/>
        <sz val="10"/>
        <color theme="1"/>
        <rFont val="Arial"/>
        <family val="2"/>
      </rPr>
      <t>2.5</t>
    </r>
    <r>
      <rPr>
        <sz val="10"/>
        <color theme="1"/>
        <rFont val="Arial"/>
        <family val="2"/>
      </rPr>
      <t xml:space="preserve"> Participating in extracurricular activities</t>
    </r>
  </si>
  <si>
    <r>
      <rPr>
        <b/>
        <sz val="10"/>
        <color theme="1"/>
        <rFont val="Arial"/>
        <family val="2"/>
      </rPr>
      <t>2.6</t>
    </r>
    <r>
      <rPr>
        <sz val="10"/>
        <color theme="1"/>
        <rFont val="Arial"/>
        <family val="2"/>
      </rPr>
      <t xml:space="preserve"> Working part-time or internships</t>
    </r>
  </si>
  <si>
    <r>
      <rPr>
        <b/>
        <sz val="10"/>
        <color theme="1"/>
        <rFont val="Arial"/>
        <family val="2"/>
      </rPr>
      <t>2.7</t>
    </r>
    <r>
      <rPr>
        <sz val="10"/>
        <color theme="1"/>
        <rFont val="Arial"/>
        <family val="2"/>
      </rPr>
      <t xml:space="preserve"> Socializing with friends and maintaining relationships</t>
    </r>
  </si>
  <si>
    <r>
      <rPr>
        <b/>
        <sz val="10"/>
        <color theme="1"/>
        <rFont val="Arial"/>
        <family val="2"/>
      </rPr>
      <t>2.8</t>
    </r>
    <r>
      <rPr>
        <sz val="10"/>
        <color theme="1"/>
        <rFont val="Arial"/>
        <family val="2"/>
      </rPr>
      <t xml:space="preserve"> Commuting to and from campus</t>
    </r>
  </si>
  <si>
    <r>
      <rPr>
        <b/>
        <sz val="10"/>
        <color theme="1"/>
        <rFont val="Arial"/>
        <family val="2"/>
      </rPr>
      <t>2.9</t>
    </r>
    <r>
      <rPr>
        <sz val="10"/>
        <color theme="1"/>
        <rFont val="Arial"/>
        <family val="2"/>
      </rPr>
      <t xml:space="preserve"> Personal care activities (exercise, self-care routines, etc.)</t>
    </r>
  </si>
  <si>
    <r>
      <rPr>
        <b/>
        <sz val="10"/>
        <color theme="1"/>
        <rFont val="Arial"/>
        <family val="2"/>
      </rPr>
      <t>2.10</t>
    </r>
    <r>
      <rPr>
        <sz val="10"/>
        <color theme="1"/>
        <rFont val="Arial"/>
        <family val="2"/>
      </rPr>
      <t xml:space="preserve"> Engaging in personal hobbies and interests</t>
    </r>
  </si>
  <si>
    <r>
      <rPr>
        <b/>
        <sz val="10"/>
        <color theme="1"/>
        <rFont val="Arial"/>
        <family val="2"/>
      </rPr>
      <t>3.1</t>
    </r>
    <r>
      <rPr>
        <sz val="10"/>
        <color theme="1"/>
        <rFont val="Arial"/>
        <family val="2"/>
      </rPr>
      <t xml:space="preserve"> I get enough restful sleep on a regular basis. </t>
    </r>
  </si>
  <si>
    <r>
      <rPr>
        <b/>
        <sz val="10"/>
        <color theme="1"/>
        <rFont val="Arial"/>
        <family val="2"/>
      </rPr>
      <t xml:space="preserve">3.2 </t>
    </r>
    <r>
      <rPr>
        <sz val="10"/>
        <color theme="1"/>
        <rFont val="Arial"/>
        <family val="2"/>
      </rPr>
      <t xml:space="preserve">I attend classes regularly and actively participate in lectures, seminars, and lab sessions. </t>
    </r>
  </si>
  <si>
    <r>
      <rPr>
        <b/>
        <sz val="10"/>
        <color theme="1"/>
        <rFont val="Arial"/>
        <family val="2"/>
      </rPr>
      <t>3.3</t>
    </r>
    <r>
      <rPr>
        <sz val="10"/>
        <color theme="1"/>
        <rFont val="Arial"/>
        <family val="2"/>
      </rPr>
      <t xml:space="preserve"> I spend an adequate amount of time studying and completing assignments. </t>
    </r>
  </si>
  <si>
    <r>
      <rPr>
        <b/>
        <sz val="10"/>
        <color theme="1"/>
        <rFont val="Arial"/>
        <family val="2"/>
      </rPr>
      <t>3.4</t>
    </r>
    <r>
      <rPr>
        <sz val="10"/>
        <color theme="1"/>
        <rFont val="Arial"/>
        <family val="2"/>
      </rPr>
      <t xml:space="preserve"> I actively engage in group projects and collaborations, coordinating schedules and contributing to shared assignments. </t>
    </r>
  </si>
  <si>
    <r>
      <rPr>
        <b/>
        <sz val="10"/>
        <color theme="1"/>
        <rFont val="Arial"/>
        <family val="2"/>
      </rPr>
      <t>3.5</t>
    </r>
    <r>
      <rPr>
        <sz val="10"/>
        <color theme="1"/>
        <rFont val="Arial"/>
        <family val="2"/>
      </rPr>
      <t xml:space="preserve"> I am involved in extracurricular activities that contribute to my personal growth and development. </t>
    </r>
  </si>
  <si>
    <r>
      <rPr>
        <b/>
        <sz val="10"/>
        <color theme="1"/>
        <rFont val="Arial"/>
        <family val="2"/>
      </rPr>
      <t>3.6</t>
    </r>
    <r>
      <rPr>
        <sz val="10"/>
        <color theme="1"/>
        <rFont val="Arial"/>
        <family val="2"/>
      </rPr>
      <t xml:space="preserve"> Balancing my part-time job or internship responsibilities with my academic commitments is manageable.</t>
    </r>
  </si>
  <si>
    <r>
      <rPr>
        <b/>
        <sz val="10"/>
        <color theme="1"/>
        <rFont val="Arial"/>
        <family val="2"/>
      </rPr>
      <t>3.7</t>
    </r>
    <r>
      <rPr>
        <sz val="10"/>
        <color theme="1"/>
        <rFont val="Arial"/>
        <family val="2"/>
      </rPr>
      <t xml:space="preserve"> I dedicate enough time to socializing and maintaining relationships with friends, family, and significant others. </t>
    </r>
  </si>
  <si>
    <r>
      <rPr>
        <b/>
        <sz val="10"/>
        <color theme="1"/>
        <rFont val="Arial"/>
        <family val="2"/>
      </rPr>
      <t>3.8</t>
    </r>
    <r>
      <rPr>
        <sz val="10"/>
        <color theme="1"/>
        <rFont val="Arial"/>
        <family val="2"/>
      </rPr>
      <t xml:space="preserve"> My commute to and from campus is reasonable and does not significantly impact my time.</t>
    </r>
  </si>
  <si>
    <r>
      <rPr>
        <b/>
        <sz val="10"/>
        <color theme="1"/>
        <rFont val="Arial"/>
        <family val="2"/>
      </rPr>
      <t>3.9</t>
    </r>
    <r>
      <rPr>
        <sz val="10"/>
        <color theme="1"/>
        <rFont val="Arial"/>
        <family val="2"/>
      </rPr>
      <t xml:space="preserve"> I prioritize personal care activities such as exercise, cooking, eating, and self-care routines. </t>
    </r>
  </si>
  <si>
    <r>
      <rPr>
        <b/>
        <sz val="10"/>
        <color theme="1"/>
        <rFont val="Arial"/>
        <family val="2"/>
      </rPr>
      <t>3.10</t>
    </r>
    <r>
      <rPr>
        <sz val="10"/>
        <color theme="1"/>
        <rFont val="Arial"/>
        <family val="2"/>
      </rPr>
      <t xml:space="preserve"> I allocate enough time for personal hobbies and interests that provide me with relaxation and enjoyment. </t>
    </r>
  </si>
  <si>
    <r>
      <rPr>
        <b/>
        <sz val="10"/>
        <color theme="1"/>
        <rFont val="Arial"/>
        <family val="2"/>
      </rPr>
      <t>YES</t>
    </r>
    <r>
      <rPr>
        <sz val="10"/>
        <color theme="1"/>
        <rFont val="Arial"/>
        <family val="2"/>
      </rPr>
      <t>, I consent to continue with the survey.</t>
    </r>
  </si>
  <si>
    <r>
      <rPr>
        <b/>
        <sz val="10"/>
        <color theme="1"/>
        <rFont val="Arial"/>
        <family val="2"/>
      </rPr>
      <t>NO</t>
    </r>
    <r>
      <rPr>
        <sz val="10"/>
        <color theme="1"/>
        <rFont val="Arial"/>
        <family val="2"/>
      </rPr>
      <t>, I do not wish to continue with the survey.</t>
    </r>
  </si>
  <si>
    <t>Total Hours</t>
  </si>
  <si>
    <t>Ranking</t>
  </si>
  <si>
    <t>Average Hour Spent</t>
  </si>
  <si>
    <t>SECTION</t>
  </si>
  <si>
    <t>III. TIME MANAGEMENT 
in 
Likert Scale</t>
  </si>
  <si>
    <r>
      <rPr>
        <b/>
        <sz val="10"/>
        <color theme="1"/>
        <rFont val="Arial"/>
        <family val="2"/>
      </rPr>
      <t xml:space="preserve">3.2 </t>
    </r>
    <r>
      <rPr>
        <sz val="10"/>
        <color theme="1"/>
        <rFont val="Arial"/>
        <family val="2"/>
      </rPr>
      <t>I attend classes regularly and actively participate in lectures, seminars, and lab sessions.</t>
    </r>
  </si>
  <si>
    <r>
      <rPr>
        <b/>
        <sz val="10"/>
        <color theme="1"/>
        <rFont val="Arial"/>
        <family val="2"/>
      </rPr>
      <t xml:space="preserve"> 3.4</t>
    </r>
    <r>
      <rPr>
        <sz val="10"/>
        <color theme="1"/>
        <rFont val="Arial"/>
        <family val="2"/>
      </rPr>
      <t xml:space="preserve"> I actively engage in group projects and collaborations, coordinating schedules and contributing to shared assignments. </t>
    </r>
  </si>
  <si>
    <r>
      <rPr>
        <b/>
        <sz val="10"/>
        <color theme="1"/>
        <rFont val="Arial"/>
        <family val="2"/>
      </rPr>
      <t>3.6</t>
    </r>
    <r>
      <rPr>
        <sz val="10"/>
        <color theme="1"/>
        <rFont val="Arial"/>
        <family val="2"/>
      </rPr>
      <t xml:space="preserve"> Balancing my part-time job or internship responsibilities with my academic commitments is manageable</t>
    </r>
  </si>
  <si>
    <r>
      <rPr>
        <b/>
        <sz val="10"/>
        <color theme="1"/>
        <rFont val="Arial"/>
        <family val="2"/>
      </rPr>
      <t>3.9</t>
    </r>
    <r>
      <rPr>
        <sz val="10"/>
        <color theme="1"/>
        <rFont val="Arial"/>
        <family val="2"/>
      </rPr>
      <t xml:space="preserve">  I prioritize personal care activities such as exercise, cooking, eating, and self-care routines. </t>
    </r>
  </si>
  <si>
    <r>
      <rPr>
        <b/>
        <sz val="10"/>
        <color theme="1"/>
        <rFont val="Arial"/>
        <family val="2"/>
      </rPr>
      <t xml:space="preserve"> 3.10 </t>
    </r>
    <r>
      <rPr>
        <sz val="10"/>
        <color theme="1"/>
        <rFont val="Arial"/>
        <family val="2"/>
      </rPr>
      <t xml:space="preserve">I allocate enough time for personal hobbies and interests that provide me with relaxation and enjoyment. </t>
    </r>
  </si>
  <si>
    <r>
      <rPr>
        <b/>
        <sz val="10"/>
        <color theme="1"/>
        <rFont val="Arial"/>
        <family val="2"/>
      </rPr>
      <t>1.4</t>
    </r>
    <r>
      <rPr>
        <sz val="10"/>
        <color theme="1"/>
        <rFont val="Arial"/>
        <family val="2"/>
      </rPr>
      <t xml:space="preserve"> Major/Field of Study (Arts and Humanities/Business and Economics/Engineering and Technology/Natural Sciences/Social Sciences/Computer Science and IT/Education/Education/Hospitality Management/Others)</t>
    </r>
  </si>
  <si>
    <r>
      <rPr>
        <b/>
        <sz val="10"/>
        <color theme="1"/>
        <rFont val="Arial"/>
        <family val="2"/>
      </rPr>
      <t>1.5</t>
    </r>
    <r>
      <rPr>
        <sz val="10"/>
        <color theme="1"/>
        <rFont val="Arial"/>
        <family val="2"/>
      </rPr>
      <t xml:space="preserve"> Year Level (Freshman/1st year/Sophomore/2nd year/Junior/3rd year/Junior/3rd year/Senior/5th year)</t>
    </r>
  </si>
  <si>
    <t>LIKERT SCALE</t>
  </si>
  <si>
    <t>RANGE</t>
  </si>
  <si>
    <t>SCORE</t>
  </si>
  <si>
    <t>INTERVAL</t>
  </si>
  <si>
    <t>LOWER LIMIT</t>
  </si>
  <si>
    <t>UPPER LIMIT</t>
  </si>
  <si>
    <t>6/23/2023 8:24:45</t>
  </si>
  <si>
    <t>6/23/2023 8:27:49</t>
  </si>
  <si>
    <t>6/23/2023 8:33:51</t>
  </si>
  <si>
    <t>6/23/2023 8:37:23</t>
  </si>
  <si>
    <t>6/23/2023 8:42:46</t>
  </si>
  <si>
    <t>6/23/2023 8:43:42</t>
  </si>
  <si>
    <t>6/23/2023 8:45:30</t>
  </si>
  <si>
    <t>6/23/2023 8:56:58</t>
  </si>
  <si>
    <t>6/23/2023 8:57:20</t>
  </si>
  <si>
    <t>6/23/2023 9:13:07</t>
  </si>
  <si>
    <t>6/23/2023 9:34:43</t>
  </si>
  <si>
    <t>6/23/2023 9:38:18</t>
  </si>
  <si>
    <t>6/23/2023 9:44:43</t>
  </si>
  <si>
    <t>6/23/2023 9:45:53</t>
  </si>
  <si>
    <t>6/23/2023 9:53:58</t>
  </si>
  <si>
    <t>6/23/2023 10:08:42</t>
  </si>
  <si>
    <t>6/23/2023 10:28:07</t>
  </si>
  <si>
    <t>6/23/2023 10:35:23</t>
  </si>
  <si>
    <t>6/23/2023 10:41:14</t>
  </si>
  <si>
    <t>6/23/2023 10:51:37</t>
  </si>
  <si>
    <t>6/23/2023 11:06:24</t>
  </si>
  <si>
    <t>6/23/2023 11:11:57</t>
  </si>
  <si>
    <t>6/23/2023 11:18:45</t>
  </si>
  <si>
    <t>6/23/2023 12:18:40</t>
  </si>
  <si>
    <t>6/23/2023 12:20:32</t>
  </si>
  <si>
    <t>6/23/2023 12:38:12</t>
  </si>
  <si>
    <t>6/23/2023 12:40:08</t>
  </si>
  <si>
    <t>6/23/2023 12:52:27</t>
  </si>
  <si>
    <t>6/23/2023 12:52:34</t>
  </si>
  <si>
    <t>6/23/2023 14:05:08</t>
  </si>
  <si>
    <t>6/23/2023 17:53:38</t>
  </si>
  <si>
    <t>6/23/2023 21:39:09</t>
  </si>
  <si>
    <t>RESPONDENT (Coded Names based on Response Date and Time)</t>
  </si>
  <si>
    <t>6/23/2023 8:12:31</t>
  </si>
  <si>
    <t>6/23/2023 8:16:14</t>
  </si>
  <si>
    <t>6/23/2023 8:17:41</t>
  </si>
  <si>
    <t>6/23/2023 8:23:08</t>
  </si>
  <si>
    <t>Q3.10 Rating</t>
  </si>
  <si>
    <t>Question 3.10 Responses</t>
  </si>
  <si>
    <t>AVERAGE</t>
  </si>
  <si>
    <r>
      <rPr>
        <b/>
        <sz val="10"/>
        <color theme="1"/>
        <rFont val="Arial"/>
        <family val="2"/>
      </rPr>
      <t>1.01</t>
    </r>
    <r>
      <rPr>
        <sz val="10"/>
        <color theme="1"/>
        <rFont val="Arial"/>
        <family val="2"/>
      </rPr>
      <t xml:space="preserve"> Complete Name (Optional)</t>
    </r>
  </si>
  <si>
    <r>
      <rPr>
        <b/>
        <sz val="10"/>
        <color theme="1"/>
        <rFont val="Arial"/>
        <family val="2"/>
      </rPr>
      <t>1.02</t>
    </r>
    <r>
      <rPr>
        <sz val="10"/>
        <color theme="1"/>
        <rFont val="Arial"/>
        <family val="2"/>
      </rPr>
      <t xml:space="preserve"> Gender (Male/Female/Prefer not to Say)</t>
    </r>
  </si>
  <si>
    <r>
      <rPr>
        <b/>
        <sz val="10"/>
        <color theme="1"/>
        <rFont val="Arial"/>
        <family val="2"/>
      </rPr>
      <t>1.03</t>
    </r>
    <r>
      <rPr>
        <sz val="10"/>
        <color theme="1"/>
        <rFont val="Arial"/>
        <family val="2"/>
      </rPr>
      <t xml:space="preserve"> Age (Under 18 years old/18-21 years old/22-25 years old/26-29 years old/30 years old and above)</t>
    </r>
  </si>
  <si>
    <r>
      <rPr>
        <b/>
        <sz val="10"/>
        <color theme="1"/>
        <rFont val="Arial"/>
        <family val="2"/>
      </rPr>
      <t>1.04</t>
    </r>
    <r>
      <rPr>
        <sz val="10"/>
        <color theme="1"/>
        <rFont val="Arial"/>
        <family val="2"/>
      </rPr>
      <t xml:space="preserve"> Major/Field of Study (Arts and Humanities/Business and Economics/Engineering and Technology/Natural Sciences/Social Sciences/Computer Science and IT/Education/Education/Hospitality Management/Others)</t>
    </r>
  </si>
  <si>
    <r>
      <rPr>
        <b/>
        <sz val="10"/>
        <color theme="1"/>
        <rFont val="Arial"/>
        <family val="2"/>
      </rPr>
      <t>1.05</t>
    </r>
    <r>
      <rPr>
        <sz val="10"/>
        <color theme="1"/>
        <rFont val="Arial"/>
        <family val="2"/>
      </rPr>
      <t xml:space="preserve"> Year Level (Freshman/1st year/Sophomore/2nd year/Junior/3rd year/Junior/3rd year/Senior/5th year)</t>
    </r>
  </si>
  <si>
    <r>
      <rPr>
        <b/>
        <sz val="10"/>
        <color theme="1"/>
        <rFont val="Arial"/>
        <family val="2"/>
      </rPr>
      <t>2.01</t>
    </r>
    <r>
      <rPr>
        <sz val="10"/>
        <color theme="1"/>
        <rFont val="Arial"/>
        <family val="2"/>
      </rPr>
      <t xml:space="preserve"> Sleeping</t>
    </r>
  </si>
  <si>
    <r>
      <rPr>
        <b/>
        <sz val="10"/>
        <color theme="1"/>
        <rFont val="Arial"/>
        <family val="2"/>
      </rPr>
      <t>2.02</t>
    </r>
    <r>
      <rPr>
        <sz val="10"/>
        <color theme="1"/>
        <rFont val="Arial"/>
        <family val="2"/>
      </rPr>
      <t xml:space="preserve"> Attending classes and lectures</t>
    </r>
  </si>
  <si>
    <r>
      <rPr>
        <b/>
        <sz val="10"/>
        <color theme="1"/>
        <rFont val="Arial"/>
        <family val="2"/>
      </rPr>
      <t>2.03</t>
    </r>
    <r>
      <rPr>
        <sz val="10"/>
        <color theme="1"/>
        <rFont val="Arial"/>
        <family val="2"/>
      </rPr>
      <t xml:space="preserve"> Studying and completing assignments</t>
    </r>
  </si>
  <si>
    <r>
      <rPr>
        <b/>
        <sz val="10"/>
        <color theme="1"/>
        <rFont val="Arial"/>
        <family val="2"/>
      </rPr>
      <t>2.04</t>
    </r>
    <r>
      <rPr>
        <sz val="10"/>
        <color theme="1"/>
        <rFont val="Arial"/>
        <family val="2"/>
      </rPr>
      <t xml:space="preserve"> Engaging in group projects and collaborations</t>
    </r>
  </si>
  <si>
    <r>
      <rPr>
        <b/>
        <sz val="10"/>
        <color theme="1"/>
        <rFont val="Arial"/>
        <family val="2"/>
      </rPr>
      <t>2.05</t>
    </r>
    <r>
      <rPr>
        <sz val="10"/>
        <color theme="1"/>
        <rFont val="Arial"/>
        <family val="2"/>
      </rPr>
      <t xml:space="preserve"> Participating in extracurricular activities</t>
    </r>
  </si>
  <si>
    <r>
      <rPr>
        <b/>
        <sz val="10"/>
        <color theme="1"/>
        <rFont val="Arial"/>
        <family val="2"/>
      </rPr>
      <t>2.06</t>
    </r>
    <r>
      <rPr>
        <sz val="10"/>
        <color theme="1"/>
        <rFont val="Arial"/>
        <family val="2"/>
      </rPr>
      <t xml:space="preserve"> Working part-time or internships</t>
    </r>
  </si>
  <si>
    <r>
      <rPr>
        <b/>
        <sz val="10"/>
        <color theme="1"/>
        <rFont val="Arial"/>
        <family val="2"/>
      </rPr>
      <t>2.07</t>
    </r>
    <r>
      <rPr>
        <sz val="10"/>
        <color theme="1"/>
        <rFont val="Arial"/>
        <family val="2"/>
      </rPr>
      <t xml:space="preserve"> Socializing with friends and maintaining relationships</t>
    </r>
  </si>
  <si>
    <r>
      <rPr>
        <b/>
        <sz val="10"/>
        <color theme="1"/>
        <rFont val="Arial"/>
        <family val="2"/>
      </rPr>
      <t>2.08</t>
    </r>
    <r>
      <rPr>
        <sz val="10"/>
        <color theme="1"/>
        <rFont val="Arial"/>
        <family val="2"/>
      </rPr>
      <t xml:space="preserve"> Commuting to and from campus</t>
    </r>
  </si>
  <si>
    <r>
      <rPr>
        <b/>
        <sz val="10"/>
        <color theme="1"/>
        <rFont val="Arial"/>
        <family val="2"/>
      </rPr>
      <t>2.09</t>
    </r>
    <r>
      <rPr>
        <sz val="10"/>
        <color theme="1"/>
        <rFont val="Arial"/>
        <family val="2"/>
      </rPr>
      <t xml:space="preserve"> Personal care activities (exercise, self-care routines, etc.)</t>
    </r>
  </si>
  <si>
    <r>
      <rPr>
        <b/>
        <sz val="10"/>
        <color theme="1"/>
        <rFont val="Arial"/>
        <family val="2"/>
      </rPr>
      <t>3.01</t>
    </r>
    <r>
      <rPr>
        <sz val="10"/>
        <color theme="1"/>
        <rFont val="Arial"/>
        <family val="2"/>
      </rPr>
      <t xml:space="preserve"> I get enough restful sleep on a regular basis. </t>
    </r>
  </si>
  <si>
    <r>
      <rPr>
        <b/>
        <sz val="10"/>
        <color theme="1"/>
        <rFont val="Arial"/>
        <family val="2"/>
      </rPr>
      <t xml:space="preserve">3.02 </t>
    </r>
    <r>
      <rPr>
        <sz val="10"/>
        <color theme="1"/>
        <rFont val="Arial"/>
        <family val="2"/>
      </rPr>
      <t xml:space="preserve">I attend classes regularly and actively participate in lectures, seminars, and lab sessions. </t>
    </r>
  </si>
  <si>
    <r>
      <rPr>
        <b/>
        <sz val="10"/>
        <color theme="1"/>
        <rFont val="Arial"/>
        <family val="2"/>
      </rPr>
      <t>3.03</t>
    </r>
    <r>
      <rPr>
        <sz val="10"/>
        <color theme="1"/>
        <rFont val="Arial"/>
        <family val="2"/>
      </rPr>
      <t xml:space="preserve"> I spend an adequate amount of time studying and completing assignments. </t>
    </r>
  </si>
  <si>
    <r>
      <rPr>
        <b/>
        <sz val="10"/>
        <color theme="1"/>
        <rFont val="Arial"/>
        <family val="2"/>
      </rPr>
      <t>3.04</t>
    </r>
    <r>
      <rPr>
        <sz val="10"/>
        <color theme="1"/>
        <rFont val="Arial"/>
        <family val="2"/>
      </rPr>
      <t xml:space="preserve"> I actively engage in group projects and collaborations, coordinating schedules and contributing to shared assignments. </t>
    </r>
  </si>
  <si>
    <r>
      <rPr>
        <b/>
        <sz val="10"/>
        <color theme="1"/>
        <rFont val="Arial"/>
        <family val="2"/>
      </rPr>
      <t>3.05</t>
    </r>
    <r>
      <rPr>
        <sz val="10"/>
        <color theme="1"/>
        <rFont val="Arial"/>
        <family val="2"/>
      </rPr>
      <t xml:space="preserve"> I am involved in extracurricular activities that contribute to my personal growth and development. </t>
    </r>
  </si>
  <si>
    <r>
      <rPr>
        <b/>
        <sz val="10"/>
        <color theme="1"/>
        <rFont val="Arial"/>
        <family val="2"/>
      </rPr>
      <t>3.06</t>
    </r>
    <r>
      <rPr>
        <sz val="10"/>
        <color theme="1"/>
        <rFont val="Arial"/>
        <family val="2"/>
      </rPr>
      <t xml:space="preserve"> Balancing my part-time job or internship responsibilities with my academic commitments is manageable.</t>
    </r>
  </si>
  <si>
    <r>
      <rPr>
        <b/>
        <sz val="10"/>
        <color theme="1"/>
        <rFont val="Arial"/>
        <family val="2"/>
      </rPr>
      <t>3.07</t>
    </r>
    <r>
      <rPr>
        <sz val="10"/>
        <color theme="1"/>
        <rFont val="Arial"/>
        <family val="2"/>
      </rPr>
      <t xml:space="preserve"> I dedicate enough time to socializing and maintaining relationships with friends, family, and significant others. </t>
    </r>
  </si>
  <si>
    <r>
      <rPr>
        <b/>
        <sz val="10"/>
        <color theme="1"/>
        <rFont val="Arial"/>
        <family val="2"/>
      </rPr>
      <t>3.08</t>
    </r>
    <r>
      <rPr>
        <sz val="10"/>
        <color theme="1"/>
        <rFont val="Arial"/>
        <family val="2"/>
      </rPr>
      <t xml:space="preserve"> My commute to and from campus is reasonable and does not significantly impact my time.</t>
    </r>
  </si>
  <si>
    <r>
      <rPr>
        <b/>
        <sz val="10"/>
        <color theme="1"/>
        <rFont val="Arial"/>
        <family val="2"/>
      </rPr>
      <t>3.09</t>
    </r>
    <r>
      <rPr>
        <sz val="10"/>
        <color theme="1"/>
        <rFont val="Arial"/>
        <family val="2"/>
      </rPr>
      <t xml:space="preserve"> I prioritize personal care activities such as exercise, cooking, eating, and self-care routines. </t>
    </r>
  </si>
  <si>
    <t>Question 3.01 Responses</t>
  </si>
  <si>
    <t>Question 3.02 Responses</t>
  </si>
  <si>
    <t>Q3.02 Rating</t>
  </si>
  <si>
    <t>Q3.01 Rating</t>
  </si>
  <si>
    <t>Question 3.03 Responses</t>
  </si>
  <si>
    <t>Q3.03 Rating</t>
  </si>
  <si>
    <t>Question 3.04 Responses</t>
  </si>
  <si>
    <t>Q3.04 Rating</t>
  </si>
  <si>
    <t>Question 3.05 Responses</t>
  </si>
  <si>
    <t>Q3.05 Rating</t>
  </si>
  <si>
    <t>Question 3.06 Responses</t>
  </si>
  <si>
    <t>Q3.06 Rating</t>
  </si>
  <si>
    <t>Question 3.07 Responses</t>
  </si>
  <si>
    <t>Q3.07 Rating</t>
  </si>
  <si>
    <t>Question 3.08 Responses</t>
  </si>
  <si>
    <t>Q3.08 Rating</t>
  </si>
  <si>
    <t>Question 3.09 Responses</t>
  </si>
  <si>
    <t>Q3.09 Rating</t>
  </si>
  <si>
    <t>TOTAL RESPONDENTS</t>
  </si>
  <si>
    <t>LAST UPDATE</t>
  </si>
  <si>
    <r>
      <rPr>
        <b/>
        <sz val="10"/>
        <color theme="1"/>
        <rFont val="Arial"/>
        <family val="2"/>
      </rPr>
      <t xml:space="preserve">3.02 </t>
    </r>
    <r>
      <rPr>
        <sz val="10"/>
        <color theme="1"/>
        <rFont val="Arial"/>
        <family val="2"/>
      </rPr>
      <t>I attend classes regularly and actively participate in lectures, seminars, and lab sessions.</t>
    </r>
  </si>
  <si>
    <r>
      <rPr>
        <b/>
        <sz val="10"/>
        <color theme="1"/>
        <rFont val="Arial"/>
        <family val="2"/>
      </rPr>
      <t xml:space="preserve"> 3.04</t>
    </r>
    <r>
      <rPr>
        <sz val="10"/>
        <color theme="1"/>
        <rFont val="Arial"/>
        <family val="2"/>
      </rPr>
      <t xml:space="preserve"> I actively engage in group projects and collaborations, coordinating schedules and contributing to shared assignments. </t>
    </r>
  </si>
  <si>
    <r>
      <rPr>
        <b/>
        <sz val="10"/>
        <color theme="1"/>
        <rFont val="Arial"/>
        <family val="2"/>
      </rPr>
      <t>3.06</t>
    </r>
    <r>
      <rPr>
        <sz val="10"/>
        <color theme="1"/>
        <rFont val="Arial"/>
        <family val="2"/>
      </rPr>
      <t xml:space="preserve"> Balancing my part-time job or internship responsibilities with my academic commitments is manageable</t>
    </r>
  </si>
  <si>
    <r>
      <rPr>
        <b/>
        <sz val="10"/>
        <color theme="1"/>
        <rFont val="Arial"/>
        <family val="2"/>
      </rPr>
      <t>3.09</t>
    </r>
    <r>
      <rPr>
        <sz val="10"/>
        <color theme="1"/>
        <rFont val="Arial"/>
        <family val="2"/>
      </rPr>
      <t xml:space="preserve">  I prioritize personal care activities such as exercise, cooking, eating, and self-care routines. </t>
    </r>
  </si>
  <si>
    <t>3.01 Percentage</t>
  </si>
  <si>
    <t>3.02 Percentage</t>
  </si>
  <si>
    <t>3.03 Percentage</t>
  </si>
  <si>
    <t>3.04 Percentage</t>
  </si>
  <si>
    <t>3.05 Percentage</t>
  </si>
  <si>
    <t>3.06 Percentage</t>
  </si>
  <si>
    <t>3.07 Percentage</t>
  </si>
  <si>
    <t>3.08 Percentage</t>
  </si>
  <si>
    <t>3.09 Percentage</t>
  </si>
  <si>
    <t>3.10 Percentage</t>
  </si>
  <si>
    <t>TIME MANAGEMENT PER ACTIVITY</t>
  </si>
  <si>
    <t>06/23/2023</t>
  </si>
  <si>
    <t>LAST SURVEY UPDATE</t>
  </si>
  <si>
    <t>LIKERT SCALE INTERPRETATION</t>
  </si>
  <si>
    <t>AVERAGE SCORE OF RESPONSES</t>
  </si>
  <si>
    <t>TIME MANAGEMENT QUESTIONS</t>
  </si>
  <si>
    <t>MEDIAN</t>
  </si>
  <si>
    <t>MEDIAN VALUE</t>
  </si>
  <si>
    <t>FIRST QUARTILE</t>
  </si>
  <si>
    <t>THIRD QUARTILE</t>
  </si>
  <si>
    <t>MINIMUM VALUE</t>
  </si>
  <si>
    <t>MAXIMUM VALUE</t>
  </si>
  <si>
    <t>90TH PERCENTILE</t>
  </si>
  <si>
    <t>80TH PERCENTILE</t>
  </si>
  <si>
    <t>10TH PERCENTILE</t>
  </si>
  <si>
    <t>20TH PERCENTILE</t>
  </si>
  <si>
    <t>STANDARD DEVIATION</t>
  </si>
  <si>
    <t>VARIANCE</t>
  </si>
  <si>
    <t>6/26/2023 16:22:03</t>
  </si>
  <si>
    <t>6/26/2023 16:25:06</t>
  </si>
  <si>
    <t>6/26/2023 16:32:45</t>
  </si>
  <si>
    <t>6/26/2023 16:39:45</t>
  </si>
  <si>
    <t>6/26/2023 17:06:46</t>
  </si>
  <si>
    <t>06/26/2023</t>
  </si>
  <si>
    <t>Correlation</t>
  </si>
  <si>
    <t>Interpretation</t>
  </si>
  <si>
    <t>Percentage2</t>
  </si>
  <si>
    <t>Percentage3</t>
  </si>
  <si>
    <t>Percentage4</t>
  </si>
  <si>
    <t>Percentage5</t>
  </si>
  <si>
    <t>Percentage 1</t>
  </si>
  <si>
    <t>Coefficient</t>
  </si>
  <si>
    <t>Q3.01 &amp; Q3.02</t>
  </si>
  <si>
    <t>Q3.01 &amp; Q3.03</t>
  </si>
  <si>
    <t>Q3.01 &amp; Q3.04</t>
  </si>
  <si>
    <t>Q3.01 &amp; Q3.05</t>
  </si>
  <si>
    <t>Q3.01 &amp; Q3.06</t>
  </si>
  <si>
    <t>Q3.01 &amp; Q3.07</t>
  </si>
  <si>
    <t>Q3.01 &amp; Q3.08</t>
  </si>
  <si>
    <t>Q3.01 &amp; Q3.09</t>
  </si>
  <si>
    <t>Q3.01 &amp; Q3.10</t>
  </si>
  <si>
    <t>Q3.02 &amp; Q3.03</t>
  </si>
  <si>
    <t>Q3.02 &amp; Q3.04</t>
  </si>
  <si>
    <t>Q3.02 &amp; Q3.05</t>
  </si>
  <si>
    <t>Q3.02 &amp; Q3.06</t>
  </si>
  <si>
    <t>Q3.02 &amp; Q3.07</t>
  </si>
  <si>
    <t>Q3.02 &amp; Q3.08</t>
  </si>
  <si>
    <t>Q3.02 &amp; Q3.09</t>
  </si>
  <si>
    <t>Q3.02 &amp; Q3.10</t>
  </si>
  <si>
    <t>Q3.03 &amp; Q3.04</t>
  </si>
  <si>
    <t>Q3.03 &amp; Q3.05</t>
  </si>
  <si>
    <t>Q3.03 &amp; Q3.06</t>
  </si>
  <si>
    <t>Q3.03 &amp; Q3.07</t>
  </si>
  <si>
    <t>Q3.03 &amp; Q3.08</t>
  </si>
  <si>
    <t>Q3.03 &amp; Q3.09</t>
  </si>
  <si>
    <t>Q3.03 &amp; Q3.10</t>
  </si>
  <si>
    <t>Q3.04 &amp; Q3.05</t>
  </si>
  <si>
    <t>Q3.04 &amp; Q3.06</t>
  </si>
  <si>
    <t>Q3.04 &amp; Q3.07</t>
  </si>
  <si>
    <t>Q3.04 &amp; Q3.08</t>
  </si>
  <si>
    <t>Q3.04 &amp; Q3.09</t>
  </si>
  <si>
    <t>Q3.04 &amp; Q3.10</t>
  </si>
  <si>
    <t>Q3.05 &amp; Q3.06</t>
  </si>
  <si>
    <t>Q3.05 &amp; Q3.07</t>
  </si>
  <si>
    <t>Q3.05 &amp; Q3.08</t>
  </si>
  <si>
    <t>Q3.05 &amp; Q3.09</t>
  </si>
  <si>
    <t>Q3.05 &amp; Q3.10</t>
  </si>
  <si>
    <t>Q3.06 &amp; Q3.07</t>
  </si>
  <si>
    <t>Q3.06 &amp; Q3.08</t>
  </si>
  <si>
    <t>Q3.06 &amp; Q3.09</t>
  </si>
  <si>
    <t>Q3.06 &amp; Q3.10</t>
  </si>
  <si>
    <t>Q3.07 &amp; Q3.08</t>
  </si>
  <si>
    <t>Q3.07 &amp; Q3.09</t>
  </si>
  <si>
    <t>Q3.07 &amp; Q3.10</t>
  </si>
  <si>
    <t>Q3.08 &amp; Q3.09</t>
  </si>
  <si>
    <t>Q3.08 &amp; Q3.10</t>
  </si>
  <si>
    <t>Q3.09 &amp; Q3.10</t>
  </si>
  <si>
    <t>Q2.01 Response</t>
  </si>
  <si>
    <t>Q2.02 Response</t>
  </si>
  <si>
    <t>Q2.03 Response</t>
  </si>
  <si>
    <t>Q2.04 Response</t>
  </si>
  <si>
    <t>Q2.05 Response</t>
  </si>
  <si>
    <t>Q2.06 Response</t>
  </si>
  <si>
    <t>Q2.07 Response</t>
  </si>
  <si>
    <t>Q2.08 Response</t>
  </si>
  <si>
    <t>Q2.09 Response</t>
  </si>
  <si>
    <t>Q2.10 Response</t>
  </si>
  <si>
    <t>Q2.01 &amp; Q2.02</t>
  </si>
  <si>
    <t>Q2.01 &amp; Q2.03</t>
  </si>
  <si>
    <t>Q2.01 &amp; Q2.04</t>
  </si>
  <si>
    <t>Q2.01 &amp; Q2.05</t>
  </si>
  <si>
    <t>Q2.01 &amp; Q2.06</t>
  </si>
  <si>
    <t>Q2.01 &amp; Q2.07</t>
  </si>
  <si>
    <t>Q2.01 &amp; Q2.08</t>
  </si>
  <si>
    <t>Q2.01 &amp; Q2.09</t>
  </si>
  <si>
    <t>Q2.01 &amp; Q2.10</t>
  </si>
  <si>
    <t>Q2.02 &amp; Q2.03</t>
  </si>
  <si>
    <t>Q2.02 &amp; Q2.04</t>
  </si>
  <si>
    <t>Q2.02 &amp; Q2.05</t>
  </si>
  <si>
    <t>Q2.02 &amp; Q2.06</t>
  </si>
  <si>
    <t>Q2.02 &amp; Q2.07</t>
  </si>
  <si>
    <t>Q2.02 &amp; Q2.08</t>
  </si>
  <si>
    <t>Q2.02 &amp; Q2.09</t>
  </si>
  <si>
    <t>Q2.02 &amp; Q2.10</t>
  </si>
  <si>
    <t>Q2.03 &amp; Q2.04</t>
  </si>
  <si>
    <t>Q2.03 &amp; Q2.05</t>
  </si>
  <si>
    <t>Q2.03 &amp; Q2.06</t>
  </si>
  <si>
    <t>Q2.03 &amp; Q2.07</t>
  </si>
  <si>
    <t>Q2.03 &amp; Q2.08</t>
  </si>
  <si>
    <t>Q2.03 &amp; Q2.09</t>
  </si>
  <si>
    <t>Q2.03 &amp; Q2.10</t>
  </si>
  <si>
    <t>Q2.04 &amp; Q2.05</t>
  </si>
  <si>
    <t>Q2.04 &amp; Q2.06</t>
  </si>
  <si>
    <t>Q2.04 &amp; Q2.07</t>
  </si>
  <si>
    <t>Q2.04 &amp; Q2.08</t>
  </si>
  <si>
    <t>Q2.04 &amp; Q2.09</t>
  </si>
  <si>
    <t>Q2.04 &amp; Q2.10</t>
  </si>
  <si>
    <t>Q2.05 &amp; Q2.06</t>
  </si>
  <si>
    <t>Q2.05 &amp; Q2.07</t>
  </si>
  <si>
    <t>Q2.05 &amp; Q2.08</t>
  </si>
  <si>
    <t>Q2.05 &amp; Q2.09</t>
  </si>
  <si>
    <t>Q2.05 &amp; Q2.10</t>
  </si>
  <si>
    <t>Q2.06 &amp; Q2.07</t>
  </si>
  <si>
    <t>Q2.06 &amp; Q2.08</t>
  </si>
  <si>
    <t>Q2.06 &amp; Q2.09</t>
  </si>
  <si>
    <t>Q2.06 &amp; Q2.10</t>
  </si>
  <si>
    <t>Q2.07 &amp; Q2.08</t>
  </si>
  <si>
    <t>Q2.07 &amp; Q2.09</t>
  </si>
  <si>
    <t>Q2.07 &amp; Q2.10</t>
  </si>
  <si>
    <t>Q2.08  &amp; Q2.09</t>
  </si>
  <si>
    <t>Q2.08  &amp; Q2.10</t>
  </si>
  <si>
    <t>Q2.09  &amp; Q2.10</t>
  </si>
  <si>
    <t>Q2.01 &amp; Q3.01</t>
  </si>
  <si>
    <t>Q2.02 &amp; Q3.02</t>
  </si>
  <si>
    <t>Q2.03 &amp; Q3.03</t>
  </si>
  <si>
    <t>Q2.04 &amp; Q3.04</t>
  </si>
  <si>
    <t>Q2.05 &amp; Q3.05</t>
  </si>
  <si>
    <t>Q2.06 &amp; Q3.06</t>
  </si>
  <si>
    <t>Q2.07 &amp; Q3.07</t>
  </si>
  <si>
    <t>Q2.08 &amp; Q3.08</t>
  </si>
  <si>
    <t>Q2.09 &amp; Q3.09</t>
  </si>
  <si>
    <t>Q2.10 &amp; Q3.10</t>
  </si>
  <si>
    <t xml:space="preserve">3.01 I get enough restful sleep on a regular basis. </t>
  </si>
  <si>
    <t>3.02 I attend classes regularly and actively participate in lectures, seminars, and lab sessions.</t>
  </si>
  <si>
    <t xml:space="preserve">3.03 I spend an adequate amount of time studying and completing assignments. </t>
  </si>
  <si>
    <t xml:space="preserve"> 3.04 I actively engage in group projects and collaborations, coordinating schedules and contributing to shared assignments. </t>
  </si>
  <si>
    <t xml:space="preserve">3.05 I am involved in extracurricular activities that contribute to my personal growth and development. </t>
  </si>
  <si>
    <t>3.06 Balancing my part-time job or internship responsibilities with my academic commitments is manageable</t>
  </si>
  <si>
    <t xml:space="preserve">3.07 I dedicate enough time to socializing and maintaining relationships with friends, family, and significant others. </t>
  </si>
  <si>
    <t>3.08 My commute to and from campus is reasonable and does not significantly impact my time.</t>
  </si>
  <si>
    <t xml:space="preserve">3.09  I prioritize personal care activities such as exercise, cooking, eating, and self-care routines. </t>
  </si>
  <si>
    <t xml:space="preserve"> 3.10 I allocate enough time for personal hobbies and interests that provide me with relaxation and enjoyment. </t>
  </si>
  <si>
    <t>H9: College students who prioritize personal care and well-being as their primary time allocation will allocate more time to self-care activities such as exercising, cooking, eating, and maintaining their physical and mental health and rate high levels of satisfaction with their overall time management as compared to other activities.</t>
  </si>
  <si>
    <r>
      <rPr>
        <b/>
        <sz val="11"/>
        <color theme="1"/>
        <rFont val="Arial"/>
        <family val="2"/>
      </rPr>
      <t>RESULTS AND DISCUSSIONS</t>
    </r>
    <r>
      <rPr>
        <sz val="11"/>
        <color theme="1"/>
        <rFont val="Arial"/>
        <family val="2"/>
      </rPr>
      <t xml:space="preserve">
H1: There is a STRONG positive result that college students who prioritize getting enough sleep as their primary time will allocate more time and rate high levels of satisfaction with their overall time management as compared to other activities.
H2: There is a STRONG positive result that students who prioritize attending classes and actively participating in lectures, seminars, and lab sessions will allocate more time and rate high levels of satisfaction with their overall time management as compared to other activities.
H3: There is a STRONG positive result that college students who prioritize studying and completing assignments will allocate more time and rate high levels of satisfaction with their overall time management as compared to other activities.
H4: There is a STRONG positive result that college students who prioritize group projects and collaborations will allocate more time to working on shared assignments and coordinating schedules with their team members compared to other activities and rate high levels of satisfaction with their overall time management as compared to other activities.
H5: There is a WEAK negative result that college students who prioritize extracurricular activities as their primary time allocation will allocate more time to participating in clubs, organizations, sports teams, or cultural groups and rate high levels of satisfaction with their overall time management as compared to other activities.
H6: There is a STRONG positive result that students who prioritize their part-time jobs or internships as their primary time allocation will spend more time on work-related responsibilities and rate high levels of satisfaction with their overall time management as compared to other activities.
H7: There is a STRONG positive result that students who prioritize socializing and maintaining relationships as their primary time allocation will spend more time engaging in social activities and interacting with friends, family, and significant others and rate high levels of satisfaction with their overall time management as compared to other activities.
H8: There is a WEAK negative result that college students with shorter commute times will rate high levels of satisfaction with their overall time management compared to other activities.
H9: There is a STRONG positive result that college students who prioritize personal care and well-being as their primary time allocation will allocate more time to self-care activities such as exercising, cooking, eating, and maintaining their physical and mental health and rate high levels of satisfaction with their overall time management as compared to other activities.
H10: There is a STRONG positive result that students who prioritize personal hobbies and interests as their primary time allocation will spend more time pursuing activities such as reading for leisure, gaming, playing musical instruments, or engaging in arts and crafts compared to other activities and rate high levels of satisfaction with their overall time management as compared to other activities.</t>
    </r>
  </si>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</sst>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
    <numFmt numFmtId="165" formatCode="_-* #,##0.000_-;\-* #,##0.000_-;_-* &quot;-&quot;??_-;_-@_-"/>
  </numFmts>
  <fonts count="15">
    <font>
      <sz val="11"/>
      <color theme="1"/>
      <name val="Calibri"/>
      <family val="2"/>
      <scheme val="minor"/>
    </font>
    <font>
      <sz val="11"/>
      <color theme="1"/>
      <name val="Calibri"/>
      <family val="2"/>
      <scheme val="minor"/>
    </font>
    <font>
      <sz val="10"/>
      <color theme="1"/>
      <name val="Arial"/>
      <family val="2"/>
    </font>
    <font>
      <b/>
      <sz val="10"/>
      <color theme="1"/>
      <name val="Arial"/>
      <family val="2"/>
    </font>
    <font>
      <u/>
      <sz val="11"/>
      <color theme="10"/>
      <name val="Calibri"/>
      <family val="2"/>
      <scheme val="minor"/>
    </font>
    <font>
      <b/>
      <sz val="10"/>
      <color rgb="FF202124"/>
      <name val="Docs-Roboto"/>
    </font>
    <font>
      <b/>
      <sz val="11"/>
      <name val="Calibri"/>
      <family val="2"/>
      <scheme val="minor"/>
    </font>
    <font>
      <sz val="10"/>
      <name val="Arial"/>
      <family val="2"/>
    </font>
    <font>
      <b/>
      <sz val="10"/>
      <name val="Arial"/>
      <family val="2"/>
    </font>
    <font>
      <sz val="8"/>
      <name val="Calibri"/>
      <family val="2"/>
      <scheme val="minor"/>
    </font>
    <font>
      <b/>
      <i/>
      <sz val="10"/>
      <color theme="1"/>
      <name val="Arial"/>
      <family val="2"/>
    </font>
    <font>
      <sz val="11"/>
      <color theme="1"/>
      <name val="Arial"/>
      <family val="2"/>
    </font>
    <font>
      <b/>
      <sz val="11"/>
      <color theme="1"/>
      <name val="Arial"/>
      <family val="2"/>
    </font>
    <font>
      <i/>
      <sz val="11"/>
      <color theme="1"/>
      <name val="Arial"/>
      <family val="2"/>
    </font>
    <font>
      <b/>
      <i/>
      <sz val="11"/>
      <color theme="1"/>
      <name val="Arial"/>
      <family val="2"/>
    </font>
  </fonts>
  <fills count="10">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FF7C80"/>
        <bgColor indexed="64"/>
      </patternFill>
    </fill>
    <fill>
      <patternFill patternType="solid">
        <fgColor rgb="FFFFCD2D"/>
        <bgColor indexed="64"/>
      </patternFill>
    </fill>
    <fill>
      <patternFill patternType="solid">
        <fgColor rgb="FF799AD5"/>
        <bgColor indexed="64"/>
      </patternFill>
    </fill>
    <fill>
      <patternFill patternType="solid">
        <fgColor rgb="FF00F66F"/>
        <bgColor indexed="64"/>
      </patternFill>
    </fill>
    <fill>
      <patternFill patternType="solid">
        <fgColor theme="2" tint="-9.9978637043366805E-2"/>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4">
    <xf numFmtId="0" fontId="0" fillId="0" borderId="0"/>
    <xf numFmtId="9" fontId="1" fillId="0" borderId="0" applyFont="0" applyFill="0" applyBorder="0" applyAlignment="0" applyProtection="0"/>
    <xf numFmtId="0" fontId="4" fillId="0" borderId="0" applyNumberFormat="0" applyFill="0" applyBorder="0" applyAlignment="0" applyProtection="0"/>
    <xf numFmtId="43" fontId="1" fillId="0" borderId="0" applyFont="0" applyFill="0" applyBorder="0" applyAlignment="0" applyProtection="0"/>
  </cellStyleXfs>
  <cellXfs count="156">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left" vertical="center" wrapText="1"/>
    </xf>
    <xf numFmtId="0" fontId="4" fillId="0" borderId="1" xfId="2"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xf>
    <xf numFmtId="0" fontId="7"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left" vertical="center"/>
    </xf>
    <xf numFmtId="2" fontId="2" fillId="0" borderId="1" xfId="0" applyNumberFormat="1" applyFont="1" applyBorder="1" applyAlignment="1">
      <alignment horizontal="center" vertical="center"/>
    </xf>
    <xf numFmtId="9" fontId="2" fillId="3" borderId="1" xfId="1" applyFont="1" applyFill="1" applyBorder="1" applyAlignment="1">
      <alignment horizontal="center" vertical="center" wrapText="1"/>
    </xf>
    <xf numFmtId="0" fontId="2" fillId="3" borderId="1" xfId="0" applyFont="1" applyFill="1" applyBorder="1" applyAlignment="1">
      <alignment horizontal="center" vertical="center" wrapText="1"/>
    </xf>
    <xf numFmtId="9" fontId="2" fillId="3" borderId="1" xfId="1"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2" fontId="3" fillId="0" borderId="1" xfId="0" applyNumberFormat="1" applyFont="1" applyBorder="1" applyAlignment="1">
      <alignment horizontal="center" vertical="center"/>
    </xf>
    <xf numFmtId="0" fontId="3" fillId="2" borderId="1" xfId="0" applyFont="1" applyFill="1" applyBorder="1" applyAlignment="1">
      <alignment horizontal="center" vertical="center" wrapText="1"/>
    </xf>
    <xf numFmtId="10" fontId="3" fillId="3" borderId="1" xfId="1" applyNumberFormat="1" applyFont="1" applyFill="1" applyBorder="1" applyAlignment="1">
      <alignment horizontal="center" vertical="center" wrapText="1"/>
    </xf>
    <xf numFmtId="0" fontId="2" fillId="8" borderId="1" xfId="0" applyFont="1" applyFill="1" applyBorder="1" applyAlignment="1">
      <alignment horizontal="center" vertical="center" wrapText="1"/>
    </xf>
    <xf numFmtId="2" fontId="2" fillId="0" borderId="1" xfId="0" applyNumberFormat="1" applyFont="1" applyBorder="1" applyAlignment="1">
      <alignment horizontal="center" vertical="center" wrapText="1"/>
    </xf>
    <xf numFmtId="2" fontId="2" fillId="0" borderId="0" xfId="0" applyNumberFormat="1" applyFont="1" applyAlignment="1">
      <alignment horizontal="center" vertical="center" wrapText="1"/>
    </xf>
    <xf numFmtId="0" fontId="7" fillId="2" borderId="0" xfId="0" applyFont="1" applyFill="1" applyAlignment="1">
      <alignment horizontal="center" vertical="center" wrapText="1"/>
    </xf>
    <xf numFmtId="2" fontId="7" fillId="2" borderId="0" xfId="0" applyNumberFormat="1" applyFont="1" applyFill="1" applyAlignment="1">
      <alignment horizontal="center" vertical="center" wrapText="1"/>
    </xf>
    <xf numFmtId="0" fontId="7" fillId="2" borderId="0" xfId="0" applyFont="1" applyFill="1" applyAlignment="1">
      <alignment horizontal="center" vertical="center"/>
    </xf>
    <xf numFmtId="0" fontId="10"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14" fontId="2" fillId="0" borderId="1" xfId="0" applyNumberFormat="1" applyFont="1" applyBorder="1" applyAlignment="1">
      <alignment horizontal="center" vertical="center" wrapText="1"/>
    </xf>
    <xf numFmtId="2" fontId="2" fillId="8" borderId="1" xfId="0" applyNumberFormat="1" applyFont="1" applyFill="1" applyBorder="1" applyAlignment="1">
      <alignment horizontal="center" vertical="center" wrapText="1"/>
    </xf>
    <xf numFmtId="9" fontId="2" fillId="0" borderId="1" xfId="1" applyFont="1" applyBorder="1" applyAlignment="1">
      <alignment horizontal="center" vertical="center"/>
    </xf>
    <xf numFmtId="0" fontId="3" fillId="2" borderId="0" xfId="0" applyFont="1" applyFill="1" applyAlignment="1">
      <alignment horizontal="center" vertical="center" wrapText="1"/>
    </xf>
    <xf numFmtId="2" fontId="2" fillId="2" borderId="0" xfId="0" applyNumberFormat="1" applyFont="1" applyFill="1" applyAlignment="1">
      <alignment horizontal="center" vertical="center" wrapText="1"/>
    </xf>
    <xf numFmtId="2" fontId="3" fillId="0" borderId="1" xfId="0" applyNumberFormat="1" applyFont="1" applyBorder="1" applyAlignment="1">
      <alignment horizontal="center" vertical="center" wrapText="1"/>
    </xf>
    <xf numFmtId="0" fontId="3" fillId="0" borderId="4" xfId="0" applyFont="1" applyBorder="1" applyAlignment="1">
      <alignment horizontal="center"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5" borderId="2" xfId="0" applyFont="1" applyFill="1" applyBorder="1" applyAlignment="1">
      <alignment horizontal="center" vertical="center"/>
    </xf>
    <xf numFmtId="0" fontId="8" fillId="6" borderId="2" xfId="2" applyFont="1" applyFill="1" applyBorder="1" applyAlignment="1">
      <alignment horizontal="center" vertical="center"/>
    </xf>
    <xf numFmtId="0" fontId="3" fillId="4" borderId="2" xfId="0" applyFont="1" applyFill="1" applyBorder="1" applyAlignment="1">
      <alignment horizontal="center" vertical="center" wrapText="1"/>
    </xf>
    <xf numFmtId="0" fontId="3" fillId="7" borderId="2" xfId="0" applyFont="1" applyFill="1" applyBorder="1" applyAlignment="1">
      <alignment horizontal="center" vertic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2" fillId="0" borderId="8" xfId="0" applyFont="1" applyBorder="1" applyAlignment="1">
      <alignment horizontal="center" vertical="center" wrapText="1"/>
    </xf>
    <xf numFmtId="2" fontId="2" fillId="0" borderId="7"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2" xfId="0" applyFont="1" applyBorder="1" applyAlignment="1">
      <alignment horizontal="center" vertical="center" wrapText="1"/>
    </xf>
    <xf numFmtId="2" fontId="2" fillId="0" borderId="2" xfId="0" applyNumberFormat="1" applyFont="1" applyBorder="1" applyAlignment="1">
      <alignment horizontal="center" vertical="center" wrapText="1"/>
    </xf>
    <xf numFmtId="2" fontId="2" fillId="0" borderId="11" xfId="0" applyNumberFormat="1" applyFont="1" applyBorder="1" applyAlignment="1">
      <alignment horizontal="center" vertical="center" wrapText="1"/>
    </xf>
    <xf numFmtId="2" fontId="2" fillId="0" borderId="8" xfId="0" applyNumberFormat="1" applyFont="1" applyBorder="1" applyAlignment="1">
      <alignment horizontal="center" vertical="center" wrapText="1"/>
    </xf>
    <xf numFmtId="2" fontId="3" fillId="0" borderId="2" xfId="0" applyNumberFormat="1" applyFont="1" applyBorder="1" applyAlignment="1">
      <alignment horizontal="center" vertical="center" wrapText="1"/>
    </xf>
    <xf numFmtId="0" fontId="2" fillId="0" borderId="8" xfId="0" applyFont="1" applyBorder="1" applyAlignment="1">
      <alignment horizontal="center" vertical="center"/>
    </xf>
    <xf numFmtId="0" fontId="2"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9" xfId="0" applyFont="1" applyBorder="1" applyAlignment="1">
      <alignment horizontal="center" vertical="center" wrapText="1"/>
    </xf>
    <xf numFmtId="9" fontId="2" fillId="3" borderId="7" xfId="1" applyFont="1" applyFill="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wrapText="1"/>
    </xf>
    <xf numFmtId="0" fontId="2" fillId="0" borderId="2" xfId="0" applyFont="1" applyBorder="1" applyAlignment="1">
      <alignment horizontal="center" vertical="center"/>
    </xf>
    <xf numFmtId="9" fontId="2" fillId="3" borderId="11" xfId="1" applyFont="1" applyFill="1" applyBorder="1" applyAlignment="1">
      <alignment horizontal="center" vertical="center"/>
    </xf>
    <xf numFmtId="2" fontId="2" fillId="0" borderId="7" xfId="0" applyNumberFormat="1" applyFont="1" applyBorder="1" applyAlignment="1">
      <alignment horizontal="center" vertical="center"/>
    </xf>
    <xf numFmtId="2" fontId="3" fillId="0" borderId="2" xfId="0" applyNumberFormat="1" applyFont="1" applyBorder="1" applyAlignment="1">
      <alignment horizontal="center" vertical="center"/>
    </xf>
    <xf numFmtId="0" fontId="2" fillId="3" borderId="2" xfId="0" applyFont="1" applyFill="1" applyBorder="1" applyAlignment="1">
      <alignment horizontal="center" vertical="center" wrapText="1"/>
    </xf>
    <xf numFmtId="9" fontId="2" fillId="0" borderId="2" xfId="1" applyFont="1" applyBorder="1" applyAlignment="1">
      <alignment horizontal="center" vertical="center"/>
    </xf>
    <xf numFmtId="2" fontId="2" fillId="0" borderId="11" xfId="0" applyNumberFormat="1" applyFont="1" applyBorder="1" applyAlignment="1">
      <alignment horizontal="center" vertical="center"/>
    </xf>
    <xf numFmtId="10" fontId="3" fillId="3" borderId="7" xfId="1" applyNumberFormat="1" applyFont="1" applyFill="1" applyBorder="1" applyAlignment="1">
      <alignment horizontal="center" vertical="center" wrapText="1"/>
    </xf>
    <xf numFmtId="10" fontId="3" fillId="3" borderId="2" xfId="1" applyNumberFormat="1" applyFont="1" applyFill="1" applyBorder="1" applyAlignment="1">
      <alignment horizontal="center" vertical="center" wrapText="1"/>
    </xf>
    <xf numFmtId="10" fontId="3" fillId="3" borderId="11" xfId="1" applyNumberFormat="1" applyFont="1" applyFill="1" applyBorder="1" applyAlignment="1">
      <alignment horizontal="center" vertical="center" wrapText="1"/>
    </xf>
    <xf numFmtId="9" fontId="2" fillId="3" borderId="7" xfId="1" applyFont="1" applyFill="1" applyBorder="1" applyAlignment="1">
      <alignment horizontal="center" vertical="center" wrapText="1"/>
    </xf>
    <xf numFmtId="9" fontId="2" fillId="3" borderId="2" xfId="1" applyFont="1" applyFill="1" applyBorder="1" applyAlignment="1">
      <alignment horizontal="center" vertical="center" wrapText="1"/>
    </xf>
    <xf numFmtId="9" fontId="2" fillId="3" borderId="11" xfId="1" applyFont="1" applyFill="1" applyBorder="1" applyAlignment="1">
      <alignment horizontal="center" vertical="center" wrapText="1"/>
    </xf>
    <xf numFmtId="1" fontId="2" fillId="0" borderId="1" xfId="0" applyNumberFormat="1"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164" fontId="2" fillId="0" borderId="1" xfId="0" applyNumberFormat="1" applyFont="1" applyBorder="1" applyAlignment="1">
      <alignment horizontal="center" vertical="center"/>
    </xf>
    <xf numFmtId="0" fontId="3" fillId="0" borderId="8" xfId="0" applyFont="1" applyBorder="1" applyAlignment="1">
      <alignment horizontal="left" vertical="center" wrapText="1"/>
    </xf>
    <xf numFmtId="0" fontId="2" fillId="0" borderId="8" xfId="0" applyFont="1" applyBorder="1" applyAlignment="1">
      <alignment horizontal="left" vertical="center" wrapText="1"/>
    </xf>
    <xf numFmtId="0" fontId="2" fillId="2" borderId="8" xfId="0" applyFont="1" applyFill="1" applyBorder="1" applyAlignment="1">
      <alignment horizontal="left" vertical="center" wrapText="1"/>
    </xf>
    <xf numFmtId="0" fontId="5" fillId="0" borderId="8" xfId="0" applyFont="1" applyBorder="1" applyAlignment="1">
      <alignment horizontal="left" vertical="center"/>
    </xf>
    <xf numFmtId="0" fontId="7" fillId="2" borderId="8" xfId="0" applyFont="1" applyFill="1" applyBorder="1" applyAlignment="1">
      <alignment horizontal="left" vertical="center" wrapText="1"/>
    </xf>
    <xf numFmtId="0" fontId="3" fillId="2" borderId="1" xfId="0" applyFont="1" applyFill="1" applyBorder="1" applyAlignment="1">
      <alignment vertical="center"/>
    </xf>
    <xf numFmtId="0" fontId="0" fillId="2" borderId="0" xfId="0" applyFill="1"/>
    <xf numFmtId="164" fontId="2" fillId="0" borderId="2" xfId="0" applyNumberFormat="1" applyFont="1" applyBorder="1" applyAlignment="1">
      <alignment horizontal="center" vertical="center" wrapText="1"/>
    </xf>
    <xf numFmtId="1" fontId="2" fillId="0" borderId="8" xfId="0" applyNumberFormat="1" applyFont="1" applyBorder="1" applyAlignment="1">
      <alignment horizontal="center" vertical="center" wrapText="1"/>
    </xf>
    <xf numFmtId="1" fontId="2" fillId="0" borderId="8" xfId="0" applyNumberFormat="1" applyFont="1" applyBorder="1" applyAlignment="1">
      <alignment horizontal="center" vertical="center"/>
    </xf>
    <xf numFmtId="1" fontId="2" fillId="0" borderId="1" xfId="0" applyNumberFormat="1" applyFont="1" applyBorder="1" applyAlignment="1">
      <alignment horizontal="center" vertical="center"/>
    </xf>
    <xf numFmtId="1" fontId="2" fillId="0" borderId="10"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9" borderId="0" xfId="0" applyFont="1" applyFill="1"/>
    <xf numFmtId="0" fontId="2" fillId="2" borderId="0" xfId="0" applyFont="1" applyFill="1"/>
    <xf numFmtId="0" fontId="2" fillId="2" borderId="1" xfId="0"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11" fillId="0" borderId="17" xfId="0" applyFont="1" applyBorder="1" applyAlignment="1">
      <alignment horizontal="center" vertical="center" wrapText="1"/>
    </xf>
    <xf numFmtId="0" fontId="11" fillId="0" borderId="19" xfId="0" applyFont="1" applyBorder="1" applyAlignment="1">
      <alignment horizontal="center" vertical="center" wrapText="1"/>
    </xf>
    <xf numFmtId="0" fontId="13" fillId="0" borderId="21" xfId="0" applyFont="1" applyBorder="1" applyAlignment="1">
      <alignment horizontal="center" vertical="center" wrapText="1"/>
    </xf>
    <xf numFmtId="0" fontId="13" fillId="0" borderId="15" xfId="0" applyFont="1" applyBorder="1" applyAlignment="1">
      <alignment horizontal="center" vertical="center" wrapText="1"/>
    </xf>
    <xf numFmtId="0" fontId="11" fillId="0" borderId="21" xfId="0" applyFont="1" applyBorder="1" applyAlignment="1">
      <alignment horizontal="center" vertical="center" wrapText="1"/>
    </xf>
    <xf numFmtId="0" fontId="14" fillId="0" borderId="21" xfId="0" applyFont="1" applyBorder="1" applyAlignment="1">
      <alignment horizontal="center" vertical="center" wrapText="1"/>
    </xf>
    <xf numFmtId="0" fontId="13" fillId="0" borderId="22" xfId="0" applyFont="1" applyBorder="1" applyAlignment="1">
      <alignment horizontal="center" vertical="center" wrapText="1"/>
    </xf>
    <xf numFmtId="165" fontId="11" fillId="0" borderId="21" xfId="3" applyNumberFormat="1" applyFont="1" applyFill="1" applyBorder="1" applyAlignment="1">
      <alignment horizontal="center" vertical="center" wrapText="1"/>
    </xf>
    <xf numFmtId="165" fontId="11" fillId="0" borderId="15" xfId="3" applyNumberFormat="1" applyFont="1" applyFill="1" applyBorder="1" applyAlignment="1">
      <alignment horizontal="center" vertical="center" wrapText="1"/>
    </xf>
    <xf numFmtId="165" fontId="11" fillId="0" borderId="22" xfId="3" applyNumberFormat="1" applyFont="1" applyFill="1" applyBorder="1" applyAlignment="1">
      <alignment horizontal="center" vertical="center" wrapText="1"/>
    </xf>
    <xf numFmtId="165" fontId="11" fillId="0" borderId="17" xfId="3" applyNumberFormat="1" applyFont="1" applyFill="1" applyBorder="1" applyAlignment="1">
      <alignment horizontal="center" vertical="center" wrapText="1"/>
    </xf>
    <xf numFmtId="165" fontId="11" fillId="0" borderId="0" xfId="3" applyNumberFormat="1" applyFont="1" applyFill="1" applyBorder="1" applyAlignment="1">
      <alignment horizontal="center" vertical="center" wrapText="1"/>
    </xf>
    <xf numFmtId="165" fontId="11" fillId="0" borderId="18" xfId="3" applyNumberFormat="1" applyFont="1" applyFill="1" applyBorder="1" applyAlignment="1">
      <alignment horizontal="center" vertical="center" wrapText="1"/>
    </xf>
    <xf numFmtId="165" fontId="11" fillId="0" borderId="19" xfId="3" applyNumberFormat="1" applyFont="1" applyFill="1" applyBorder="1" applyAlignment="1">
      <alignment horizontal="center" vertical="center" wrapText="1"/>
    </xf>
    <xf numFmtId="165" fontId="11" fillId="0" borderId="16" xfId="3" applyNumberFormat="1" applyFont="1" applyFill="1" applyBorder="1" applyAlignment="1">
      <alignment horizontal="center" vertical="center" wrapText="1"/>
    </xf>
    <xf numFmtId="165" fontId="11" fillId="0" borderId="20" xfId="3" applyNumberFormat="1"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2" xfId="2" applyFont="1" applyBorder="1" applyAlignment="1">
      <alignment horizontal="center" vertical="center"/>
    </xf>
    <xf numFmtId="0" fontId="6" fillId="0" borderId="3" xfId="2" applyFont="1" applyBorder="1" applyAlignment="1">
      <alignment horizontal="center" vertical="center"/>
    </xf>
    <xf numFmtId="0" fontId="6" fillId="0" borderId="4" xfId="2"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8" fillId="6" borderId="2" xfId="2" applyFont="1" applyFill="1" applyBorder="1" applyAlignment="1">
      <alignment horizontal="center" vertical="center"/>
    </xf>
    <xf numFmtId="0" fontId="8" fillId="6" borderId="3" xfId="2" applyFont="1" applyFill="1" applyBorder="1" applyAlignment="1">
      <alignment horizontal="center" vertical="center"/>
    </xf>
    <xf numFmtId="0" fontId="8" fillId="6" borderId="4" xfId="2" applyFont="1" applyFill="1" applyBorder="1" applyAlignment="1">
      <alignment horizontal="center" vertical="center"/>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4"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11" fillId="0" borderId="11" xfId="0" applyFont="1" applyBorder="1" applyAlignment="1">
      <alignment horizontal="left" vertical="top" wrapText="1"/>
    </xf>
    <xf numFmtId="0" fontId="11" fillId="0" borderId="12" xfId="0" applyFont="1" applyBorder="1" applyAlignment="1">
      <alignment horizontal="left" vertical="top"/>
    </xf>
    <xf numFmtId="0" fontId="11" fillId="0" borderId="10" xfId="0" applyFont="1" applyBorder="1" applyAlignment="1">
      <alignment horizontal="left" vertical="top"/>
    </xf>
    <xf numFmtId="0" fontId="11" fillId="0" borderId="13" xfId="0" applyFont="1" applyBorder="1" applyAlignment="1">
      <alignment horizontal="left" vertical="top"/>
    </xf>
    <xf numFmtId="0" fontId="11" fillId="0" borderId="0" xfId="0" applyFont="1" applyAlignment="1">
      <alignment horizontal="left" vertical="top"/>
    </xf>
    <xf numFmtId="0" fontId="11" fillId="0" borderId="5" xfId="0" applyFont="1" applyBorder="1" applyAlignment="1">
      <alignment horizontal="left" vertical="top"/>
    </xf>
    <xf numFmtId="0" fontId="11" fillId="0" borderId="9" xfId="0" applyFont="1" applyBorder="1" applyAlignment="1">
      <alignment horizontal="left" vertical="top"/>
    </xf>
    <xf numFmtId="0" fontId="11" fillId="0" borderId="14" xfId="0" applyFont="1" applyBorder="1" applyAlignment="1">
      <alignment horizontal="left" vertical="top"/>
    </xf>
    <xf numFmtId="0" fontId="11" fillId="0" borderId="6" xfId="0" applyFont="1" applyBorder="1" applyAlignment="1">
      <alignment horizontal="left" vertical="top"/>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2" borderId="0" xfId="0" applyFont="1" applyFill="1" applyAlignment="1">
      <alignment horizontal="center"/>
    </xf>
  </cellXfs>
  <cellStyles count="4">
    <cellStyle name="Comma" xfId="3" builtinId="3"/>
    <cellStyle name="Hyperlink" xfId="2" builtinId="8"/>
    <cellStyle name="Normal" xfId="0" builtinId="0"/>
    <cellStyle name="Percent" xfId="1" builtinId="5"/>
  </cellStyles>
  <dxfs count="119">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numFmt numFmtId="164" formatCode="0.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numFmt numFmtId="164" formatCode="0.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numFmt numFmtId="164" formatCode="0.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fill>
        <patternFill patternType="solid">
          <fgColor indexed="64"/>
          <bgColor theme="2"/>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theme="1"/>
        <name val="Arial"/>
        <family val="2"/>
        <scheme val="none"/>
      </font>
      <numFmt numFmtId="14" formatCode="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numFmt numFmtId="14" formatCode="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numFmt numFmtId="14" formatCode="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numFmt numFmtId="14" formatCode="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numFmt numFmtId="14" formatCode="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numFmt numFmtId="14" formatCode="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numFmt numFmtId="14" formatCode="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numFmt numFmtId="14" formatCode="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numFmt numFmtId="14" formatCode="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numFmt numFmtId="14" formatCode="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ont>
        <b/>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fill>
        <patternFill patternType="solid">
          <fgColor indexed="64"/>
          <bgColor theme="2"/>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fill>
        <patternFill patternType="solid">
          <fgColor indexed="64"/>
          <bgColor rgb="FF00F66F"/>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1" formatCode="0"/>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numFmt numFmtId="2" formatCode="0.00"/>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numFmt numFmtId="2" formatCode="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numFmt numFmtId="2" formatCode="0.00"/>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numFmt numFmtId="2" formatCode="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numFmt numFmtId="2" formatCode="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00F66F"/>
      <color rgb="FF47FF9A"/>
      <color rgb="FF799AD5"/>
      <color rgb="FFFFCD2D"/>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r>
              <a:rPr lang="en-PH" sz="1400">
                <a:latin typeface="Arial" panose="020B0604020202020204" pitchFamily="34" charset="0"/>
                <a:cs typeface="Arial" panose="020B0604020202020204" pitchFamily="34" charset="0"/>
              </a:rPr>
              <a:t>1.01 Gender Identity</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ADE-45BB-89A8-F0406BA40B3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ADE-45BB-89A8-F0406BA40B3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ADE-45BB-89A8-F0406BA40B3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'Week-5'!$AM$2:$AM$4</c:f>
              <c:strCache>
                <c:ptCount val="3"/>
                <c:pt idx="0">
                  <c:v>Male</c:v>
                </c:pt>
                <c:pt idx="1">
                  <c:v>Female</c:v>
                </c:pt>
                <c:pt idx="2">
                  <c:v>Prefer not to Say</c:v>
                </c:pt>
              </c:strCache>
            </c:strRef>
          </c:cat>
          <c:val>
            <c:numRef>
              <c:f>'Week-5'!$AN$2:$AN$4</c:f>
              <c:numCache>
                <c:formatCode>General</c:formatCode>
                <c:ptCount val="3"/>
                <c:pt idx="0">
                  <c:v>31</c:v>
                </c:pt>
                <c:pt idx="1">
                  <c:v>8</c:v>
                </c:pt>
                <c:pt idx="2">
                  <c:v>2</c:v>
                </c:pt>
              </c:numCache>
            </c:numRef>
          </c:val>
          <c:extLst>
            <c:ext xmlns:c16="http://schemas.microsoft.com/office/drawing/2014/chart" uri="{C3380CC4-5D6E-409C-BE32-E72D297353CC}">
              <c16:uniqueId val="{00000000-E1DB-45DC-8055-DFDF42DE716E}"/>
            </c:ext>
          </c:extLst>
        </c:ser>
        <c:dLbls>
          <c:dLblPos val="ctr"/>
          <c:showLegendKey val="0"/>
          <c:showVal val="0"/>
          <c:showCatName val="0"/>
          <c:showSerName val="0"/>
          <c:showPercent val="1"/>
          <c:showBubbleSize val="0"/>
          <c:showLeaderLines val="1"/>
        </c:dLbls>
      </c:pie3DChart>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Entry>
      <c:legendEntry>
        <c:idx val="2"/>
        <c:txPr>
          <a:bodyPr rot="0" spcFirstLastPara="1" vertOverflow="ellipsis" vert="horz" wrap="square" anchor="ctr" anchorCtr="1"/>
          <a:lstStyle/>
          <a:p>
            <a:pPr>
              <a:defRPr sz="9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Entry>
      <c:overlay val="0"/>
      <c:spPr>
        <a:solidFill>
          <a:schemeClr val="bg2"/>
        </a:solidFill>
        <a:ln w="9525">
          <a:solidFill>
            <a:sysClr val="windowText" lastClr="000000"/>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1270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r>
              <a:rPr lang="en-PH" sz="1400">
                <a:latin typeface="Arial" panose="020B0604020202020204" pitchFamily="34" charset="0"/>
                <a:cs typeface="Arial" panose="020B0604020202020204" pitchFamily="34" charset="0"/>
              </a:rPr>
              <a:t>1.02 Age Distribution</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E02-4BBD-B56E-10D7263621EB}"/>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E02-4BBD-B56E-10D7263621EB}"/>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E02-4BBD-B56E-10D7263621EB}"/>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E02-4BBD-B56E-10D7263621EB}"/>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E02-4BBD-B56E-10D7263621E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'Week-5'!$AM$5:$AM$9</c:f>
              <c:strCache>
                <c:ptCount val="5"/>
                <c:pt idx="0">
                  <c:v>Under 18 years old</c:v>
                </c:pt>
                <c:pt idx="1">
                  <c:v>18-21 years old</c:v>
                </c:pt>
                <c:pt idx="2">
                  <c:v>22-25 years old</c:v>
                </c:pt>
                <c:pt idx="3">
                  <c:v>26-29 years old</c:v>
                </c:pt>
                <c:pt idx="4">
                  <c:v>30 years old and above</c:v>
                </c:pt>
              </c:strCache>
            </c:strRef>
          </c:cat>
          <c:val>
            <c:numRef>
              <c:f>'Week-5'!$AN$5:$AN$9</c:f>
              <c:numCache>
                <c:formatCode>General</c:formatCode>
                <c:ptCount val="5"/>
                <c:pt idx="0">
                  <c:v>0</c:v>
                </c:pt>
                <c:pt idx="1">
                  <c:v>30</c:v>
                </c:pt>
                <c:pt idx="2">
                  <c:v>10</c:v>
                </c:pt>
                <c:pt idx="3">
                  <c:v>0</c:v>
                </c:pt>
                <c:pt idx="4">
                  <c:v>1</c:v>
                </c:pt>
              </c:numCache>
            </c:numRef>
          </c:val>
          <c:extLst>
            <c:ext xmlns:c16="http://schemas.microsoft.com/office/drawing/2014/chart" uri="{C3380CC4-5D6E-409C-BE32-E72D297353CC}">
              <c16:uniqueId val="{00000000-DCFC-4B56-9DCB-1842A24A2C88}"/>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bg2"/>
        </a:solidFill>
        <a:ln w="9525">
          <a:solidFill>
            <a:schemeClr val="tx1"/>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PH" sz="1400">
                <a:latin typeface="Arial" panose="020B0604020202020204" pitchFamily="34" charset="0"/>
                <a:cs typeface="Arial" panose="020B0604020202020204" pitchFamily="34" charset="0"/>
              </a:rPr>
              <a:t>1.03 Field</a:t>
            </a:r>
            <a:r>
              <a:rPr lang="en-PH" sz="1400" baseline="0">
                <a:latin typeface="Arial" panose="020B0604020202020204" pitchFamily="34" charset="0"/>
                <a:cs typeface="Arial" panose="020B0604020202020204" pitchFamily="34" charset="0"/>
              </a:rPr>
              <a:t> of Study</a:t>
            </a:r>
            <a:endParaRPr lang="en-PH" sz="1400">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057-4E40-8F22-C80C32F5C92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057-4E40-8F22-C80C32F5C925}"/>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057-4E40-8F22-C80C32F5C925}"/>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057-4E40-8F22-C80C32F5C925}"/>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057-4E40-8F22-C80C32F5C925}"/>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057-4E40-8F22-C80C32F5C92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7057-4E40-8F22-C80C32F5C92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7057-4E40-8F22-C80C32F5C92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7057-4E40-8F22-C80C32F5C925}"/>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7057-4E40-8F22-C80C32F5C92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'Week-5'!$AM$10:$AM$19</c:f>
              <c:strCache>
                <c:ptCount val="10"/>
                <c:pt idx="0">
                  <c:v>Arts and Humanities</c:v>
                </c:pt>
                <c:pt idx="1">
                  <c:v>Business and Economics</c:v>
                </c:pt>
                <c:pt idx="2">
                  <c:v>Engineering and Technology</c:v>
                </c:pt>
                <c:pt idx="3">
                  <c:v>Natural Sciences</c:v>
                </c:pt>
                <c:pt idx="4">
                  <c:v>Social Sciences</c:v>
                </c:pt>
                <c:pt idx="5">
                  <c:v>Computer Science and IT</c:v>
                </c:pt>
                <c:pt idx="6">
                  <c:v>Education</c:v>
                </c:pt>
                <c:pt idx="7">
                  <c:v>Criminology</c:v>
                </c:pt>
                <c:pt idx="8">
                  <c:v>Hospitality Management</c:v>
                </c:pt>
                <c:pt idx="9">
                  <c:v>Others</c:v>
                </c:pt>
              </c:strCache>
            </c:strRef>
          </c:cat>
          <c:val>
            <c:numRef>
              <c:f>'Week-5'!$AN$10:$AN$19</c:f>
              <c:numCache>
                <c:formatCode>General</c:formatCode>
                <c:ptCount val="10"/>
                <c:pt idx="0">
                  <c:v>0</c:v>
                </c:pt>
                <c:pt idx="1">
                  <c:v>0</c:v>
                </c:pt>
                <c:pt idx="2">
                  <c:v>33</c:v>
                </c:pt>
                <c:pt idx="3">
                  <c:v>0</c:v>
                </c:pt>
                <c:pt idx="4">
                  <c:v>0</c:v>
                </c:pt>
                <c:pt idx="5">
                  <c:v>4</c:v>
                </c:pt>
                <c:pt idx="6">
                  <c:v>0</c:v>
                </c:pt>
                <c:pt idx="7">
                  <c:v>0</c:v>
                </c:pt>
                <c:pt idx="8">
                  <c:v>0</c:v>
                </c:pt>
                <c:pt idx="9">
                  <c:v>4</c:v>
                </c:pt>
              </c:numCache>
            </c:numRef>
          </c:val>
          <c:extLst>
            <c:ext xmlns:c16="http://schemas.microsoft.com/office/drawing/2014/chart" uri="{C3380CC4-5D6E-409C-BE32-E72D297353CC}">
              <c16:uniqueId val="{00000000-73D1-406B-884D-1ACE8823EC75}"/>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bg2"/>
        </a:solidFill>
        <a:ln w="6350">
          <a:solidFill>
            <a:sysClr val="windowText" lastClr="000000"/>
          </a:solidFill>
        </a:ln>
        <a:effectLst/>
      </c:spPr>
      <c:txPr>
        <a:bodyPr rot="0" spcFirstLastPara="1" vertOverflow="ellipsis" vert="horz" wrap="square" anchor="ctr" anchorCtr="1"/>
        <a:lstStyle/>
        <a:p>
          <a:pPr>
            <a:defRPr sz="8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1270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r>
              <a:rPr lang="en-PH" sz="1400">
                <a:latin typeface="Arial" panose="020B0604020202020204" pitchFamily="34" charset="0"/>
                <a:cs typeface="Arial" panose="020B0604020202020204" pitchFamily="34" charset="0"/>
              </a:rPr>
              <a:t>1.04</a:t>
            </a:r>
            <a:r>
              <a:rPr lang="en-PH" sz="1400" baseline="0">
                <a:latin typeface="Arial" panose="020B0604020202020204" pitchFamily="34" charset="0"/>
                <a:cs typeface="Arial" panose="020B0604020202020204" pitchFamily="34" charset="0"/>
              </a:rPr>
              <a:t> </a:t>
            </a:r>
            <a:r>
              <a:rPr lang="en-PH" sz="1400">
                <a:latin typeface="Arial" panose="020B0604020202020204" pitchFamily="34" charset="0"/>
                <a:cs typeface="Arial" panose="020B0604020202020204" pitchFamily="34" charset="0"/>
              </a:rPr>
              <a:t>Year Level</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733-4938-8BA6-116E6CC5776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733-4938-8BA6-116E6CC5776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733-4938-8BA6-116E6CC57769}"/>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733-4938-8BA6-116E6CC57769}"/>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733-4938-8BA6-116E6CC5776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'Week-5'!$AM$20:$AM$24</c:f>
              <c:strCache>
                <c:ptCount val="5"/>
                <c:pt idx="0">
                  <c:v>Freshman/1st year</c:v>
                </c:pt>
                <c:pt idx="1">
                  <c:v>Sophomore/2nd year</c:v>
                </c:pt>
                <c:pt idx="2">
                  <c:v>Junior/3rd year</c:v>
                </c:pt>
                <c:pt idx="3">
                  <c:v>Senior/4th year</c:v>
                </c:pt>
                <c:pt idx="4">
                  <c:v>Senior/5th year</c:v>
                </c:pt>
              </c:strCache>
            </c:strRef>
          </c:cat>
          <c:val>
            <c:numRef>
              <c:f>'Week-5'!$AN$20:$AN$24</c:f>
              <c:numCache>
                <c:formatCode>General</c:formatCode>
                <c:ptCount val="5"/>
                <c:pt idx="0">
                  <c:v>15</c:v>
                </c:pt>
                <c:pt idx="1">
                  <c:v>14</c:v>
                </c:pt>
                <c:pt idx="2">
                  <c:v>8</c:v>
                </c:pt>
                <c:pt idx="3">
                  <c:v>4</c:v>
                </c:pt>
                <c:pt idx="4">
                  <c:v>0</c:v>
                </c:pt>
              </c:numCache>
            </c:numRef>
          </c:val>
          <c:extLst>
            <c:ext xmlns:c16="http://schemas.microsoft.com/office/drawing/2014/chart" uri="{C3380CC4-5D6E-409C-BE32-E72D297353CC}">
              <c16:uniqueId val="{00000000-45E9-437F-8849-7183FC3E5681}"/>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bg2"/>
        </a:solidFill>
        <a:ln w="9525">
          <a:solidFill>
            <a:schemeClr val="tx1"/>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1270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PH" sz="1400">
                <a:latin typeface="Arial" panose="020B0604020202020204" pitchFamily="34" charset="0"/>
                <a:cs typeface="Arial" panose="020B0604020202020204" pitchFamily="34" charset="0"/>
              </a:rPr>
              <a:t>II. Time</a:t>
            </a:r>
            <a:r>
              <a:rPr lang="en-PH" sz="1400" baseline="0">
                <a:latin typeface="Arial" panose="020B0604020202020204" pitchFamily="34" charset="0"/>
                <a:cs typeface="Arial" panose="020B0604020202020204" pitchFamily="34" charset="0"/>
              </a:rPr>
              <a:t> Allocation</a:t>
            </a:r>
            <a:endParaRPr lang="en-PH" sz="1400">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291-4FAD-89FA-1BFD62E8CAD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291-4FAD-89FA-1BFD62E8CAD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0291-4FAD-89FA-1BFD62E8CAD1}"/>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76D5-48D5-A912-2B67AF02AB4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0291-4FAD-89FA-1BFD62E8CAD1}"/>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0291-4FAD-89FA-1BFD62E8CAD1}"/>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0291-4FAD-89FA-1BFD62E8CAD1}"/>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0291-4FAD-89FA-1BFD62E8CAD1}"/>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6D5-48D5-A912-2B67AF02AB48}"/>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0291-4FAD-89FA-1BFD62E8CAD1}"/>
              </c:ext>
            </c:extLst>
          </c:dPt>
          <c:dLbls>
            <c:dLbl>
              <c:idx val="3"/>
              <c:layout>
                <c:manualLayout>
                  <c:x val="1.3815959052914504E-2"/>
                  <c:y val="-0.1771450213855026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76D5-48D5-A912-2B67AF02AB48}"/>
                </c:ext>
              </c:extLst>
            </c:dLbl>
            <c:dLbl>
              <c:idx val="8"/>
              <c:layout>
                <c:manualLayout>
                  <c:x val="9.7737845368290555E-2"/>
                  <c:y val="8.51447793488990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6D5-48D5-A912-2B67AF02AB4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'Week-5'!$AR$2:$AR$11</c:f>
              <c:strCache>
                <c:ptCount val="10"/>
                <c:pt idx="0">
                  <c:v>Sleeping</c:v>
                </c:pt>
                <c:pt idx="1">
                  <c:v>Attending classes and lectures</c:v>
                </c:pt>
                <c:pt idx="2">
                  <c:v>Studying and completing assignments</c:v>
                </c:pt>
                <c:pt idx="3">
                  <c:v>Engaging in group projects and collaborations</c:v>
                </c:pt>
                <c:pt idx="4">
                  <c:v>Participating in extracurricular activities</c:v>
                </c:pt>
                <c:pt idx="5">
                  <c:v>Working part-time or internships</c:v>
                </c:pt>
                <c:pt idx="6">
                  <c:v>Socializing with friends and maintaining relationships</c:v>
                </c:pt>
                <c:pt idx="7">
                  <c:v>Commuting to and from campus</c:v>
                </c:pt>
                <c:pt idx="8">
                  <c:v>Personal care activities </c:v>
                </c:pt>
                <c:pt idx="9">
                  <c:v> Engaging in personal hobbies and interests</c:v>
                </c:pt>
              </c:strCache>
            </c:strRef>
          </c:cat>
          <c:val>
            <c:numRef>
              <c:f>'Week-5'!$AT$2:$AT$11</c:f>
              <c:numCache>
                <c:formatCode>General</c:formatCode>
                <c:ptCount val="10"/>
                <c:pt idx="0">
                  <c:v>278</c:v>
                </c:pt>
                <c:pt idx="1">
                  <c:v>265</c:v>
                </c:pt>
                <c:pt idx="2">
                  <c:v>132</c:v>
                </c:pt>
                <c:pt idx="3">
                  <c:v>117</c:v>
                </c:pt>
                <c:pt idx="4">
                  <c:v>122</c:v>
                </c:pt>
                <c:pt idx="5">
                  <c:v>88</c:v>
                </c:pt>
                <c:pt idx="6">
                  <c:v>139</c:v>
                </c:pt>
                <c:pt idx="7">
                  <c:v>78</c:v>
                </c:pt>
                <c:pt idx="8">
                  <c:v>103</c:v>
                </c:pt>
                <c:pt idx="9">
                  <c:v>128</c:v>
                </c:pt>
              </c:numCache>
            </c:numRef>
          </c:val>
          <c:extLst>
            <c:ext xmlns:c16="http://schemas.microsoft.com/office/drawing/2014/chart" uri="{C3380CC4-5D6E-409C-BE32-E72D297353CC}">
              <c16:uniqueId val="{00000000-76D5-48D5-A912-2B67AF02AB48}"/>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64166672583723616"/>
          <c:y val="0.12638553969816271"/>
          <c:w val="0.34166666666666667"/>
          <c:h val="0.81371864975211428"/>
        </c:manualLayout>
      </c:layout>
      <c:overlay val="0"/>
      <c:spPr>
        <a:solidFill>
          <a:schemeClr val="bg2"/>
        </a:solidFill>
        <a:ln w="9525">
          <a:solidFill>
            <a:schemeClr val="tx1"/>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1270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PH" sz="1600">
                <a:latin typeface="Arial" panose="020B0604020202020204" pitchFamily="34" charset="0"/>
                <a:cs typeface="Arial" panose="020B0604020202020204" pitchFamily="34" charset="0"/>
              </a:rPr>
              <a:t>3.01 I get enough restful sleep on a regular basis.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E-27C6-44D7-A5BE-E3869C45E3D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338-43DA-81B0-1F50B0DB713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338-43DA-81B0-1F50B0DB713C}"/>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3338-43DA-81B0-1F50B0DB713C}"/>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3338-43DA-81B0-1F50B0DB713C}"/>
              </c:ext>
            </c:extLst>
          </c:dPt>
          <c:dLbls>
            <c:dLbl>
              <c:idx val="0"/>
              <c:layout>
                <c:manualLayout>
                  <c:x val="-3.0206474190726158E-2"/>
                  <c:y val="0.1458242198891805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E-27C6-44D7-A5BE-E3869C45E3D4}"/>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'Week-5'!$AX$2:$AX$6</c:f>
              <c:strCache>
                <c:ptCount val="5"/>
                <c:pt idx="0">
                  <c:v>1 = Strongly Disagree</c:v>
                </c:pt>
                <c:pt idx="1">
                  <c:v>2 = Disagree</c:v>
                </c:pt>
                <c:pt idx="2">
                  <c:v>3 = Neutral</c:v>
                </c:pt>
                <c:pt idx="3">
                  <c:v>4 = Agree</c:v>
                </c:pt>
                <c:pt idx="4">
                  <c:v>5 = Strongly Agree</c:v>
                </c:pt>
              </c:strCache>
            </c:strRef>
          </c:cat>
          <c:val>
            <c:numRef>
              <c:f>'Week-5'!$AY$2:$AY$6</c:f>
              <c:numCache>
                <c:formatCode>General</c:formatCode>
                <c:ptCount val="5"/>
                <c:pt idx="0">
                  <c:v>2</c:v>
                </c:pt>
                <c:pt idx="1">
                  <c:v>4</c:v>
                </c:pt>
                <c:pt idx="2">
                  <c:v>22</c:v>
                </c:pt>
                <c:pt idx="3">
                  <c:v>12</c:v>
                </c:pt>
                <c:pt idx="4">
                  <c:v>1</c:v>
                </c:pt>
              </c:numCache>
            </c:numRef>
          </c:val>
          <c:extLst>
            <c:ext xmlns:c16="http://schemas.microsoft.com/office/drawing/2014/chart" uri="{C3380CC4-5D6E-409C-BE32-E72D297353CC}">
              <c16:uniqueId val="{00000000-27C6-44D7-A5BE-E3869C45E3D4}"/>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bg2"/>
        </a:solidFill>
        <a:ln w="9525">
          <a:solidFill>
            <a:sysClr val="windowText" lastClr="000000"/>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PH" sz="1600">
                <a:latin typeface="Arial" panose="020B0604020202020204" pitchFamily="34" charset="0"/>
                <a:cs typeface="Arial" panose="020B0604020202020204" pitchFamily="34" charset="0"/>
              </a:rPr>
              <a:t>3.02 I attend classes regularly and actively participate in lectures, seminars, and lab sessions.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6E9-4AED-B7CF-0D4033C0BA56}"/>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6E9-4AED-B7CF-0D4033C0BA56}"/>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6E9-4AED-B7CF-0D4033C0BA56}"/>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6E9-4AED-B7CF-0D4033C0BA56}"/>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6E9-4AED-B7CF-0D4033C0BA56}"/>
              </c:ext>
            </c:extLst>
          </c:dPt>
          <c:dLbls>
            <c:dLbl>
              <c:idx val="1"/>
              <c:layout>
                <c:manualLayout>
                  <c:x val="4.3744531933508311E-7"/>
                  <c:y val="0.1344754301545640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6E9-4AED-B7CF-0D4033C0BA5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'Week-5'!$AX$2:$AX$6</c:f>
              <c:strCache>
                <c:ptCount val="5"/>
                <c:pt idx="0">
                  <c:v>1 = Strongly Disagree</c:v>
                </c:pt>
                <c:pt idx="1">
                  <c:v>2 = Disagree</c:v>
                </c:pt>
                <c:pt idx="2">
                  <c:v>3 = Neutral</c:v>
                </c:pt>
                <c:pt idx="3">
                  <c:v>4 = Agree</c:v>
                </c:pt>
                <c:pt idx="4">
                  <c:v>5 = Strongly Agree</c:v>
                </c:pt>
              </c:strCache>
            </c:strRef>
          </c:cat>
          <c:val>
            <c:numRef>
              <c:f>'Week-5'!$BA$2:$BA$6</c:f>
              <c:numCache>
                <c:formatCode>General</c:formatCode>
                <c:ptCount val="5"/>
                <c:pt idx="0">
                  <c:v>0</c:v>
                </c:pt>
                <c:pt idx="1">
                  <c:v>0</c:v>
                </c:pt>
                <c:pt idx="2">
                  <c:v>5</c:v>
                </c:pt>
                <c:pt idx="3">
                  <c:v>17</c:v>
                </c:pt>
                <c:pt idx="4">
                  <c:v>19</c:v>
                </c:pt>
              </c:numCache>
            </c:numRef>
          </c:val>
          <c:extLst>
            <c:ext xmlns:c16="http://schemas.microsoft.com/office/drawing/2014/chart" uri="{C3380CC4-5D6E-409C-BE32-E72D297353CC}">
              <c16:uniqueId val="{0000000A-56E9-4AED-B7CF-0D4033C0BA56}"/>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bg2"/>
        </a:solidFill>
        <a:ln w="9525">
          <a:solidFill>
            <a:sysClr val="windowText" lastClr="000000"/>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PH" sz="1600">
                <a:latin typeface="Arial" panose="020B0604020202020204" pitchFamily="34" charset="0"/>
                <a:cs typeface="Arial" panose="020B0604020202020204" pitchFamily="34" charset="0"/>
              </a:rPr>
              <a:t>3.03 I spend an adequate amount of time studying and completing assignments.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72C-425A-B839-AFD13D91B3FB}"/>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72C-425A-B839-AFD13D91B3FB}"/>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72C-425A-B839-AFD13D91B3FB}"/>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72C-425A-B839-AFD13D91B3FB}"/>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72C-425A-B839-AFD13D91B3F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'Week-5'!$AX$2:$AX$6</c:f>
              <c:strCache>
                <c:ptCount val="5"/>
                <c:pt idx="0">
                  <c:v>1 = Strongly Disagree</c:v>
                </c:pt>
                <c:pt idx="1">
                  <c:v>2 = Disagree</c:v>
                </c:pt>
                <c:pt idx="2">
                  <c:v>3 = Neutral</c:v>
                </c:pt>
                <c:pt idx="3">
                  <c:v>4 = Agree</c:v>
                </c:pt>
                <c:pt idx="4">
                  <c:v>5 = Strongly Agree</c:v>
                </c:pt>
              </c:strCache>
            </c:strRef>
          </c:cat>
          <c:val>
            <c:numRef>
              <c:f>'Week-5'!$BC$2:$BC$6</c:f>
              <c:numCache>
                <c:formatCode>General</c:formatCode>
                <c:ptCount val="5"/>
                <c:pt idx="0">
                  <c:v>0</c:v>
                </c:pt>
                <c:pt idx="1">
                  <c:v>2</c:v>
                </c:pt>
                <c:pt idx="2">
                  <c:v>17</c:v>
                </c:pt>
                <c:pt idx="3">
                  <c:v>16</c:v>
                </c:pt>
                <c:pt idx="4">
                  <c:v>6</c:v>
                </c:pt>
              </c:numCache>
            </c:numRef>
          </c:val>
          <c:extLst>
            <c:ext xmlns:c16="http://schemas.microsoft.com/office/drawing/2014/chart" uri="{C3380CC4-5D6E-409C-BE32-E72D297353CC}">
              <c16:uniqueId val="{0000000A-572C-425A-B839-AFD13D91B3FB}"/>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bg2"/>
        </a:solidFill>
        <a:ln w="9525">
          <a:solidFill>
            <a:sysClr val="windowText" lastClr="000000"/>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PH" sz="1600">
                <a:latin typeface="Arial" panose="020B0604020202020204" pitchFamily="34" charset="0"/>
                <a:cs typeface="Arial" panose="020B0604020202020204" pitchFamily="34" charset="0"/>
              </a:rPr>
              <a:t> 3.04 I actively engage in group projects and collaborations, coordinating schedules and contributing to shared assignments.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AA4-4BAC-A10E-9E84DDE5EC0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2AA4-4BAC-A10E-9E84DDE5EC02}"/>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2AA4-4BAC-A10E-9E84DDE5EC02}"/>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2AA4-4BAC-A10E-9E84DDE5EC02}"/>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2AA4-4BAC-A10E-9E84DDE5EC02}"/>
              </c:ext>
            </c:extLst>
          </c:dPt>
          <c:dLbls>
            <c:dLbl>
              <c:idx val="0"/>
              <c:layout>
                <c:manualLayout>
                  <c:x val="4.3744531933508311E-7"/>
                  <c:y val="0.11815762613006707"/>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AA4-4BAC-A10E-9E84DDE5EC02}"/>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'Week-5'!$AX$2:$AX$6</c:f>
              <c:strCache>
                <c:ptCount val="5"/>
                <c:pt idx="0">
                  <c:v>1 = Strongly Disagree</c:v>
                </c:pt>
                <c:pt idx="1">
                  <c:v>2 = Disagree</c:v>
                </c:pt>
                <c:pt idx="2">
                  <c:v>3 = Neutral</c:v>
                </c:pt>
                <c:pt idx="3">
                  <c:v>4 = Agree</c:v>
                </c:pt>
                <c:pt idx="4">
                  <c:v>5 = Strongly Agree</c:v>
                </c:pt>
              </c:strCache>
            </c:strRef>
          </c:cat>
          <c:val>
            <c:numRef>
              <c:f>'Week-5'!$BE$2:$BE$6</c:f>
              <c:numCache>
                <c:formatCode>General</c:formatCode>
                <c:ptCount val="5"/>
                <c:pt idx="0">
                  <c:v>0</c:v>
                </c:pt>
                <c:pt idx="1">
                  <c:v>3</c:v>
                </c:pt>
                <c:pt idx="2">
                  <c:v>9</c:v>
                </c:pt>
                <c:pt idx="3">
                  <c:v>19</c:v>
                </c:pt>
                <c:pt idx="4">
                  <c:v>10</c:v>
                </c:pt>
              </c:numCache>
            </c:numRef>
          </c:val>
          <c:extLst>
            <c:ext xmlns:c16="http://schemas.microsoft.com/office/drawing/2014/chart" uri="{C3380CC4-5D6E-409C-BE32-E72D297353CC}">
              <c16:uniqueId val="{0000000A-2AA4-4BAC-A10E-9E84DDE5EC02}"/>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bg2"/>
        </a:solidFill>
        <a:ln w="9525">
          <a:solidFill>
            <a:sysClr val="windowText" lastClr="000000"/>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PH" sz="1600">
                <a:latin typeface="Arial" panose="020B0604020202020204" pitchFamily="34" charset="0"/>
                <a:cs typeface="Arial" panose="020B0604020202020204" pitchFamily="34" charset="0"/>
              </a:rPr>
              <a:t>3.05 I am involved in extracurricular activities that contribute to my personal growth and development.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4711-4008-B260-A776EAC3966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4711-4008-B260-A776EAC3966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4711-4008-B260-A776EAC39661}"/>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4711-4008-B260-A776EAC39661}"/>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4711-4008-B260-A776EAC39661}"/>
              </c:ext>
            </c:extLst>
          </c:dPt>
          <c:dLbls>
            <c:dLbl>
              <c:idx val="1"/>
              <c:layout>
                <c:manualLayout>
                  <c:x val="-2.4650918635170604E-2"/>
                  <c:y val="0.1411945902595508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711-4008-B260-A776EAC39661}"/>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'Week-5'!$AX$2:$AX$6</c:f>
              <c:strCache>
                <c:ptCount val="5"/>
                <c:pt idx="0">
                  <c:v>1 = Strongly Disagree</c:v>
                </c:pt>
                <c:pt idx="1">
                  <c:v>2 = Disagree</c:v>
                </c:pt>
                <c:pt idx="2">
                  <c:v>3 = Neutral</c:v>
                </c:pt>
                <c:pt idx="3">
                  <c:v>4 = Agree</c:v>
                </c:pt>
                <c:pt idx="4">
                  <c:v>5 = Strongly Agree</c:v>
                </c:pt>
              </c:strCache>
            </c:strRef>
          </c:cat>
          <c:val>
            <c:numRef>
              <c:f>'Week-5'!$BG$2:$BG$6</c:f>
              <c:numCache>
                <c:formatCode>General</c:formatCode>
                <c:ptCount val="5"/>
                <c:pt idx="0">
                  <c:v>1</c:v>
                </c:pt>
                <c:pt idx="1">
                  <c:v>0</c:v>
                </c:pt>
                <c:pt idx="2">
                  <c:v>9</c:v>
                </c:pt>
                <c:pt idx="3">
                  <c:v>23</c:v>
                </c:pt>
                <c:pt idx="4">
                  <c:v>8</c:v>
                </c:pt>
              </c:numCache>
            </c:numRef>
          </c:val>
          <c:extLst>
            <c:ext xmlns:c16="http://schemas.microsoft.com/office/drawing/2014/chart" uri="{C3380CC4-5D6E-409C-BE32-E72D297353CC}">
              <c16:uniqueId val="{0000000A-4711-4008-B260-A776EAC39661}"/>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bg2"/>
        </a:solidFill>
        <a:ln w="9525">
          <a:solidFill>
            <a:sysClr val="windowText" lastClr="000000"/>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PH" sz="1600">
                <a:latin typeface="Arial" panose="020B0604020202020204" pitchFamily="34" charset="0"/>
                <a:cs typeface="Arial" panose="020B0604020202020204" pitchFamily="34" charset="0"/>
              </a:rPr>
              <a:t>3.06 Balancing my part-time job or internship responsibilities with my academic commitments is manageable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CFA4-4A52-9821-14218ADFF91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CFA4-4A52-9821-14218ADFF91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CFA4-4A52-9821-14218ADFF911}"/>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CFA4-4A52-9821-14218ADFF911}"/>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CFA4-4A52-9821-14218ADFF91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'Week-5'!$AX$2:$AX$6</c:f>
              <c:strCache>
                <c:ptCount val="5"/>
                <c:pt idx="0">
                  <c:v>1 = Strongly Disagree</c:v>
                </c:pt>
                <c:pt idx="1">
                  <c:v>2 = Disagree</c:v>
                </c:pt>
                <c:pt idx="2">
                  <c:v>3 = Neutral</c:v>
                </c:pt>
                <c:pt idx="3">
                  <c:v>4 = Agree</c:v>
                </c:pt>
                <c:pt idx="4">
                  <c:v>5 = Strongly Agree</c:v>
                </c:pt>
              </c:strCache>
            </c:strRef>
          </c:cat>
          <c:val>
            <c:numRef>
              <c:f>'Week-5'!$BI$2:$BI$6</c:f>
              <c:numCache>
                <c:formatCode>General</c:formatCode>
                <c:ptCount val="5"/>
                <c:pt idx="0">
                  <c:v>4</c:v>
                </c:pt>
                <c:pt idx="1">
                  <c:v>2</c:v>
                </c:pt>
                <c:pt idx="2">
                  <c:v>14</c:v>
                </c:pt>
                <c:pt idx="3">
                  <c:v>18</c:v>
                </c:pt>
                <c:pt idx="4">
                  <c:v>3</c:v>
                </c:pt>
              </c:numCache>
            </c:numRef>
          </c:val>
          <c:extLst>
            <c:ext xmlns:c16="http://schemas.microsoft.com/office/drawing/2014/chart" uri="{C3380CC4-5D6E-409C-BE32-E72D297353CC}">
              <c16:uniqueId val="{0000000A-CFA4-4A52-9821-14218ADFF911}"/>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bg2"/>
        </a:solidFill>
        <a:ln w="9525">
          <a:solidFill>
            <a:sysClr val="windowText" lastClr="000000"/>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PH" sz="1600">
                <a:latin typeface="Arial" panose="020B0604020202020204" pitchFamily="34" charset="0"/>
                <a:cs typeface="Arial" panose="020B0604020202020204" pitchFamily="34" charset="0"/>
              </a:rPr>
              <a:t>3.07 I dedicate enough time to socializing and maintaining relationships with friends, family, and significant others.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AAA-4972-A65D-B814436A47F6}"/>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2AAA-4972-A65D-B814436A47F6}"/>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2AAA-4972-A65D-B814436A47F6}"/>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2AAA-4972-A65D-B814436A47F6}"/>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2AAA-4972-A65D-B814436A47F6}"/>
              </c:ext>
            </c:extLst>
          </c:dPt>
          <c:dLbls>
            <c:dLbl>
              <c:idx val="1"/>
              <c:layout>
                <c:manualLayout>
                  <c:x val="2.0796150481189341E-3"/>
                  <c:y val="0.1320727617381160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AAA-4972-A65D-B814436A47F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'Week-5'!$AX$2:$AX$6</c:f>
              <c:strCache>
                <c:ptCount val="5"/>
                <c:pt idx="0">
                  <c:v>1 = Strongly Disagree</c:v>
                </c:pt>
                <c:pt idx="1">
                  <c:v>2 = Disagree</c:v>
                </c:pt>
                <c:pt idx="2">
                  <c:v>3 = Neutral</c:v>
                </c:pt>
                <c:pt idx="3">
                  <c:v>4 = Agree</c:v>
                </c:pt>
                <c:pt idx="4">
                  <c:v>5 = Strongly Agree</c:v>
                </c:pt>
              </c:strCache>
            </c:strRef>
          </c:cat>
          <c:val>
            <c:numRef>
              <c:f>'Week-5'!$BK$2:$BK$6</c:f>
              <c:numCache>
                <c:formatCode>General</c:formatCode>
                <c:ptCount val="5"/>
                <c:pt idx="0">
                  <c:v>0</c:v>
                </c:pt>
                <c:pt idx="1">
                  <c:v>1</c:v>
                </c:pt>
                <c:pt idx="2">
                  <c:v>12</c:v>
                </c:pt>
                <c:pt idx="3">
                  <c:v>16</c:v>
                </c:pt>
                <c:pt idx="4">
                  <c:v>12</c:v>
                </c:pt>
              </c:numCache>
            </c:numRef>
          </c:val>
          <c:extLst>
            <c:ext xmlns:c16="http://schemas.microsoft.com/office/drawing/2014/chart" uri="{C3380CC4-5D6E-409C-BE32-E72D297353CC}">
              <c16:uniqueId val="{0000000A-2AAA-4972-A65D-B814436A47F6}"/>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bg2"/>
        </a:solidFill>
        <a:ln w="9525">
          <a:solidFill>
            <a:sysClr val="windowText" lastClr="000000"/>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PH" sz="1600">
                <a:latin typeface="Arial" panose="020B0604020202020204" pitchFamily="34" charset="0"/>
                <a:cs typeface="Arial" panose="020B0604020202020204" pitchFamily="34" charset="0"/>
              </a:rPr>
              <a:t>3.08 My commute to and from campus is reasonable and does not significantly impact my time.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799-4063-BF77-9C5625B0001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799-4063-BF77-9C5625B0001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0799-4063-BF77-9C5625B0001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0799-4063-BF77-9C5625B0001A}"/>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0799-4063-BF77-9C5625B0001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'Week-5'!$AX$2:$AX$6</c:f>
              <c:strCache>
                <c:ptCount val="5"/>
                <c:pt idx="0">
                  <c:v>1 = Strongly Disagree</c:v>
                </c:pt>
                <c:pt idx="1">
                  <c:v>2 = Disagree</c:v>
                </c:pt>
                <c:pt idx="2">
                  <c:v>3 = Neutral</c:v>
                </c:pt>
                <c:pt idx="3">
                  <c:v>4 = Agree</c:v>
                </c:pt>
                <c:pt idx="4">
                  <c:v>5 = Strongly Agree</c:v>
                </c:pt>
              </c:strCache>
            </c:strRef>
          </c:cat>
          <c:val>
            <c:numRef>
              <c:f>'Week-5'!$BM$2:$BM$6</c:f>
              <c:numCache>
                <c:formatCode>General</c:formatCode>
                <c:ptCount val="5"/>
                <c:pt idx="0">
                  <c:v>2</c:v>
                </c:pt>
                <c:pt idx="1">
                  <c:v>2</c:v>
                </c:pt>
                <c:pt idx="2">
                  <c:v>14</c:v>
                </c:pt>
                <c:pt idx="3">
                  <c:v>12</c:v>
                </c:pt>
                <c:pt idx="4">
                  <c:v>11</c:v>
                </c:pt>
              </c:numCache>
            </c:numRef>
          </c:val>
          <c:extLst>
            <c:ext xmlns:c16="http://schemas.microsoft.com/office/drawing/2014/chart" uri="{C3380CC4-5D6E-409C-BE32-E72D297353CC}">
              <c16:uniqueId val="{0000000A-0799-4063-BF77-9C5625B0001A}"/>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bg2"/>
        </a:solidFill>
        <a:ln w="9525">
          <a:solidFill>
            <a:sysClr val="windowText" lastClr="000000"/>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PH" sz="1600">
                <a:latin typeface="Arial" panose="020B0604020202020204" pitchFamily="34" charset="0"/>
                <a:cs typeface="Arial" panose="020B0604020202020204" pitchFamily="34" charset="0"/>
              </a:rPr>
              <a:t>3.09  I prioritize personal care activities such as exercise, cooking, eating, and self-care routines.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23B-49AA-9313-3BA91A8EE8BB}"/>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23B-49AA-9313-3BA91A8EE8BB}"/>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23B-49AA-9313-3BA91A8EE8BB}"/>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23B-49AA-9313-3BA91A8EE8BB}"/>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23B-49AA-9313-3BA91A8EE8BB}"/>
              </c:ext>
            </c:extLst>
          </c:dPt>
          <c:dLbls>
            <c:dLbl>
              <c:idx val="1"/>
              <c:layout>
                <c:manualLayout>
                  <c:x val="-2.7070866141732285E-2"/>
                  <c:y val="0.1249187080781569"/>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23B-49AA-9313-3BA91A8EE8BB}"/>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'Week-5'!$AX$2:$AX$6</c:f>
              <c:strCache>
                <c:ptCount val="5"/>
                <c:pt idx="0">
                  <c:v>1 = Strongly Disagree</c:v>
                </c:pt>
                <c:pt idx="1">
                  <c:v>2 = Disagree</c:v>
                </c:pt>
                <c:pt idx="2">
                  <c:v>3 = Neutral</c:v>
                </c:pt>
                <c:pt idx="3">
                  <c:v>4 = Agree</c:v>
                </c:pt>
                <c:pt idx="4">
                  <c:v>5 = Strongly Agree</c:v>
                </c:pt>
              </c:strCache>
            </c:strRef>
          </c:cat>
          <c:val>
            <c:numRef>
              <c:f>'Week-5'!$BO$2:$BO$6</c:f>
              <c:numCache>
                <c:formatCode>General</c:formatCode>
                <c:ptCount val="5"/>
                <c:pt idx="0">
                  <c:v>1</c:v>
                </c:pt>
                <c:pt idx="1">
                  <c:v>0</c:v>
                </c:pt>
                <c:pt idx="2">
                  <c:v>17</c:v>
                </c:pt>
                <c:pt idx="3">
                  <c:v>14</c:v>
                </c:pt>
                <c:pt idx="4">
                  <c:v>9</c:v>
                </c:pt>
              </c:numCache>
            </c:numRef>
          </c:val>
          <c:extLst>
            <c:ext xmlns:c16="http://schemas.microsoft.com/office/drawing/2014/chart" uri="{C3380CC4-5D6E-409C-BE32-E72D297353CC}">
              <c16:uniqueId val="{0000000A-723B-49AA-9313-3BA91A8EE8BB}"/>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bg2"/>
        </a:solidFill>
        <a:ln w="9525">
          <a:solidFill>
            <a:sysClr val="windowText" lastClr="000000"/>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PH" sz="1600">
                <a:latin typeface="Arial" panose="020B0604020202020204" pitchFamily="34" charset="0"/>
                <a:cs typeface="Arial" panose="020B0604020202020204" pitchFamily="34" charset="0"/>
              </a:rPr>
              <a:t> 3.10 I allocate enough time for personal hobbies and interests that provide me with relaxation and enjoyment.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A28-4120-8B6B-5F6F5E988C6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A28-4120-8B6B-5F6F5E988C62}"/>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A28-4120-8B6B-5F6F5E988C62}"/>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A28-4120-8B6B-5F6F5E988C62}"/>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A28-4120-8B6B-5F6F5E988C62}"/>
              </c:ext>
            </c:extLst>
          </c:dPt>
          <c:dLbls>
            <c:dLbl>
              <c:idx val="1"/>
              <c:layout>
                <c:manualLayout>
                  <c:x val="-4.57917760279965E-2"/>
                  <c:y val="0.1037813502478856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A28-4120-8B6B-5F6F5E988C62}"/>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'Week-5'!$AX$2:$AX$6</c:f>
              <c:strCache>
                <c:ptCount val="5"/>
                <c:pt idx="0">
                  <c:v>1 = Strongly Disagree</c:v>
                </c:pt>
                <c:pt idx="1">
                  <c:v>2 = Disagree</c:v>
                </c:pt>
                <c:pt idx="2">
                  <c:v>3 = Neutral</c:v>
                </c:pt>
                <c:pt idx="3">
                  <c:v>4 = Agree</c:v>
                </c:pt>
                <c:pt idx="4">
                  <c:v>5 = Strongly Agree</c:v>
                </c:pt>
              </c:strCache>
            </c:strRef>
          </c:cat>
          <c:val>
            <c:numRef>
              <c:f>'Week-5'!$BQ$2:$BQ$6</c:f>
              <c:numCache>
                <c:formatCode>General</c:formatCode>
                <c:ptCount val="5"/>
                <c:pt idx="0">
                  <c:v>0</c:v>
                </c:pt>
                <c:pt idx="1">
                  <c:v>4</c:v>
                </c:pt>
                <c:pt idx="2">
                  <c:v>8</c:v>
                </c:pt>
                <c:pt idx="3">
                  <c:v>22</c:v>
                </c:pt>
                <c:pt idx="4">
                  <c:v>7</c:v>
                </c:pt>
              </c:numCache>
            </c:numRef>
          </c:val>
          <c:extLst>
            <c:ext xmlns:c16="http://schemas.microsoft.com/office/drawing/2014/chart" uri="{C3380CC4-5D6E-409C-BE32-E72D297353CC}">
              <c16:uniqueId val="{0000000A-5A28-4120-8B6B-5F6F5E988C62}"/>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bg2"/>
        </a:solidFill>
        <a:ln w="9525">
          <a:solidFill>
            <a:sysClr val="windowText" lastClr="000000"/>
          </a:solid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80" b="0" i="0" u="none" strike="noStrike" kern="1200" cap="all" baseline="0">
                <a:solidFill>
                  <a:schemeClr val="lt1"/>
                </a:solidFill>
                <a:latin typeface="Arial" panose="020B0604020202020204" pitchFamily="34" charset="0"/>
                <a:ea typeface="+mn-ea"/>
                <a:cs typeface="Arial" panose="020B0604020202020204" pitchFamily="34" charset="0"/>
              </a:defRPr>
            </a:pPr>
            <a:r>
              <a:rPr lang="en-PH"/>
              <a:t>CORRELATION RESULTS</a:t>
            </a:r>
          </a:p>
        </c:rich>
      </c:tx>
      <c:overlay val="0"/>
      <c:spPr>
        <a:noFill/>
        <a:ln>
          <a:noFill/>
        </a:ln>
        <a:effectLst/>
      </c:spPr>
      <c:txPr>
        <a:bodyPr rot="0" spcFirstLastPara="1" vertOverflow="ellipsis" vert="horz" wrap="square" anchor="ctr" anchorCtr="1"/>
        <a:lstStyle/>
        <a:p>
          <a:pPr>
            <a:defRPr sz="1080" b="0" i="0" u="none" strike="noStrike" kern="1200" cap="all" baseline="0">
              <a:solidFill>
                <a:schemeClr val="lt1"/>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0"/>
          <c:order val="0"/>
          <c:tx>
            <c:strRef>
              <c:f>'Week-5'!$K$16</c:f>
              <c:strCache>
                <c:ptCount val="1"/>
                <c:pt idx="0">
                  <c:v>Q2.01 &amp; Q3.01</c:v>
                </c:pt>
              </c:strCache>
            </c:strRef>
          </c:tx>
          <c:spPr>
            <a:solidFill>
              <a:schemeClr val="accent1">
                <a:alpha val="88000"/>
              </a:schemeClr>
            </a:solidFill>
            <a:ln>
              <a:solidFill>
                <a:schemeClr val="accent1">
                  <a:lumMod val="50000"/>
                </a:schemeClr>
              </a:solidFill>
            </a:ln>
            <a:effectLst/>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'Week-5'!$L$15</c:f>
              <c:strCache>
                <c:ptCount val="1"/>
                <c:pt idx="0">
                  <c:v>Coefficient</c:v>
                </c:pt>
              </c:strCache>
            </c:strRef>
          </c:cat>
          <c:val>
            <c:numRef>
              <c:f>'Week-5'!$L$16</c:f>
              <c:numCache>
                <c:formatCode>0.000</c:formatCode>
                <c:ptCount val="1"/>
                <c:pt idx="0">
                  <c:v>0.34537192980406328</c:v>
                </c:pt>
              </c:numCache>
            </c:numRef>
          </c:val>
          <c:extLst>
            <c:ext xmlns:c16="http://schemas.microsoft.com/office/drawing/2014/chart" uri="{C3380CC4-5D6E-409C-BE32-E72D297353CC}">
              <c16:uniqueId val="{00000000-7250-456D-A5A1-FE721B771D34}"/>
            </c:ext>
          </c:extLst>
        </c:ser>
        <c:ser>
          <c:idx val="1"/>
          <c:order val="1"/>
          <c:tx>
            <c:strRef>
              <c:f>'Week-5'!$K$17</c:f>
              <c:strCache>
                <c:ptCount val="1"/>
                <c:pt idx="0">
                  <c:v>Q2.02 &amp; Q3.02</c:v>
                </c:pt>
              </c:strCache>
            </c:strRef>
          </c:tx>
          <c:spPr>
            <a:solidFill>
              <a:schemeClr val="accent2">
                <a:alpha val="88000"/>
              </a:schemeClr>
            </a:solidFill>
            <a:ln>
              <a:solidFill>
                <a:schemeClr val="accent2">
                  <a:lumMod val="50000"/>
                </a:schemeClr>
              </a:solidFill>
            </a:ln>
            <a:effectLst/>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'Week-5'!$L$15</c:f>
              <c:strCache>
                <c:ptCount val="1"/>
                <c:pt idx="0">
                  <c:v>Coefficient</c:v>
                </c:pt>
              </c:strCache>
            </c:strRef>
          </c:cat>
          <c:val>
            <c:numRef>
              <c:f>'Week-5'!$L$17</c:f>
              <c:numCache>
                <c:formatCode>0.000</c:formatCode>
                <c:ptCount val="1"/>
                <c:pt idx="0">
                  <c:v>6.1559536912250872E-3</c:v>
                </c:pt>
              </c:numCache>
            </c:numRef>
          </c:val>
          <c:extLst>
            <c:ext xmlns:c16="http://schemas.microsoft.com/office/drawing/2014/chart" uri="{C3380CC4-5D6E-409C-BE32-E72D297353CC}">
              <c16:uniqueId val="{00000013-7250-456D-A5A1-FE721B771D34}"/>
            </c:ext>
          </c:extLst>
        </c:ser>
        <c:ser>
          <c:idx val="2"/>
          <c:order val="2"/>
          <c:tx>
            <c:strRef>
              <c:f>'Week-5'!$K$18</c:f>
              <c:strCache>
                <c:ptCount val="1"/>
                <c:pt idx="0">
                  <c:v>Q2.03 &amp; Q3.03</c:v>
                </c:pt>
              </c:strCache>
            </c:strRef>
          </c:tx>
          <c:spPr>
            <a:solidFill>
              <a:schemeClr val="accent3">
                <a:alpha val="88000"/>
              </a:schemeClr>
            </a:solidFill>
            <a:ln>
              <a:solidFill>
                <a:schemeClr val="accent3">
                  <a:lumMod val="50000"/>
                </a:schemeClr>
              </a:solidFill>
            </a:ln>
            <a:effectLst/>
          </c:spPr>
          <c:invertIfNegative val="0"/>
          <c:dLbls>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'Week-5'!$L$15</c:f>
              <c:strCache>
                <c:ptCount val="1"/>
                <c:pt idx="0">
                  <c:v>Coefficient</c:v>
                </c:pt>
              </c:strCache>
            </c:strRef>
          </c:cat>
          <c:val>
            <c:numRef>
              <c:f>'Week-5'!$L$18</c:f>
              <c:numCache>
                <c:formatCode>0.000</c:formatCode>
                <c:ptCount val="1"/>
                <c:pt idx="0">
                  <c:v>7.2828885903394452E-2</c:v>
                </c:pt>
              </c:numCache>
            </c:numRef>
          </c:val>
          <c:extLst>
            <c:ext xmlns:c16="http://schemas.microsoft.com/office/drawing/2014/chart" uri="{C3380CC4-5D6E-409C-BE32-E72D297353CC}">
              <c16:uniqueId val="{00000014-7250-456D-A5A1-FE721B771D34}"/>
            </c:ext>
          </c:extLst>
        </c:ser>
        <c:ser>
          <c:idx val="3"/>
          <c:order val="3"/>
          <c:tx>
            <c:strRef>
              <c:f>'Week-5'!$K$19</c:f>
              <c:strCache>
                <c:ptCount val="1"/>
                <c:pt idx="0">
                  <c:v>Q2.04 &amp; Q3.04</c:v>
                </c:pt>
              </c:strCache>
            </c:strRef>
          </c:tx>
          <c:spPr>
            <a:solidFill>
              <a:schemeClr val="accent4">
                <a:alpha val="88000"/>
              </a:schemeClr>
            </a:solidFill>
            <a:ln>
              <a:solidFill>
                <a:schemeClr val="accent4">
                  <a:lumMod val="50000"/>
                </a:schemeClr>
              </a:solidFill>
            </a:ln>
            <a:effectLst/>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'Week-5'!$L$15</c:f>
              <c:strCache>
                <c:ptCount val="1"/>
                <c:pt idx="0">
                  <c:v>Coefficient</c:v>
                </c:pt>
              </c:strCache>
            </c:strRef>
          </c:cat>
          <c:val>
            <c:numRef>
              <c:f>'Week-5'!$L$19</c:f>
              <c:numCache>
                <c:formatCode>0.000</c:formatCode>
                <c:ptCount val="1"/>
                <c:pt idx="0">
                  <c:v>0.22137744750509236</c:v>
                </c:pt>
              </c:numCache>
            </c:numRef>
          </c:val>
          <c:extLst>
            <c:ext xmlns:c16="http://schemas.microsoft.com/office/drawing/2014/chart" uri="{C3380CC4-5D6E-409C-BE32-E72D297353CC}">
              <c16:uniqueId val="{00000015-7250-456D-A5A1-FE721B771D34}"/>
            </c:ext>
          </c:extLst>
        </c:ser>
        <c:ser>
          <c:idx val="4"/>
          <c:order val="4"/>
          <c:tx>
            <c:strRef>
              <c:f>'Week-5'!$K$20</c:f>
              <c:strCache>
                <c:ptCount val="1"/>
                <c:pt idx="0">
                  <c:v>Q2.05 &amp; Q3.05</c:v>
                </c:pt>
              </c:strCache>
            </c:strRef>
          </c:tx>
          <c:spPr>
            <a:solidFill>
              <a:schemeClr val="accent5">
                <a:alpha val="88000"/>
              </a:schemeClr>
            </a:solidFill>
            <a:ln>
              <a:solidFill>
                <a:schemeClr val="accent5">
                  <a:lumMod val="50000"/>
                </a:schemeClr>
              </a:solidFill>
            </a:ln>
            <a:effectLst/>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'Week-5'!$L$15</c:f>
              <c:strCache>
                <c:ptCount val="1"/>
                <c:pt idx="0">
                  <c:v>Coefficient</c:v>
                </c:pt>
              </c:strCache>
            </c:strRef>
          </c:cat>
          <c:val>
            <c:numRef>
              <c:f>'Week-5'!$L$20</c:f>
              <c:numCache>
                <c:formatCode>0.000</c:formatCode>
                <c:ptCount val="1"/>
                <c:pt idx="0">
                  <c:v>-5.3180691583508324E-3</c:v>
                </c:pt>
              </c:numCache>
            </c:numRef>
          </c:val>
          <c:extLst>
            <c:ext xmlns:c16="http://schemas.microsoft.com/office/drawing/2014/chart" uri="{C3380CC4-5D6E-409C-BE32-E72D297353CC}">
              <c16:uniqueId val="{00000016-7250-456D-A5A1-FE721B771D34}"/>
            </c:ext>
          </c:extLst>
        </c:ser>
        <c:ser>
          <c:idx val="5"/>
          <c:order val="5"/>
          <c:tx>
            <c:strRef>
              <c:f>'Week-5'!$K$21</c:f>
              <c:strCache>
                <c:ptCount val="1"/>
                <c:pt idx="0">
                  <c:v>Q2.06 &amp; Q3.06</c:v>
                </c:pt>
              </c:strCache>
            </c:strRef>
          </c:tx>
          <c:spPr>
            <a:solidFill>
              <a:schemeClr val="accent6">
                <a:alpha val="88000"/>
              </a:schemeClr>
            </a:solidFill>
            <a:ln>
              <a:solidFill>
                <a:schemeClr val="accent6">
                  <a:lumMod val="50000"/>
                </a:schemeClr>
              </a:solidFill>
            </a:ln>
            <a:effectLst/>
          </c:spPr>
          <c:invertIfNegative val="0"/>
          <c:dLbls>
            <c:spPr>
              <a:solidFill>
                <a:srgbClr val="70AD47">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'Week-5'!$L$15</c:f>
              <c:strCache>
                <c:ptCount val="1"/>
                <c:pt idx="0">
                  <c:v>Coefficient</c:v>
                </c:pt>
              </c:strCache>
            </c:strRef>
          </c:cat>
          <c:val>
            <c:numRef>
              <c:f>'Week-5'!$L$21</c:f>
              <c:numCache>
                <c:formatCode>0.000</c:formatCode>
                <c:ptCount val="1"/>
                <c:pt idx="0">
                  <c:v>0.27723136354799777</c:v>
                </c:pt>
              </c:numCache>
            </c:numRef>
          </c:val>
          <c:extLst>
            <c:ext xmlns:c16="http://schemas.microsoft.com/office/drawing/2014/chart" uri="{C3380CC4-5D6E-409C-BE32-E72D297353CC}">
              <c16:uniqueId val="{00000017-7250-456D-A5A1-FE721B771D34}"/>
            </c:ext>
          </c:extLst>
        </c:ser>
        <c:ser>
          <c:idx val="6"/>
          <c:order val="6"/>
          <c:tx>
            <c:strRef>
              <c:f>'Week-5'!$K$22</c:f>
              <c:strCache>
                <c:ptCount val="1"/>
                <c:pt idx="0">
                  <c:v>Q2.07 &amp; Q3.07</c:v>
                </c:pt>
              </c:strCache>
            </c:strRef>
          </c:tx>
          <c:spPr>
            <a:solidFill>
              <a:schemeClr val="accent1">
                <a:lumMod val="60000"/>
                <a:alpha val="88000"/>
              </a:schemeClr>
            </a:solidFill>
            <a:ln>
              <a:solidFill>
                <a:schemeClr val="accent1">
                  <a:lumMod val="60000"/>
                  <a:lumMod val="50000"/>
                </a:schemeClr>
              </a:solidFill>
            </a:ln>
            <a:effectLst/>
          </c:spPr>
          <c:invertIfNegative val="0"/>
          <c:dLbls>
            <c:spPr>
              <a:solidFill>
                <a:srgbClr val="4472C4">
                  <a:lumMod val="60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'Week-5'!$L$15</c:f>
              <c:strCache>
                <c:ptCount val="1"/>
                <c:pt idx="0">
                  <c:v>Coefficient</c:v>
                </c:pt>
              </c:strCache>
            </c:strRef>
          </c:cat>
          <c:val>
            <c:numRef>
              <c:f>'Week-5'!$L$22</c:f>
              <c:numCache>
                <c:formatCode>0.000</c:formatCode>
                <c:ptCount val="1"/>
                <c:pt idx="0">
                  <c:v>0.15111164642941385</c:v>
                </c:pt>
              </c:numCache>
            </c:numRef>
          </c:val>
          <c:extLst>
            <c:ext xmlns:c16="http://schemas.microsoft.com/office/drawing/2014/chart" uri="{C3380CC4-5D6E-409C-BE32-E72D297353CC}">
              <c16:uniqueId val="{00000018-7250-456D-A5A1-FE721B771D34}"/>
            </c:ext>
          </c:extLst>
        </c:ser>
        <c:ser>
          <c:idx val="7"/>
          <c:order val="7"/>
          <c:tx>
            <c:strRef>
              <c:f>'Week-5'!$K$23</c:f>
              <c:strCache>
                <c:ptCount val="1"/>
                <c:pt idx="0">
                  <c:v>Q2.08 &amp; Q3.08</c:v>
                </c:pt>
              </c:strCache>
            </c:strRef>
          </c:tx>
          <c:spPr>
            <a:solidFill>
              <a:schemeClr val="accent2">
                <a:lumMod val="60000"/>
                <a:alpha val="88000"/>
              </a:schemeClr>
            </a:solidFill>
            <a:ln>
              <a:solidFill>
                <a:schemeClr val="accent2">
                  <a:lumMod val="60000"/>
                  <a:lumMod val="50000"/>
                </a:schemeClr>
              </a:solidFill>
            </a:ln>
            <a:effectLst/>
          </c:spPr>
          <c:invertIfNegative val="0"/>
          <c:dLbls>
            <c:spPr>
              <a:solidFill>
                <a:srgbClr val="ED7D31">
                  <a:lumMod val="60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'Week-5'!$L$15</c:f>
              <c:strCache>
                <c:ptCount val="1"/>
                <c:pt idx="0">
                  <c:v>Coefficient</c:v>
                </c:pt>
              </c:strCache>
            </c:strRef>
          </c:cat>
          <c:val>
            <c:numRef>
              <c:f>'Week-5'!$L$23</c:f>
              <c:numCache>
                <c:formatCode>0.000</c:formatCode>
                <c:ptCount val="1"/>
                <c:pt idx="0">
                  <c:v>-7.8944107002681757E-2</c:v>
                </c:pt>
              </c:numCache>
            </c:numRef>
          </c:val>
          <c:extLst>
            <c:ext xmlns:c16="http://schemas.microsoft.com/office/drawing/2014/chart" uri="{C3380CC4-5D6E-409C-BE32-E72D297353CC}">
              <c16:uniqueId val="{00000019-7250-456D-A5A1-FE721B771D34}"/>
            </c:ext>
          </c:extLst>
        </c:ser>
        <c:ser>
          <c:idx val="8"/>
          <c:order val="8"/>
          <c:tx>
            <c:strRef>
              <c:f>'Week-5'!$K$24</c:f>
              <c:strCache>
                <c:ptCount val="1"/>
                <c:pt idx="0">
                  <c:v>Q2.09 &amp; Q3.09</c:v>
                </c:pt>
              </c:strCache>
            </c:strRef>
          </c:tx>
          <c:spPr>
            <a:solidFill>
              <a:schemeClr val="accent3">
                <a:lumMod val="60000"/>
                <a:alpha val="88000"/>
              </a:schemeClr>
            </a:solidFill>
            <a:ln>
              <a:solidFill>
                <a:schemeClr val="accent3">
                  <a:lumMod val="60000"/>
                  <a:lumMod val="50000"/>
                </a:schemeClr>
              </a:solidFill>
            </a:ln>
            <a:effectLst/>
          </c:spPr>
          <c:invertIfNegative val="0"/>
          <c:dLbls>
            <c:spPr>
              <a:solidFill>
                <a:srgbClr val="A5A5A5">
                  <a:lumMod val="60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'Week-5'!$L$15</c:f>
              <c:strCache>
                <c:ptCount val="1"/>
                <c:pt idx="0">
                  <c:v>Coefficient</c:v>
                </c:pt>
              </c:strCache>
            </c:strRef>
          </c:cat>
          <c:val>
            <c:numRef>
              <c:f>'Week-5'!$L$24</c:f>
              <c:numCache>
                <c:formatCode>0.000</c:formatCode>
                <c:ptCount val="1"/>
                <c:pt idx="0">
                  <c:v>0.21547202221660314</c:v>
                </c:pt>
              </c:numCache>
            </c:numRef>
          </c:val>
          <c:extLst>
            <c:ext xmlns:c16="http://schemas.microsoft.com/office/drawing/2014/chart" uri="{C3380CC4-5D6E-409C-BE32-E72D297353CC}">
              <c16:uniqueId val="{0000001A-7250-456D-A5A1-FE721B771D34}"/>
            </c:ext>
          </c:extLst>
        </c:ser>
        <c:ser>
          <c:idx val="9"/>
          <c:order val="9"/>
          <c:tx>
            <c:strRef>
              <c:f>'Week-5'!$K$25</c:f>
              <c:strCache>
                <c:ptCount val="1"/>
                <c:pt idx="0">
                  <c:v>Q2.10 &amp; Q3.10</c:v>
                </c:pt>
              </c:strCache>
            </c:strRef>
          </c:tx>
          <c:spPr>
            <a:solidFill>
              <a:schemeClr val="accent4">
                <a:lumMod val="60000"/>
                <a:alpha val="88000"/>
              </a:schemeClr>
            </a:solidFill>
            <a:ln>
              <a:solidFill>
                <a:schemeClr val="accent4">
                  <a:lumMod val="60000"/>
                  <a:lumMod val="50000"/>
                </a:schemeClr>
              </a:solidFill>
            </a:ln>
            <a:effectLst/>
          </c:spPr>
          <c:invertIfNegative val="0"/>
          <c:dLbls>
            <c:spPr>
              <a:solidFill>
                <a:srgbClr val="FFC000">
                  <a:lumMod val="60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'Week-5'!$L$15</c:f>
              <c:strCache>
                <c:ptCount val="1"/>
                <c:pt idx="0">
                  <c:v>Coefficient</c:v>
                </c:pt>
              </c:strCache>
            </c:strRef>
          </c:cat>
          <c:val>
            <c:numRef>
              <c:f>'Week-5'!$L$25</c:f>
              <c:numCache>
                <c:formatCode>0.000</c:formatCode>
                <c:ptCount val="1"/>
                <c:pt idx="0">
                  <c:v>0.20330783870866045</c:v>
                </c:pt>
              </c:numCache>
            </c:numRef>
          </c:val>
          <c:extLst>
            <c:ext xmlns:c16="http://schemas.microsoft.com/office/drawing/2014/chart" uri="{C3380CC4-5D6E-409C-BE32-E72D297353CC}">
              <c16:uniqueId val="{0000001B-7250-456D-A5A1-FE721B771D34}"/>
            </c:ext>
          </c:extLst>
        </c:ser>
        <c:dLbls>
          <c:dLblPos val="outEnd"/>
          <c:showLegendKey val="0"/>
          <c:showVal val="1"/>
          <c:showCatName val="0"/>
          <c:showSerName val="0"/>
          <c:showPercent val="0"/>
          <c:showBubbleSize val="0"/>
        </c:dLbls>
        <c:gapWidth val="75"/>
        <c:overlap val="40"/>
        <c:axId val="497019983"/>
        <c:axId val="497007503"/>
      </c:barChart>
      <c:catAx>
        <c:axId val="497019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Arial" panose="020B0604020202020204" pitchFamily="34" charset="0"/>
                <a:ea typeface="+mn-ea"/>
                <a:cs typeface="Arial" panose="020B0604020202020204" pitchFamily="34" charset="0"/>
              </a:defRPr>
            </a:pPr>
            <a:endParaRPr lang="en-US"/>
          </a:p>
        </c:txPr>
        <c:crossAx val="497007503"/>
        <c:crosses val="autoZero"/>
        <c:auto val="1"/>
        <c:lblAlgn val="ctr"/>
        <c:lblOffset val="100"/>
        <c:noMultiLvlLbl val="0"/>
      </c:catAx>
      <c:valAx>
        <c:axId val="497007503"/>
        <c:scaling>
          <c:orientation val="minMax"/>
        </c:scaling>
        <c:delete val="0"/>
        <c:axPos val="b"/>
        <c:majorGridlines>
          <c:spPr>
            <a:ln w="9525">
              <a:solidFill>
                <a:schemeClr val="lt1">
                  <a:lumMod val="50000"/>
                </a:schemeClr>
              </a:solidFill>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Arial" panose="020B0604020202020204" pitchFamily="34" charset="0"/>
                <a:ea typeface="+mn-ea"/>
                <a:cs typeface="Arial" panose="020B0604020202020204" pitchFamily="34" charset="0"/>
              </a:defRPr>
            </a:pPr>
            <a:endParaRPr lang="en-US"/>
          </a:p>
        </c:txPr>
        <c:crossAx val="497019983"/>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Arial" panose="020B0604020202020204" pitchFamily="34" charset="0"/>
                <a:ea typeface="+mn-ea"/>
                <a:cs typeface="Arial" panose="020B0604020202020204" pitchFamily="34" charset="0"/>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6350" cap="flat" cmpd="sng" algn="ctr">
      <a:solidFill>
        <a:schemeClr val="dk1">
          <a:tint val="75000"/>
        </a:schemeClr>
      </a:solidFill>
      <a:round/>
    </a:ln>
    <a:effectLst/>
  </c:spPr>
  <c:txPr>
    <a:bodyPr/>
    <a:lstStyle/>
    <a:p>
      <a:pPr>
        <a:defRPr sz="9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347978</xdr:colOff>
      <xdr:row>1</xdr:row>
      <xdr:rowOff>8468</xdr:rowOff>
    </xdr:from>
    <xdr:to>
      <xdr:col>7</xdr:col>
      <xdr:colOff>448731</xdr:colOff>
      <xdr:row>17</xdr:row>
      <xdr:rowOff>42334</xdr:rowOff>
    </xdr:to>
    <xdr:graphicFrame macro="">
      <xdr:nvGraphicFramePr>
        <xdr:cNvPr id="5" name="Chart 4">
          <a:extLst>
            <a:ext uri="{FF2B5EF4-FFF2-40B4-BE49-F238E27FC236}">
              <a16:creationId xmlns:a16="http://schemas.microsoft.com/office/drawing/2014/main" id="{F8328B43-4B85-96BE-3DD7-3A6D3DADB6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677333</xdr:colOff>
      <xdr:row>1</xdr:row>
      <xdr:rowOff>0</xdr:rowOff>
    </xdr:from>
    <xdr:to>
      <xdr:col>16</xdr:col>
      <xdr:colOff>169333</xdr:colOff>
      <xdr:row>17</xdr:row>
      <xdr:rowOff>33866</xdr:rowOff>
    </xdr:to>
    <xdr:graphicFrame macro="">
      <xdr:nvGraphicFramePr>
        <xdr:cNvPr id="6" name="Chart 5">
          <a:extLst>
            <a:ext uri="{FF2B5EF4-FFF2-40B4-BE49-F238E27FC236}">
              <a16:creationId xmlns:a16="http://schemas.microsoft.com/office/drawing/2014/main" id="{2D906D81-B56B-945C-CBCA-8E65285451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321733</xdr:colOff>
      <xdr:row>18</xdr:row>
      <xdr:rowOff>110066</xdr:rowOff>
    </xdr:from>
    <xdr:to>
      <xdr:col>7</xdr:col>
      <xdr:colOff>431800</xdr:colOff>
      <xdr:row>34</xdr:row>
      <xdr:rowOff>143933</xdr:rowOff>
    </xdr:to>
    <xdr:graphicFrame macro="">
      <xdr:nvGraphicFramePr>
        <xdr:cNvPr id="7" name="Chart 6">
          <a:extLst>
            <a:ext uri="{FF2B5EF4-FFF2-40B4-BE49-F238E27FC236}">
              <a16:creationId xmlns:a16="http://schemas.microsoft.com/office/drawing/2014/main" id="{3FB4EB94-39E1-91C6-3911-0186138FF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668866</xdr:colOff>
      <xdr:row>18</xdr:row>
      <xdr:rowOff>118534</xdr:rowOff>
    </xdr:from>
    <xdr:to>
      <xdr:col>16</xdr:col>
      <xdr:colOff>160866</xdr:colOff>
      <xdr:row>34</xdr:row>
      <xdr:rowOff>152401</xdr:rowOff>
    </xdr:to>
    <xdr:graphicFrame macro="">
      <xdr:nvGraphicFramePr>
        <xdr:cNvPr id="8" name="Chart 7">
          <a:extLst>
            <a:ext uri="{FF2B5EF4-FFF2-40B4-BE49-F238E27FC236}">
              <a16:creationId xmlns:a16="http://schemas.microsoft.com/office/drawing/2014/main" id="{57BBF3DD-A5C5-94EF-410B-0F30D9407F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448731</xdr:colOff>
      <xdr:row>1</xdr:row>
      <xdr:rowOff>93133</xdr:rowOff>
    </xdr:from>
    <xdr:to>
      <xdr:col>31</xdr:col>
      <xdr:colOff>220133</xdr:colOff>
      <xdr:row>34</xdr:row>
      <xdr:rowOff>59267</xdr:rowOff>
    </xdr:to>
    <xdr:graphicFrame macro="">
      <xdr:nvGraphicFramePr>
        <xdr:cNvPr id="9" name="Chart 8">
          <a:extLst>
            <a:ext uri="{FF2B5EF4-FFF2-40B4-BE49-F238E27FC236}">
              <a16:creationId xmlns:a16="http://schemas.microsoft.com/office/drawing/2014/main" id="{087CCE98-DEAD-2912-0D77-33DD2E256F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261257</xdr:colOff>
      <xdr:row>37</xdr:row>
      <xdr:rowOff>76201</xdr:rowOff>
    </xdr:from>
    <xdr:to>
      <xdr:col>7</xdr:col>
      <xdr:colOff>391886</xdr:colOff>
      <xdr:row>54</xdr:row>
      <xdr:rowOff>43543</xdr:rowOff>
    </xdr:to>
    <xdr:graphicFrame macro="">
      <xdr:nvGraphicFramePr>
        <xdr:cNvPr id="11" name="Chart 10">
          <a:extLst>
            <a:ext uri="{FF2B5EF4-FFF2-40B4-BE49-F238E27FC236}">
              <a16:creationId xmlns:a16="http://schemas.microsoft.com/office/drawing/2014/main" id="{68E17A52-AA8A-3417-B343-0787CC7105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642258</xdr:colOff>
      <xdr:row>37</xdr:row>
      <xdr:rowOff>76201</xdr:rowOff>
    </xdr:from>
    <xdr:to>
      <xdr:col>16</xdr:col>
      <xdr:colOff>174172</xdr:colOff>
      <xdr:row>54</xdr:row>
      <xdr:rowOff>43543</xdr:rowOff>
    </xdr:to>
    <xdr:graphicFrame macro="">
      <xdr:nvGraphicFramePr>
        <xdr:cNvPr id="12" name="Chart 11">
          <a:extLst>
            <a:ext uri="{FF2B5EF4-FFF2-40B4-BE49-F238E27FC236}">
              <a16:creationId xmlns:a16="http://schemas.microsoft.com/office/drawing/2014/main" id="{EC8F1C1D-9CDA-48D4-A837-6F82504220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457200</xdr:colOff>
      <xdr:row>37</xdr:row>
      <xdr:rowOff>76200</xdr:rowOff>
    </xdr:from>
    <xdr:to>
      <xdr:col>25</xdr:col>
      <xdr:colOff>250371</xdr:colOff>
      <xdr:row>54</xdr:row>
      <xdr:rowOff>43542</xdr:rowOff>
    </xdr:to>
    <xdr:graphicFrame macro="">
      <xdr:nvGraphicFramePr>
        <xdr:cNvPr id="13" name="Chart 12">
          <a:extLst>
            <a:ext uri="{FF2B5EF4-FFF2-40B4-BE49-F238E27FC236}">
              <a16:creationId xmlns:a16="http://schemas.microsoft.com/office/drawing/2014/main" id="{8A536160-D351-4E02-86EA-D5E657B96D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25</xdr:col>
      <xdr:colOff>544285</xdr:colOff>
      <xdr:row>37</xdr:row>
      <xdr:rowOff>65314</xdr:rowOff>
    </xdr:from>
    <xdr:to>
      <xdr:col>33</xdr:col>
      <xdr:colOff>239485</xdr:colOff>
      <xdr:row>54</xdr:row>
      <xdr:rowOff>32656</xdr:rowOff>
    </xdr:to>
    <xdr:graphicFrame macro="">
      <xdr:nvGraphicFramePr>
        <xdr:cNvPr id="14" name="Chart 13">
          <a:extLst>
            <a:ext uri="{FF2B5EF4-FFF2-40B4-BE49-F238E27FC236}">
              <a16:creationId xmlns:a16="http://schemas.microsoft.com/office/drawing/2014/main" id="{7C907DCE-FB91-4A85-ACE8-BC67228133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33</xdr:col>
      <xdr:colOff>598714</xdr:colOff>
      <xdr:row>37</xdr:row>
      <xdr:rowOff>76201</xdr:rowOff>
    </xdr:from>
    <xdr:to>
      <xdr:col>41</xdr:col>
      <xdr:colOff>293914</xdr:colOff>
      <xdr:row>54</xdr:row>
      <xdr:rowOff>43543</xdr:rowOff>
    </xdr:to>
    <xdr:graphicFrame macro="">
      <xdr:nvGraphicFramePr>
        <xdr:cNvPr id="15" name="Chart 14">
          <a:extLst>
            <a:ext uri="{FF2B5EF4-FFF2-40B4-BE49-F238E27FC236}">
              <a16:creationId xmlns:a16="http://schemas.microsoft.com/office/drawing/2014/main" id="{EF262C36-9B5E-4D6B-9A57-DD9F8572A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250372</xdr:colOff>
      <xdr:row>56</xdr:row>
      <xdr:rowOff>0</xdr:rowOff>
    </xdr:from>
    <xdr:to>
      <xdr:col>7</xdr:col>
      <xdr:colOff>381001</xdr:colOff>
      <xdr:row>72</xdr:row>
      <xdr:rowOff>130629</xdr:rowOff>
    </xdr:to>
    <xdr:graphicFrame macro="">
      <xdr:nvGraphicFramePr>
        <xdr:cNvPr id="16" name="Chart 15">
          <a:extLst>
            <a:ext uri="{FF2B5EF4-FFF2-40B4-BE49-F238E27FC236}">
              <a16:creationId xmlns:a16="http://schemas.microsoft.com/office/drawing/2014/main" id="{DE253442-779F-4344-AA00-D152581FFA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653143</xdr:colOff>
      <xdr:row>56</xdr:row>
      <xdr:rowOff>1</xdr:rowOff>
    </xdr:from>
    <xdr:to>
      <xdr:col>16</xdr:col>
      <xdr:colOff>185057</xdr:colOff>
      <xdr:row>72</xdr:row>
      <xdr:rowOff>130630</xdr:rowOff>
    </xdr:to>
    <xdr:graphicFrame macro="">
      <xdr:nvGraphicFramePr>
        <xdr:cNvPr id="17" name="Chart 16">
          <a:extLst>
            <a:ext uri="{FF2B5EF4-FFF2-40B4-BE49-F238E27FC236}">
              <a16:creationId xmlns:a16="http://schemas.microsoft.com/office/drawing/2014/main" id="{45539232-D6CE-4017-9046-04360951A0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17</xdr:col>
      <xdr:colOff>0</xdr:colOff>
      <xdr:row>56</xdr:row>
      <xdr:rowOff>10886</xdr:rowOff>
    </xdr:from>
    <xdr:to>
      <xdr:col>25</xdr:col>
      <xdr:colOff>261257</xdr:colOff>
      <xdr:row>72</xdr:row>
      <xdr:rowOff>141515</xdr:rowOff>
    </xdr:to>
    <xdr:graphicFrame macro="">
      <xdr:nvGraphicFramePr>
        <xdr:cNvPr id="18" name="Chart 17">
          <a:extLst>
            <a:ext uri="{FF2B5EF4-FFF2-40B4-BE49-F238E27FC236}">
              <a16:creationId xmlns:a16="http://schemas.microsoft.com/office/drawing/2014/main" id="{E4657EB8-0776-4BE6-9CD8-5972FBA8FC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25</xdr:col>
      <xdr:colOff>544286</xdr:colOff>
      <xdr:row>56</xdr:row>
      <xdr:rowOff>0</xdr:rowOff>
    </xdr:from>
    <xdr:to>
      <xdr:col>33</xdr:col>
      <xdr:colOff>239486</xdr:colOff>
      <xdr:row>72</xdr:row>
      <xdr:rowOff>130629</xdr:rowOff>
    </xdr:to>
    <xdr:graphicFrame macro="">
      <xdr:nvGraphicFramePr>
        <xdr:cNvPr id="19" name="Chart 18">
          <a:extLst>
            <a:ext uri="{FF2B5EF4-FFF2-40B4-BE49-F238E27FC236}">
              <a16:creationId xmlns:a16="http://schemas.microsoft.com/office/drawing/2014/main" id="{06EE513F-AAFC-47BB-8D22-9093EDEB13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34</xdr:col>
      <xdr:colOff>10886</xdr:colOff>
      <xdr:row>55</xdr:row>
      <xdr:rowOff>152400</xdr:rowOff>
    </xdr:from>
    <xdr:to>
      <xdr:col>41</xdr:col>
      <xdr:colOff>315686</xdr:colOff>
      <xdr:row>72</xdr:row>
      <xdr:rowOff>119743</xdr:rowOff>
    </xdr:to>
    <xdr:graphicFrame macro="">
      <xdr:nvGraphicFramePr>
        <xdr:cNvPr id="20" name="Chart 19">
          <a:extLst>
            <a:ext uri="{FF2B5EF4-FFF2-40B4-BE49-F238E27FC236}">
              <a16:creationId xmlns:a16="http://schemas.microsoft.com/office/drawing/2014/main" id="{7780DCB2-612B-428A-9772-D0411D3BB3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32</xdr:col>
      <xdr:colOff>104775</xdr:colOff>
      <xdr:row>1</xdr:row>
      <xdr:rowOff>147638</xdr:rowOff>
    </xdr:from>
    <xdr:to>
      <xdr:col>41</xdr:col>
      <xdr:colOff>85725</xdr:colOff>
      <xdr:row>34</xdr:row>
      <xdr:rowOff>19050</xdr:rowOff>
    </xdr:to>
    <xdr:graphicFrame macro="">
      <xdr:nvGraphicFramePr>
        <xdr:cNvPr id="22" name="Chart 21">
          <a:extLst>
            <a:ext uri="{FF2B5EF4-FFF2-40B4-BE49-F238E27FC236}">
              <a16:creationId xmlns:a16="http://schemas.microsoft.com/office/drawing/2014/main" id="{038DE8FD-BEE6-F795-BC78-C6DAE97B5A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53F391-9186-46C3-8569-31CE1AE065BD}" name="Table1" displayName="Table1" ref="D1:I6" totalsRowShown="0" headerRowDxfId="118" headerRowBorderDxfId="117" tableBorderDxfId="116" totalsRowBorderDxfId="115">
  <autoFilter ref="D1:I6" xr:uid="{BF53F391-9186-46C3-8569-31CE1AE065BD}"/>
  <tableColumns count="6">
    <tableColumn id="1" xr3:uid="{2AAE2282-FCB6-4A3F-967A-8732225B48EA}" name="SCORE" dataDxfId="114">
      <calculatedColumnFormula>LEFT(B37,1)</calculatedColumnFormula>
    </tableColumn>
    <tableColumn id="2" xr3:uid="{6C7C645E-11E6-4091-BC94-2C5B5E638C9A}" name="LIKERT SCALE" dataDxfId="113">
      <calculatedColumnFormula>RIGHT(B37,((LEN(B37)-4)))</calculatedColumnFormula>
    </tableColumn>
    <tableColumn id="3" xr3:uid="{1B785047-AF47-43B1-9953-402FED12D58B}" name="RANGE" dataDxfId="112">
      <calculatedColumnFormula>F1</calculatedColumnFormula>
    </tableColumn>
    <tableColumn id="4" xr3:uid="{534076FE-8BDF-4ECB-ACEC-5D453DF73D97}" name="INTERVAL" dataDxfId="111">
      <calculatedColumnFormula>G1</calculatedColumnFormula>
    </tableColumn>
    <tableColumn id="5" xr3:uid="{B52E2EDE-B457-45CB-BE26-AE2B781FEF74}" name="LOWER LIMIT" dataDxfId="110">
      <calculatedColumnFormula>I1+0.01</calculatedColumnFormula>
    </tableColumn>
    <tableColumn id="6" xr3:uid="{09008A8E-FB99-4FE4-94BC-07710B56EA56}" name="UPPER LIMIT" dataDxfId="109">
      <calculatedColumnFormula>I1+G2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1A42BF-E7FE-4A96-A3AD-42A0BA8942A1}" name="Table2" displayName="Table2" ref="K1:M11" totalsRowShown="0" headerRowDxfId="108" headerRowBorderDxfId="107" tableBorderDxfId="106" totalsRowBorderDxfId="105">
  <autoFilter ref="K1:M11" xr:uid="{E51A42BF-E7FE-4A96-A3AD-42A0BA8942A1}"/>
  <tableColumns count="3">
    <tableColumn id="1" xr3:uid="{38D73BF6-D39B-44D4-9F62-3BE530794457}" name="TIME MANAGEMENT QUESTIONS" dataDxfId="104"/>
    <tableColumn id="2" xr3:uid="{74226558-AF8D-4424-8FDE-7B306F9F329E}" name="AVERAGE SCORE OF RESPONSES" dataDxfId="103"/>
    <tableColumn id="3" xr3:uid="{CB6A1664-38A3-4D5F-B545-700FDED21F0F}" name="LIKERT SCALE INTERPRETATION" dataDxfId="102">
      <calculatedColumnFormula array="1">_xlfn.IFS(L2&lt;$H$3,$E$2,L2&lt;$H$4,$E$3,L2&lt;$H$5,$E$4,L2&lt;$H$6,$E$5,L2&gt;=$H$6,$E$6)</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A8DFE6-B644-49D8-BA70-989AEC4AAF53}" name="Table3" displayName="Table3" ref="O1:AI42" totalsRowShown="0" headerRowDxfId="101" headerRowBorderDxfId="100" tableBorderDxfId="99" totalsRowBorderDxfId="98">
  <autoFilter ref="O1:AI42" xr:uid="{EAA8DFE6-B644-49D8-BA70-989AEC4AAF53}"/>
  <tableColumns count="21">
    <tableColumn id="1" xr3:uid="{767E48E9-279F-44EF-98F1-1E33B1CD0020}" name="RESPONDENT (Coded Names based on Response Date and Time)" dataDxfId="97"/>
    <tableColumn id="23" xr3:uid="{25333FB9-6D53-4D1B-B154-BA3BBE21B5E2}" name="Q2.01 Response" dataDxfId="96"/>
    <tableColumn id="24" xr3:uid="{21C69C6F-5B20-42EF-A25B-AF1BDECAD470}" name="Q2.02 Response" dataDxfId="95"/>
    <tableColumn id="25" xr3:uid="{06A9B6C0-67E1-4B6F-A08B-0647DF9A3892}" name="Q2.03 Response" dataDxfId="94"/>
    <tableColumn id="32" xr3:uid="{98D42A26-6E61-4E1E-968D-F14E70EA69FE}" name="Q2.04 Response" dataDxfId="93"/>
    <tableColumn id="31" xr3:uid="{7754B7ED-628D-4153-B7BC-FA0400D5B02F}" name="Q2.05 Response" dataDxfId="92"/>
    <tableColumn id="30" xr3:uid="{973A1887-7D61-4A88-8B3C-E065A73CECA0}" name="Q2.06 Response" dataDxfId="91"/>
    <tableColumn id="29" xr3:uid="{A940A59D-8F1F-431E-B10F-D7DABF477BBD}" name="Q2.07 Response" dataDxfId="90"/>
    <tableColumn id="28" xr3:uid="{91C53CC2-9DEE-4AC5-99AB-D9330366903C}" name="Q2.08 Response" dataDxfId="89"/>
    <tableColumn id="27" xr3:uid="{9D719256-7C03-4F5E-86BE-831E177BBE47}" name="Q2.09 Response" dataDxfId="88"/>
    <tableColumn id="26" xr3:uid="{B429860F-0E5F-4C54-BED4-2067C8479069}" name="Q2.10 Response" dataDxfId="87"/>
    <tableColumn id="3" xr3:uid="{0ADF6AD9-FB30-4E31-8631-F0D120517605}" name="Q3.01 Rating" dataDxfId="86"/>
    <tableColumn id="5" xr3:uid="{EA9E039E-62DB-4A7D-9686-9DA16DD908EA}" name="Q3.02 Rating" dataDxfId="85"/>
    <tableColumn id="7" xr3:uid="{B7DCEE8A-93E0-4001-8FF5-3CAE4DE53444}" name="Q3.03 Rating" dataDxfId="84"/>
    <tableColumn id="9" xr3:uid="{0F38EA98-A54C-4911-B419-0BF5A63F8E83}" name="Q3.04 Rating" dataDxfId="83"/>
    <tableColumn id="11" xr3:uid="{14F0AC45-B084-47B1-86FE-F228B5EE588B}" name="Q3.05 Rating" dataDxfId="82"/>
    <tableColumn id="13" xr3:uid="{932C3EF1-40A0-4116-B705-F8D4731B384D}" name="Q3.06 Rating" dataDxfId="81"/>
    <tableColumn id="15" xr3:uid="{481AC75F-A65D-4FD9-986E-FCED61A02703}" name="Q3.07 Rating" dataDxfId="80"/>
    <tableColumn id="17" xr3:uid="{F3DF219A-CED2-440F-9A00-08F95FA9A83F}" name="Q3.08 Rating" dataDxfId="79"/>
    <tableColumn id="19" xr3:uid="{F3239230-45F2-4F70-96E8-AC8AE8E62916}" name="Q3.09 Rating" dataDxfId="78"/>
    <tableColumn id="21" xr3:uid="{8DC9606B-FA85-44AA-AD64-34596EC2DED8}" name="Q3.10 Rating"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B944E7-ACEE-4573-8D16-323F89A4DA89}" name="Table4" displayName="Table4" ref="AK1:AO24" totalsRowShown="0" headerRowDxfId="76" headerRowBorderDxfId="75" tableBorderDxfId="74">
  <autoFilter ref="AK1:AO24" xr:uid="{D2B944E7-ACEE-4573-8D16-323F89A4DA89}"/>
  <tableColumns count="5">
    <tableColumn id="1" xr3:uid="{6F8CB871-64FC-4021-A51B-10D42D56242A}" name="SECTION" dataDxfId="73"/>
    <tableColumn id="2" xr3:uid="{13D646DF-C01E-4F50-8408-08CA1D1F870C}" name="I. DEMOGRAPHIC INFORMATION" dataDxfId="72"/>
    <tableColumn id="3" xr3:uid="{BC019497-6447-4D30-AED7-DB73D060FEA0}" name="Choices" dataDxfId="71"/>
    <tableColumn id="4" xr3:uid="{1DEA19D6-9AAF-4FF6-B2AA-BDD466A04B69}" name="Responses" dataDxfId="70"/>
    <tableColumn id="5" xr3:uid="{CC9249D6-DF6F-4606-B55D-9EFD01928E8E}" name="Percentage" dataDxfId="69" dataCellStyle="Percent">
      <calculatedColumnFormula>AN2/(SUM($AN$20:$AN$24))</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F39A243-0768-44D2-8BDE-E4F113290921}" name="Table5" displayName="Table5" ref="AQ1:AV11" totalsRowShown="0" headerRowDxfId="68" tableBorderDxfId="67">
  <autoFilter ref="AQ1:AV11" xr:uid="{2F39A243-0768-44D2-8BDE-E4F113290921}"/>
  <tableColumns count="6">
    <tableColumn id="1" xr3:uid="{A75AC753-1720-47C0-8D97-AE89F511D6C2}" name="SECTION" dataDxfId="66"/>
    <tableColumn id="2" xr3:uid="{29611262-DAF8-4C0C-95A3-A73E460CC72B}" name="II. TIME ALLOCATION" dataDxfId="65"/>
    <tableColumn id="3" xr3:uid="{954F57DA-A738-4663-9E5B-E39A89486E83}" name="Ranking" dataDxfId="64">
      <calculatedColumnFormula>RANK(AT2,$AT$2:$AT$11,0)</calculatedColumnFormula>
    </tableColumn>
    <tableColumn id="4" xr3:uid="{48D3C9AA-BAC0-4473-B7A5-0B9D668CD18D}" name="Total Hours" dataDxfId="63"/>
    <tableColumn id="5" xr3:uid="{19D61D8B-A778-44BE-8742-C28B66FF1D79}" name="Percentage" dataDxfId="62" dataCellStyle="Percent">
      <calculatedColumnFormula>AT2/(SUM($AT$2:$AT$11))</calculatedColumnFormula>
    </tableColumn>
    <tableColumn id="6" xr3:uid="{F7B5A4B9-45EF-4BE8-BBC9-BFD05ED2987B}" name="Average Hour Spent" dataDxfId="61">
      <calculatedColumnFormula>AT2/$F$8</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C5964D6-E4CB-414E-9235-CD29AF8CF0F3}" name="Table6" displayName="Table6" ref="AX1:BR6" totalsRowShown="0" headerRowDxfId="60" headerRowBorderDxfId="59" tableBorderDxfId="58" totalsRowBorderDxfId="57">
  <autoFilter ref="AX1:BR6" xr:uid="{4C5964D6-E4CB-414E-9235-CD29AF8CF0F3}"/>
  <tableColumns count="21">
    <tableColumn id="1" xr3:uid="{74EAA9FF-CE7B-4D60-87F3-3AEEEF41A1BA}" name="III. TIME MANAGEMENT _x000a_in _x000a_Likert Scale" dataDxfId="56"/>
    <tableColumn id="2" xr3:uid="{A788600D-435F-4269-9402-7BFF08195F2F}" name="3.01 I get enough restful sleep on a regular basis. " dataDxfId="55"/>
    <tableColumn id="3" xr3:uid="{38F2A754-95C9-45AB-8358-EA329D854996}" name="3.01 Percentage" dataDxfId="54" dataCellStyle="Percent">
      <calculatedColumnFormula>AY2/(SUM($AY$2:$AY$6))</calculatedColumnFormula>
    </tableColumn>
    <tableColumn id="4" xr3:uid="{23F87697-9A42-47DD-ADA1-373FB12C3445}" name="3.02 I attend classes regularly and actively participate in lectures, seminars, and lab sessions." dataDxfId="53"/>
    <tableColumn id="5" xr3:uid="{E9BCF123-90D5-4F94-B25A-A04380969105}" name="3.02 Percentage" dataDxfId="52" dataCellStyle="Percent">
      <calculatedColumnFormula>BA2/(SUM($BA$2:$BA$6))</calculatedColumnFormula>
    </tableColumn>
    <tableColumn id="6" xr3:uid="{9E9C106E-EEB7-40DB-AF6C-E7EFE821D33C}" name="3.03 I spend an adequate amount of time studying and completing assignments. " dataDxfId="51"/>
    <tableColumn id="7" xr3:uid="{9BC65784-E0AE-45C5-9460-AB8209CA144F}" name="3.03 Percentage" dataDxfId="50" dataCellStyle="Percent">
      <calculatedColumnFormula>BC2/(SUM($BC$2:$BC$6))</calculatedColumnFormula>
    </tableColumn>
    <tableColumn id="8" xr3:uid="{5AE1C87D-4C59-47EF-8DD8-CDBE422CD6CD}" name=" 3.04 I actively engage in group projects and collaborations, coordinating schedules and contributing to shared assignments. " dataDxfId="49"/>
    <tableColumn id="9" xr3:uid="{173AEB41-9EB8-4810-9637-A6E4C5B80F06}" name="3.04 Percentage" dataDxfId="48" dataCellStyle="Percent">
      <calculatedColumnFormula>BE2/(SUM($BE$2:$BE$6))</calculatedColumnFormula>
    </tableColumn>
    <tableColumn id="10" xr3:uid="{89BCD9D5-E76F-4C98-9265-D0D0D342BB2E}" name="3.05 I am involved in extracurricular activities that contribute to my personal growth and development. " dataDxfId="47"/>
    <tableColumn id="11" xr3:uid="{0808646C-090E-47F1-B1D8-D160DFD792A3}" name="3.05 Percentage" dataDxfId="46" dataCellStyle="Percent">
      <calculatedColumnFormula>BG2/(SUM($BG$2:$BG$6))</calculatedColumnFormula>
    </tableColumn>
    <tableColumn id="12" xr3:uid="{8578985F-01E2-43D2-9234-E1CF8CA01E3A}" name="3.06 Balancing my part-time job or internship responsibilities with my academic commitments is manageable" dataDxfId="45"/>
    <tableColumn id="13" xr3:uid="{A3AB9A4D-67CC-4ED1-8253-421350263A9B}" name="3.06 Percentage" dataDxfId="44" dataCellStyle="Percent">
      <calculatedColumnFormula>BI2/(SUM($BI$2:$BI$6))</calculatedColumnFormula>
    </tableColumn>
    <tableColumn id="14" xr3:uid="{750ABA91-FE49-4D34-B500-5932A35AB73B}" name="3.07 I dedicate enough time to socializing and maintaining relationships with friends, family, and significant others. " dataDxfId="43"/>
    <tableColumn id="15" xr3:uid="{7094A7F6-AF4E-4A06-B4D6-FB1669B0D0F8}" name="3.07 Percentage" dataDxfId="42" dataCellStyle="Percent">
      <calculatedColumnFormula>BK2/(SUM($BK$2:$BK$6))</calculatedColumnFormula>
    </tableColumn>
    <tableColumn id="16" xr3:uid="{8F846E6F-DEA4-41B6-AF0D-D548B6FDAD1D}" name="3.08 My commute to and from campus is reasonable and does not significantly impact my time." dataDxfId="41"/>
    <tableColumn id="17" xr3:uid="{172E36FD-7662-432E-B242-A017B92890A4}" name="3.08 Percentage" dataDxfId="40" dataCellStyle="Percent">
      <calculatedColumnFormula>BM2/(SUM($BM$2:$BM$6))</calculatedColumnFormula>
    </tableColumn>
    <tableColumn id="18" xr3:uid="{E73790F2-2DA1-46C1-8175-464D439C025A}" name="3.09  I prioritize personal care activities such as exercise, cooking, eating, and self-care routines. " dataDxfId="39"/>
    <tableColumn id="19" xr3:uid="{EAA8EC11-5950-4B14-BCA7-D6696356BEEA}" name="3.09 Percentage" dataDxfId="38" dataCellStyle="Percent">
      <calculatedColumnFormula>BO2/(SUM($BO$2:$BO$6))</calculatedColumnFormula>
    </tableColumn>
    <tableColumn id="20" xr3:uid="{34C71ADD-BB65-4C71-8715-282EEEBC0EEB}" name=" 3.10 I allocate enough time for personal hobbies and interests that provide me with relaxation and enjoyment. " dataDxfId="37"/>
    <tableColumn id="21" xr3:uid="{4F15153B-013F-4C4E-B2D2-9F6369EE61E9}" name="3.10 Percentage" dataDxfId="36" dataCellStyle="Percent">
      <calculatedColumnFormula>BQ2/(SUM($BQ$2:$BQ$6))</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1F14F5-B933-4825-BB5D-C0442EBCDA16}" name="Table7" displayName="Table7" ref="BT1:CD11" totalsRowShown="0" headerRowDxfId="35" headerRowBorderDxfId="34" tableBorderDxfId="33" totalsRowBorderDxfId="32">
  <autoFilter ref="BT1:CD11" xr:uid="{191F14F5-B933-4825-BB5D-C0442EBCDA16}"/>
  <tableColumns count="11">
    <tableColumn id="1" xr3:uid="{363892A6-C306-4EC8-AC65-83FF46EF121D}" name="TIME MANAGEMENT PER ACTIVITY" dataDxfId="31"/>
    <tableColumn id="2" xr3:uid="{1CC07B38-DD59-4F15-ACEF-A507758F12C8}" name="1 = Strongly Disagree" dataDxfId="30"/>
    <tableColumn id="3" xr3:uid="{9ED04656-44C2-4C87-B4AD-B99F65C004A4}" name="Percentage 1" dataDxfId="29" dataCellStyle="Percent"/>
    <tableColumn id="4" xr3:uid="{8C157065-50C9-452F-9562-FA76415B2CE8}" name="2 = Disagree" dataDxfId="28"/>
    <tableColumn id="5" xr3:uid="{A1F7B2A4-B60B-4C55-A136-CE6DB7B4110C}" name="Percentage2" dataDxfId="27" dataCellStyle="Percent"/>
    <tableColumn id="6" xr3:uid="{3D2C1307-B7E1-42F6-AB18-7252CAB6BC32}" name="3 = Neutral" dataDxfId="26"/>
    <tableColumn id="7" xr3:uid="{F49AA82F-24B4-4BC1-88F1-2513E45CCDA6}" name="Percentage3" dataDxfId="25" dataCellStyle="Percent"/>
    <tableColumn id="8" xr3:uid="{86E2E65B-25AF-4BD2-B315-60D3985CA505}" name="4 = Agree" dataDxfId="24"/>
    <tableColumn id="9" xr3:uid="{04005A5D-5E91-4D9B-9BB0-EC25722012CE}" name="Percentage4" dataDxfId="23" dataCellStyle="Percent"/>
    <tableColumn id="10" xr3:uid="{3DEB965D-36BC-4935-AF3E-052E51413D77}" name="5 = Strongly Agree" dataDxfId="22"/>
    <tableColumn id="11" xr3:uid="{DB52FE33-2CF2-4667-8538-2AF07F72C8FC}" name="Percentage5" dataDxfId="21" dataCellStyle="Perce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EC53643-4BE1-4F35-A207-EB116CB62F58}" name="Table8" displayName="Table8" ref="D15:F60" totalsRowShown="0" headerRowDxfId="20" headerRowBorderDxfId="19" tableBorderDxfId="18" totalsRowBorderDxfId="17">
  <autoFilter ref="D15:F60" xr:uid="{DEC53643-4BE1-4F35-A207-EB116CB62F58}"/>
  <tableColumns count="3">
    <tableColumn id="1" xr3:uid="{8C57081E-025A-4F24-BCA2-49C976564E5E}" name="Correlation" dataDxfId="16"/>
    <tableColumn id="2" xr3:uid="{03E26A5D-BB0E-4232-A247-B5D663707393}" name="Coefficient" dataDxfId="15"/>
    <tableColumn id="3" xr3:uid="{7FF61C0F-9809-4A0D-932D-8DDF62869723}" name="Interpretation" dataDxfId="14">
      <calculatedColumnFormula array="1">_xlfn.IFS(E16&lt;-0.8,"Very Weak",E16&lt;0,"Weak",E16=0,"No Correlation",E16&lt;=0.8,"Strong",E16&gt;0.8,"Very Strong")</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1243F2-0EE5-46AD-BA35-2B1DEE565973}" name="Table9" displayName="Table9" ref="G15:I60" totalsRowShown="0" headerRowDxfId="13" headerRowBorderDxfId="12" tableBorderDxfId="11" totalsRowBorderDxfId="10">
  <autoFilter ref="G15:I60" xr:uid="{1D1243F2-0EE5-46AD-BA35-2B1DEE565973}"/>
  <tableColumns count="3">
    <tableColumn id="1" xr3:uid="{31DC4513-8AF6-45AA-99C5-C3C99ECB75FD}" name="Correlation" dataDxfId="9"/>
    <tableColumn id="2" xr3:uid="{AC7A3BDA-40EF-485C-A8F0-09D9B05817C7}" name="Coefficient" dataDxfId="8"/>
    <tableColumn id="3" xr3:uid="{474C12BA-FA66-4BF4-8866-A64FCE1EF2A9}" name="Interpretation" dataDxfId="7">
      <calculatedColumnFormula array="1">_xlfn.IFS(H16&lt;-0.8,"Very Weak",H16&lt;0,"Weak",H16=0,"No Correlation",H16&lt;=0.8,"Strong",H16&gt;0.8,"Very Strong")</calculatedColumnFormula>
    </tableColumn>
  </tableColumns>
  <tableStyleInfo name="TableStyleMedium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832E73B-C757-4117-B256-55EFEFBD1A39}" name="Table10" displayName="Table10" ref="K15:M25" totalsRowShown="0" headerRowDxfId="6" headerRowBorderDxfId="5" tableBorderDxfId="4" totalsRowBorderDxfId="3">
  <autoFilter ref="K15:M25" xr:uid="{2832E73B-C757-4117-B256-55EFEFBD1A39}"/>
  <tableColumns count="3">
    <tableColumn id="1" xr3:uid="{9E18F1D7-B515-4850-A6AF-E12F73A90394}" name="Correlation" dataDxfId="2"/>
    <tableColumn id="2" xr3:uid="{5A3BFFAE-45FB-465D-8E43-56BCAE5A62EF}" name="Coefficient" dataDxfId="1"/>
    <tableColumn id="3" xr3:uid="{FCE05FAE-F23A-4913-A2AA-16E9100DBC01}" name="Interpretation" dataDxfId="0">
      <calculatedColumnFormula array="1">_xlfn.IFS(L16&lt;-0.8,"Very Weak",L16&lt;0,"Weak",L16=0,"No Correlation",L16&lt;=0.8,"Strong",L16&gt;0.8,"Very Strong")</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google.com/forms/d/e/1FAIpQLSca0jaQQFxS26s4XjyrLcNNM_pHaG0sp4puW4urMfiFK3TwSw/viewform" TargetMode="External"/><Relationship Id="rId1" Type="http://schemas.openxmlformats.org/officeDocument/2006/relationships/hyperlink" Target="https://docs.google.com/spreadsheets/d/1blo1iP8AD0CmVIvgDDGu3No6WABOU6PWk-6x1ddWIUk/edi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ocs.google.com/forms/d/e/1FAIpQLSca0jaQQFxS26s4XjyrLcNNM_pHaG0sp4puW4urMfiFK3TwSw/viewform" TargetMode="External"/><Relationship Id="rId1" Type="http://schemas.openxmlformats.org/officeDocument/2006/relationships/hyperlink" Target="https://docs.google.com/spreadsheets/d/1blo1iP8AD0CmVIvgDDGu3No6WABOU6PWk-6x1ddWIUk/edit"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ocs.google.com/forms/d/e/1FAIpQLSca0jaQQFxS26s4XjyrLcNNM_pHaG0sp4puW4urMfiFK3TwSw/viewform" TargetMode="External"/><Relationship Id="rId1" Type="http://schemas.openxmlformats.org/officeDocument/2006/relationships/hyperlink" Target="https://docs.google.com/spreadsheets/d/1blo1iP8AD0CmVIvgDDGu3No6WABOU6PWk-6x1ddWIUk/edit"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google.com/forms/d/e/1FAIpQLSca0jaQQFxS26s4XjyrLcNNM_pHaG0sp4puW4urMfiFK3TwSw/viewform" TargetMode="External"/><Relationship Id="rId1" Type="http://schemas.openxmlformats.org/officeDocument/2006/relationships/hyperlink" Target="https://docs.google.com/spreadsheets/d/1blo1iP8AD0CmVIvgDDGu3No6WABOU6PWk-6x1ddWIUk/edit" TargetMode="External"/></Relationships>
</file>

<file path=xl/worksheets/_rels/sheet5.xml.rels><?xml version="1.0" encoding="UTF-8" standalone="yes"?>
<Relationships xmlns="http://schemas.openxmlformats.org/package/2006/relationships"><Relationship Id="rId8" Type="http://schemas.openxmlformats.org/officeDocument/2006/relationships/table" Target="../tables/table5.xml"/><Relationship Id="rId13" Type="http://schemas.openxmlformats.org/officeDocument/2006/relationships/table" Target="../tables/table10.xml"/><Relationship Id="rId3" Type="http://schemas.openxmlformats.org/officeDocument/2006/relationships/printerSettings" Target="../printerSettings/printerSettings5.bin"/><Relationship Id="rId7" Type="http://schemas.openxmlformats.org/officeDocument/2006/relationships/table" Target="../tables/table4.xml"/><Relationship Id="rId12" Type="http://schemas.openxmlformats.org/officeDocument/2006/relationships/table" Target="../tables/table9.xml"/><Relationship Id="rId2" Type="http://schemas.openxmlformats.org/officeDocument/2006/relationships/hyperlink" Target="https://docs.google.com/spreadsheets/d/1blo1iP8AD0CmVIvgDDGu3No6WABOU6PWk-6x1ddWIUk/edit" TargetMode="External"/><Relationship Id="rId1" Type="http://schemas.openxmlformats.org/officeDocument/2006/relationships/hyperlink" Target="https://docs.google.com/forms/d/e/1FAIpQLSca0jaQQFxS26s4XjyrLcNNM_pHaG0sp4puW4urMfiFK3TwSw/viewform" TargetMode="External"/><Relationship Id="rId6" Type="http://schemas.openxmlformats.org/officeDocument/2006/relationships/table" Target="../tables/table3.xml"/><Relationship Id="rId11" Type="http://schemas.openxmlformats.org/officeDocument/2006/relationships/table" Target="../tables/table8.xml"/><Relationship Id="rId5" Type="http://schemas.openxmlformats.org/officeDocument/2006/relationships/table" Target="../tables/table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32409-3A07-47F4-9479-4F2FDA658839}">
  <dimension ref="A1:AC60"/>
  <sheetViews>
    <sheetView zoomScale="70" zoomScaleNormal="70" workbookViewId="0">
      <pane xSplit="2" ySplit="1" topLeftCell="C2" activePane="bottomRight" state="frozen"/>
      <selection pane="topRight" activeCell="D1" sqref="D1"/>
      <selection pane="bottomLeft" activeCell="A4" sqref="A4"/>
      <selection pane="bottomRight" activeCell="K8" sqref="K8"/>
    </sheetView>
  </sheetViews>
  <sheetFormatPr defaultRowHeight="13.2"/>
  <cols>
    <col min="1" max="1" width="17.5546875" style="2" bestFit="1" customWidth="1"/>
    <col min="2" max="2" width="67.44140625" style="3" customWidth="1"/>
    <col min="3" max="3" width="9" style="1" customWidth="1"/>
    <col min="4" max="4" width="23" style="2" customWidth="1"/>
    <col min="5" max="5" width="17.44140625" style="1" bestFit="1" customWidth="1"/>
    <col min="6" max="6" width="10.6640625" style="2" bestFit="1" customWidth="1"/>
    <col min="7" max="7" width="11.88671875" style="2" customWidth="1"/>
    <col min="8" max="8" width="8.88671875" style="2"/>
    <col min="9" max="9" width="25" style="1" customWidth="1"/>
    <col min="10" max="10" width="14.6640625" style="1" bestFit="1" customWidth="1"/>
    <col min="11" max="11" width="12.77734375" style="2" customWidth="1"/>
    <col min="12" max="12" width="11.6640625" style="2" customWidth="1"/>
    <col min="13" max="13" width="8.88671875" style="2"/>
    <col min="14" max="14" width="35.5546875" style="1" customWidth="1"/>
    <col min="15" max="15" width="18" style="1" bestFit="1" customWidth="1"/>
    <col min="16" max="16" width="14.88671875" style="1" customWidth="1"/>
    <col min="17" max="17" width="15.5546875" style="1" bestFit="1" customWidth="1"/>
    <col min="18" max="18" width="16.77734375" style="1" bestFit="1" customWidth="1"/>
    <col min="19" max="19" width="17.109375" style="1" bestFit="1" customWidth="1"/>
    <col min="20" max="20" width="16.77734375" style="1" bestFit="1" customWidth="1"/>
    <col min="21" max="21" width="16" style="1" bestFit="1" customWidth="1"/>
    <col min="22" max="22" width="16.77734375" style="1" bestFit="1" customWidth="1"/>
    <col min="23" max="23" width="18" style="1" bestFit="1" customWidth="1"/>
    <col min="24" max="24" width="16.77734375" style="1" bestFit="1" customWidth="1"/>
    <col min="25" max="29" width="8.88671875" style="1"/>
    <col min="30" max="16384" width="8.88671875" style="2"/>
  </cols>
  <sheetData>
    <row r="1" spans="1:24" ht="26.4">
      <c r="A1" s="7" t="s">
        <v>0</v>
      </c>
      <c r="B1" s="8" t="s">
        <v>1</v>
      </c>
      <c r="C1" s="15"/>
      <c r="D1" s="6" t="s">
        <v>80</v>
      </c>
      <c r="E1" s="6" t="s">
        <v>34</v>
      </c>
      <c r="F1" s="7" t="s">
        <v>30</v>
      </c>
      <c r="G1" s="7" t="s">
        <v>31</v>
      </c>
      <c r="H1" s="14"/>
      <c r="I1" s="6" t="s">
        <v>81</v>
      </c>
      <c r="J1" s="6" t="s">
        <v>115</v>
      </c>
      <c r="K1" s="7" t="s">
        <v>114</v>
      </c>
      <c r="L1" s="6" t="s">
        <v>116</v>
      </c>
      <c r="M1" s="14"/>
      <c r="N1" s="6" t="s">
        <v>82</v>
      </c>
      <c r="O1" s="6" t="s">
        <v>3</v>
      </c>
      <c r="P1" s="6" t="s">
        <v>31</v>
      </c>
      <c r="Q1" s="6" t="s">
        <v>4</v>
      </c>
      <c r="R1" s="6" t="s">
        <v>31</v>
      </c>
      <c r="S1" s="6" t="s">
        <v>5</v>
      </c>
      <c r="T1" s="6" t="s">
        <v>31</v>
      </c>
      <c r="U1" s="6" t="s">
        <v>6</v>
      </c>
      <c r="V1" s="6" t="s">
        <v>31</v>
      </c>
      <c r="W1" s="6" t="s">
        <v>7</v>
      </c>
      <c r="X1" s="6" t="s">
        <v>31</v>
      </c>
    </row>
    <row r="2" spans="1:24" ht="79.2">
      <c r="A2" s="7" t="s">
        <v>15</v>
      </c>
      <c r="B2" s="8" t="s">
        <v>18</v>
      </c>
      <c r="C2" s="15"/>
      <c r="D2" s="118" t="s">
        <v>83</v>
      </c>
      <c r="E2" s="5" t="s">
        <v>27</v>
      </c>
      <c r="F2" s="4">
        <v>26</v>
      </c>
      <c r="G2" s="20">
        <f>F2/(SUM($F$2:$F$4))</f>
        <v>0.78787878787878785</v>
      </c>
      <c r="H2" s="14"/>
      <c r="I2" s="5" t="s">
        <v>53</v>
      </c>
      <c r="J2" s="19">
        <f t="shared" ref="J2:J11" si="0">RANK(K2,$K$2:$K$11,0)</f>
        <v>1</v>
      </c>
      <c r="K2" s="4">
        <v>221</v>
      </c>
      <c r="L2" s="17">
        <f t="shared" ref="L2:L11" si="1">K2/33</f>
        <v>6.6969696969696972</v>
      </c>
      <c r="M2" s="14"/>
      <c r="N2" s="5" t="s">
        <v>13</v>
      </c>
      <c r="O2" s="5">
        <v>2</v>
      </c>
      <c r="P2" s="18">
        <f>O2/(SUM($O$2,$Q$2,$S$2,$U$2,$W$2))</f>
        <v>6.0606060606060608E-2</v>
      </c>
      <c r="Q2" s="5">
        <v>4</v>
      </c>
      <c r="R2" s="18">
        <f>Q2/(SUM($O$2,$Q$2,$S$2,$U$2,$W$2))</f>
        <v>0.12121212121212122</v>
      </c>
      <c r="S2" s="5">
        <v>18</v>
      </c>
      <c r="T2" s="18">
        <f>S2/(SUM($O$2,$Q$2,$S$2,$U$2,$W$2))</f>
        <v>0.54545454545454541</v>
      </c>
      <c r="U2" s="5">
        <v>8</v>
      </c>
      <c r="V2" s="18">
        <f>U2/(SUM($O$2,$Q$2,$S$2,$U$2,$W$2))</f>
        <v>0.24242424242424243</v>
      </c>
      <c r="W2" s="5">
        <v>1</v>
      </c>
      <c r="X2" s="18">
        <f>W2/(SUM($O$2,$Q$2,$S$2,$U$2,$W$2))</f>
        <v>3.0303030303030304E-2</v>
      </c>
    </row>
    <row r="3" spans="1:24" ht="55.2" customHeight="1">
      <c r="A3" s="118" t="s">
        <v>23</v>
      </c>
      <c r="B3" s="8" t="s">
        <v>67</v>
      </c>
      <c r="C3" s="15"/>
      <c r="D3" s="119"/>
      <c r="E3" s="5" t="s">
        <v>28</v>
      </c>
      <c r="F3" s="4">
        <v>5</v>
      </c>
      <c r="G3" s="20">
        <f>F3/(SUM($F$2:$F$4))</f>
        <v>0.15151515151515152</v>
      </c>
      <c r="H3" s="14"/>
      <c r="I3" s="5" t="s">
        <v>2</v>
      </c>
      <c r="J3" s="19">
        <f t="shared" si="0"/>
        <v>2</v>
      </c>
      <c r="K3" s="4">
        <v>215</v>
      </c>
      <c r="L3" s="17">
        <f t="shared" si="1"/>
        <v>6.5151515151515156</v>
      </c>
      <c r="M3" s="14"/>
      <c r="N3" s="5" t="s">
        <v>62</v>
      </c>
      <c r="O3" s="5">
        <v>0</v>
      </c>
      <c r="P3" s="18">
        <f>O3/(SUM($O$3,$Q$3,$S$3,$U$3,$W$3))</f>
        <v>0</v>
      </c>
      <c r="Q3" s="5">
        <v>0</v>
      </c>
      <c r="R3" s="18">
        <f>Q3/(SUM($O$3,$Q$3,$S$3,$U$3,$W$3))</f>
        <v>0</v>
      </c>
      <c r="S3" s="5">
        <v>3</v>
      </c>
      <c r="T3" s="18">
        <f>S3/(SUM($O$3,$Q$3,$S$3,$U$3,$W$3))</f>
        <v>8.8235294117647065E-2</v>
      </c>
      <c r="U3" s="5">
        <v>17</v>
      </c>
      <c r="V3" s="18">
        <f>U3/(SUM($O$3,$Q$3,$S$3,$U$3,$W$3))</f>
        <v>0.5</v>
      </c>
      <c r="W3" s="5">
        <v>14</v>
      </c>
      <c r="X3" s="18">
        <f>W3/(SUM($O$3,$Q$3,$S$3,$U$3,$W$3))</f>
        <v>0.41176470588235292</v>
      </c>
    </row>
    <row r="4" spans="1:24" ht="55.2" customHeight="1">
      <c r="A4" s="119"/>
      <c r="B4" s="8" t="s">
        <v>68</v>
      </c>
      <c r="C4" s="15"/>
      <c r="D4" s="120"/>
      <c r="E4" s="5" t="s">
        <v>29</v>
      </c>
      <c r="F4" s="4">
        <v>2</v>
      </c>
      <c r="G4" s="20">
        <f>F4/(SUM($F$2:$F$4))</f>
        <v>6.0606060606060608E-2</v>
      </c>
      <c r="H4" s="14"/>
      <c r="I4" s="5" t="s">
        <v>54</v>
      </c>
      <c r="J4" s="19">
        <f t="shared" si="0"/>
        <v>3</v>
      </c>
      <c r="K4" s="4">
        <v>106</v>
      </c>
      <c r="L4" s="17">
        <f t="shared" si="1"/>
        <v>3.2121212121212119</v>
      </c>
      <c r="M4" s="14"/>
      <c r="N4" s="5" t="s">
        <v>9</v>
      </c>
      <c r="O4" s="5">
        <v>0</v>
      </c>
      <c r="P4" s="18">
        <f>O4/(SUM($O$4,$Q$4,$S$4,$U$4,$W$4))</f>
        <v>0</v>
      </c>
      <c r="Q4" s="5">
        <v>1</v>
      </c>
      <c r="R4" s="18">
        <f>Q4/(SUM($O$4,$Q$4,$S$4,$U$4,$W$4))</f>
        <v>2.9411764705882353E-2</v>
      </c>
      <c r="S4" s="5">
        <v>13</v>
      </c>
      <c r="T4" s="18">
        <f>S4/(SUM($O$4,$Q$4,$S$4,$U$4,$W$4))</f>
        <v>0.38235294117647056</v>
      </c>
      <c r="U4" s="5">
        <v>15</v>
      </c>
      <c r="V4" s="18">
        <f>U4/(SUM($O$4,$Q$4,$S$4,$U$4,$W$4))</f>
        <v>0.44117647058823528</v>
      </c>
      <c r="W4" s="5">
        <v>5</v>
      </c>
      <c r="X4" s="18">
        <f>W4/(SUM($O$4,$Q$4,$S$4,$U$4,$W$4))</f>
        <v>0.14705882352941177</v>
      </c>
    </row>
    <row r="5" spans="1:24" ht="55.2" customHeight="1">
      <c r="A5" s="119"/>
      <c r="B5" s="8" t="s">
        <v>69</v>
      </c>
      <c r="C5" s="15"/>
      <c r="D5" s="121" t="s">
        <v>84</v>
      </c>
      <c r="E5" s="5" t="s">
        <v>32</v>
      </c>
      <c r="F5" s="4">
        <v>0</v>
      </c>
      <c r="G5" s="20">
        <f>F5/(SUM($F$5:$F$9))</f>
        <v>0</v>
      </c>
      <c r="H5" s="14"/>
      <c r="I5" s="5" t="s">
        <v>55</v>
      </c>
      <c r="J5" s="19">
        <f t="shared" si="0"/>
        <v>6</v>
      </c>
      <c r="K5" s="4">
        <v>79</v>
      </c>
      <c r="L5" s="17">
        <f t="shared" si="1"/>
        <v>2.393939393939394</v>
      </c>
      <c r="M5" s="14"/>
      <c r="N5" s="5" t="s">
        <v>63</v>
      </c>
      <c r="O5" s="5">
        <v>0</v>
      </c>
      <c r="P5" s="18">
        <f>O5/(SUM($O$5,$Q$5,$S$5,$U$5,$W$5))</f>
        <v>0</v>
      </c>
      <c r="Q5" s="5">
        <v>1</v>
      </c>
      <c r="R5" s="18">
        <f>Q5/(SUM($O$5,$Q$5,$S$5,$U$5,$W$5))</f>
        <v>2.9411764705882353E-2</v>
      </c>
      <c r="S5" s="5">
        <v>7</v>
      </c>
      <c r="T5" s="18">
        <f>S5/(SUM($O$5,$Q$5,$S$5,$U$5,$W$5))</f>
        <v>0.20588235294117646</v>
      </c>
      <c r="U5" s="5">
        <v>19</v>
      </c>
      <c r="V5" s="18">
        <f>U5/(SUM($O$5,$Q$5,$S$5,$U$5,$W$5))</f>
        <v>0.55882352941176472</v>
      </c>
      <c r="W5" s="5">
        <v>7</v>
      </c>
      <c r="X5" s="18">
        <f>W5/(SUM($O$5,$Q$5,$S$5,$U$5,$W$5))</f>
        <v>0.20588235294117646</v>
      </c>
    </row>
    <row r="6" spans="1:24" ht="66">
      <c r="A6" s="119"/>
      <c r="B6" s="8" t="s">
        <v>70</v>
      </c>
      <c r="C6" s="15"/>
      <c r="D6" s="122"/>
      <c r="E6" s="5" t="s">
        <v>33</v>
      </c>
      <c r="F6" s="4">
        <v>22</v>
      </c>
      <c r="G6" s="20">
        <f>F6/(SUM($F$5:$F$9))</f>
        <v>0.66666666666666663</v>
      </c>
      <c r="H6" s="14"/>
      <c r="I6" s="5" t="s">
        <v>56</v>
      </c>
      <c r="J6" s="19">
        <f t="shared" si="0"/>
        <v>6</v>
      </c>
      <c r="K6" s="4">
        <v>79</v>
      </c>
      <c r="L6" s="17">
        <f t="shared" si="1"/>
        <v>2.393939393939394</v>
      </c>
      <c r="M6" s="14"/>
      <c r="N6" s="5" t="s">
        <v>10</v>
      </c>
      <c r="O6" s="5">
        <v>0</v>
      </c>
      <c r="P6" s="18">
        <f>O6/(SUM($O$6,$Q$6,$S$6,$U$6,$W$6))</f>
        <v>0</v>
      </c>
      <c r="Q6" s="5">
        <v>0</v>
      </c>
      <c r="R6" s="18">
        <f>Q6/(SUM($O$6,$Q$6,$S$6,$U$6,$W$6))</f>
        <v>0</v>
      </c>
      <c r="S6" s="5">
        <v>8</v>
      </c>
      <c r="T6" s="18">
        <f>S6/(SUM($O$6,$Q$6,$S$6,$U$6,$W$6))</f>
        <v>0.23529411764705882</v>
      </c>
      <c r="U6" s="5">
        <v>20</v>
      </c>
      <c r="V6" s="18">
        <f>U6/(SUM($O$6,$Q$6,$S$6,$U$6,$W$6))</f>
        <v>0.58823529411764708</v>
      </c>
      <c r="W6" s="5">
        <v>6</v>
      </c>
      <c r="X6" s="18">
        <f>W6/(SUM($O$6,$Q$6,$S$6,$U$6,$W$6))</f>
        <v>0.17647058823529413</v>
      </c>
    </row>
    <row r="7" spans="1:24" ht="55.2" customHeight="1">
      <c r="A7" s="119"/>
      <c r="B7" s="8" t="s">
        <v>71</v>
      </c>
      <c r="C7" s="15"/>
      <c r="D7" s="122"/>
      <c r="E7" s="5" t="s">
        <v>35</v>
      </c>
      <c r="F7" s="4">
        <v>10</v>
      </c>
      <c r="G7" s="20">
        <f>F7/(SUM($F$5:$F$9))</f>
        <v>0.30303030303030304</v>
      </c>
      <c r="H7" s="14"/>
      <c r="I7" s="5" t="s">
        <v>57</v>
      </c>
      <c r="J7" s="19">
        <f t="shared" si="0"/>
        <v>9</v>
      </c>
      <c r="K7" s="4">
        <v>58</v>
      </c>
      <c r="L7" s="17">
        <f t="shared" si="1"/>
        <v>1.7575757575757576</v>
      </c>
      <c r="M7" s="14"/>
      <c r="N7" s="5" t="s">
        <v>64</v>
      </c>
      <c r="O7" s="5">
        <v>3</v>
      </c>
      <c r="P7" s="18">
        <f>O7/(SUM($O$7,$Q$7,$S$7,$U$7,$W$7))</f>
        <v>8.8235294117647065E-2</v>
      </c>
      <c r="Q7" s="5">
        <v>2</v>
      </c>
      <c r="R7" s="18">
        <f>Q7/(SUM($O$7,$Q$7,$S$7,$U$7,$W$7))</f>
        <v>5.8823529411764705E-2</v>
      </c>
      <c r="S7" s="5">
        <v>12</v>
      </c>
      <c r="T7" s="18">
        <f>S7/(SUM($O$7,$Q$7,$S$7,$U$7,$W$7))</f>
        <v>0.35294117647058826</v>
      </c>
      <c r="U7" s="5">
        <v>15</v>
      </c>
      <c r="V7" s="18">
        <f>U7/(SUM($O$7,$Q$7,$S$7,$U$7,$W$7))</f>
        <v>0.44117647058823528</v>
      </c>
      <c r="W7" s="5">
        <v>2</v>
      </c>
      <c r="X7" s="18">
        <f>W7/(SUM($O$7,$Q$7,$S$7,$U$7,$W$7))</f>
        <v>5.8823529411764705E-2</v>
      </c>
    </row>
    <row r="8" spans="1:24" ht="55.2" customHeight="1">
      <c r="A8" s="119"/>
      <c r="B8" s="8" t="s">
        <v>72</v>
      </c>
      <c r="C8" s="15"/>
      <c r="D8" s="122"/>
      <c r="E8" s="5" t="s">
        <v>36</v>
      </c>
      <c r="F8" s="4">
        <v>0</v>
      </c>
      <c r="G8" s="20">
        <f>F8/(SUM($F$5:$F$9))</f>
        <v>0</v>
      </c>
      <c r="H8" s="14"/>
      <c r="I8" s="5" t="s">
        <v>58</v>
      </c>
      <c r="J8" s="19">
        <f t="shared" si="0"/>
        <v>5</v>
      </c>
      <c r="K8" s="4">
        <v>94</v>
      </c>
      <c r="L8" s="17">
        <f t="shared" si="1"/>
        <v>2.8484848484848486</v>
      </c>
      <c r="M8" s="14"/>
      <c r="N8" s="5" t="s">
        <v>11</v>
      </c>
      <c r="O8" s="5">
        <v>0</v>
      </c>
      <c r="P8" s="18">
        <f>O8/(SUM($O$8,$Q$8,$S$8,$U$8,$W$8))</f>
        <v>0</v>
      </c>
      <c r="Q8" s="5">
        <v>0</v>
      </c>
      <c r="R8" s="18">
        <f>Q8/(SUM($O$8,$Q$8,$S$8,$U$8,$W$8))</f>
        <v>0</v>
      </c>
      <c r="S8" s="5">
        <v>10</v>
      </c>
      <c r="T8" s="18">
        <f>S8/(SUM($O$8,$Q$8,$S$8,$U$8,$W$8))</f>
        <v>0.29411764705882354</v>
      </c>
      <c r="U8" s="5">
        <v>15</v>
      </c>
      <c r="V8" s="18">
        <f>U8/(SUM($O$8,$Q$8,$S$8,$U$8,$W$8))</f>
        <v>0.44117647058823528</v>
      </c>
      <c r="W8" s="5">
        <v>9</v>
      </c>
      <c r="X8" s="18">
        <f>W8/(SUM($O$8,$Q$8,$S$8,$U$8,$W$8))</f>
        <v>0.26470588235294118</v>
      </c>
    </row>
    <row r="9" spans="1:24" ht="52.8">
      <c r="A9" s="119"/>
      <c r="B9" s="8" t="s">
        <v>73</v>
      </c>
      <c r="C9" s="15"/>
      <c r="D9" s="123"/>
      <c r="E9" s="5" t="s">
        <v>37</v>
      </c>
      <c r="F9" s="4">
        <v>1</v>
      </c>
      <c r="G9" s="20">
        <f>F9/(SUM($F$5:$F$9))</f>
        <v>3.0303030303030304E-2</v>
      </c>
      <c r="H9" s="14"/>
      <c r="I9" s="5" t="s">
        <v>59</v>
      </c>
      <c r="J9" s="19">
        <f t="shared" si="0"/>
        <v>10</v>
      </c>
      <c r="K9" s="4">
        <v>56</v>
      </c>
      <c r="L9" s="17">
        <f t="shared" si="1"/>
        <v>1.696969696969697</v>
      </c>
      <c r="M9" s="14"/>
      <c r="N9" s="5" t="s">
        <v>12</v>
      </c>
      <c r="O9" s="5">
        <v>2</v>
      </c>
      <c r="P9" s="18">
        <f>O9/(SUM($O$9,$Q$9,$S$9,$U$9,$W$9))</f>
        <v>5.8823529411764705E-2</v>
      </c>
      <c r="Q9" s="5">
        <v>1</v>
      </c>
      <c r="R9" s="18">
        <f>Q9/(SUM($O$9,$Q$9,$S$9,$U$9,$W$9))</f>
        <v>2.9411764705882353E-2</v>
      </c>
      <c r="S9" s="5">
        <v>12</v>
      </c>
      <c r="T9" s="18">
        <f>S9/(SUM($O$9,$Q$9,$S$9,$U$9,$W$9))</f>
        <v>0.35294117647058826</v>
      </c>
      <c r="U9" s="5">
        <v>10</v>
      </c>
      <c r="V9" s="18">
        <f>U9/(SUM($O$9,$Q$9,$S$9,$U$9,$W$9))</f>
        <v>0.29411764705882354</v>
      </c>
      <c r="W9" s="5">
        <v>9</v>
      </c>
      <c r="X9" s="18">
        <f>W9/(SUM($O$9,$Q$9,$S$9,$U$9,$W$9))</f>
        <v>0.26470588235294118</v>
      </c>
    </row>
    <row r="10" spans="1:24" ht="55.2" customHeight="1">
      <c r="A10" s="119"/>
      <c r="B10" s="8" t="s">
        <v>79</v>
      </c>
      <c r="C10" s="15"/>
      <c r="D10" s="124" t="s">
        <v>85</v>
      </c>
      <c r="E10" s="5" t="s">
        <v>38</v>
      </c>
      <c r="F10" s="4">
        <v>0</v>
      </c>
      <c r="G10" s="20">
        <f t="shared" ref="G10:G19" si="2">F10/(SUM($F$10:$F$19))</f>
        <v>0</v>
      </c>
      <c r="H10" s="14"/>
      <c r="I10" s="5" t="s">
        <v>60</v>
      </c>
      <c r="J10" s="19">
        <f t="shared" si="0"/>
        <v>8</v>
      </c>
      <c r="K10" s="4">
        <v>74</v>
      </c>
      <c r="L10" s="17">
        <f t="shared" si="1"/>
        <v>2.2424242424242422</v>
      </c>
      <c r="M10" s="14"/>
      <c r="N10" s="5" t="s">
        <v>65</v>
      </c>
      <c r="O10" s="5">
        <v>0</v>
      </c>
      <c r="P10" s="18">
        <f>O10/(SUM($O$10,$Q$10,$S$10,$U$10,$W$10))</f>
        <v>0</v>
      </c>
      <c r="Q10" s="5">
        <v>0</v>
      </c>
      <c r="R10" s="18">
        <f>Q10/(SUM($O$10,$Q$10,$S$10,$U$10,$W$10))</f>
        <v>0</v>
      </c>
      <c r="S10" s="5">
        <v>15</v>
      </c>
      <c r="T10" s="18">
        <f>S10/(SUM($O$10,$Q$10,$S$10,$U$10,$W$10))</f>
        <v>0.44117647058823528</v>
      </c>
      <c r="U10" s="5">
        <v>12</v>
      </c>
      <c r="V10" s="18">
        <f>U10/(SUM($O$10,$Q$10,$S$10,$U$10,$W$10))</f>
        <v>0.35294117647058826</v>
      </c>
      <c r="W10" s="5">
        <v>7</v>
      </c>
      <c r="X10" s="18">
        <f>W10/(SUM($O$10,$Q$10,$S$10,$U$10,$W$10))</f>
        <v>0.20588235294117646</v>
      </c>
    </row>
    <row r="11" spans="1:24" ht="66">
      <c r="A11" s="119"/>
      <c r="B11" s="8" t="s">
        <v>74</v>
      </c>
      <c r="C11" s="15"/>
      <c r="D11" s="125"/>
      <c r="E11" s="5" t="s">
        <v>39</v>
      </c>
      <c r="F11" s="4">
        <v>0</v>
      </c>
      <c r="G11" s="20">
        <f t="shared" si="2"/>
        <v>0</v>
      </c>
      <c r="H11" s="14"/>
      <c r="I11" s="5" t="s">
        <v>61</v>
      </c>
      <c r="J11" s="19">
        <f t="shared" si="0"/>
        <v>4</v>
      </c>
      <c r="K11" s="4">
        <v>95</v>
      </c>
      <c r="L11" s="17">
        <f t="shared" si="1"/>
        <v>2.8787878787878789</v>
      </c>
      <c r="M11" s="14"/>
      <c r="N11" s="5" t="s">
        <v>66</v>
      </c>
      <c r="O11" s="5">
        <v>0</v>
      </c>
      <c r="P11" s="18">
        <f>O11/(SUM($O$11,$Q$11,$S$11,$U$11,$W$11))</f>
        <v>0</v>
      </c>
      <c r="Q11" s="5">
        <v>3</v>
      </c>
      <c r="R11" s="18">
        <f>Q11/(SUM($O$11,$Q$11,$S$11,$U$11,$W$11))</f>
        <v>8.8235294117647065E-2</v>
      </c>
      <c r="S11" s="5">
        <v>7</v>
      </c>
      <c r="T11" s="18">
        <f>S11/(SUM($O$11,$Q$11,$S$11,$U$11,$W$11))</f>
        <v>0.20588235294117646</v>
      </c>
      <c r="U11" s="5">
        <v>20</v>
      </c>
      <c r="V11" s="18">
        <f>U11/(SUM($O$11,$Q$11,$S$11,$U$11,$W$11))</f>
        <v>0.58823529411764708</v>
      </c>
      <c r="W11" s="5">
        <v>4</v>
      </c>
      <c r="X11" s="18">
        <f>W11/(SUM($O$11,$Q$11,$S$11,$U$11,$W$11))</f>
        <v>0.11764705882352941</v>
      </c>
    </row>
    <row r="12" spans="1:24" ht="66">
      <c r="A12" s="120"/>
      <c r="B12" s="8" t="s">
        <v>75</v>
      </c>
      <c r="C12" s="15"/>
      <c r="D12" s="125"/>
      <c r="E12" s="5" t="s">
        <v>40</v>
      </c>
      <c r="F12" s="4">
        <v>33</v>
      </c>
      <c r="G12" s="20">
        <f t="shared" si="2"/>
        <v>1</v>
      </c>
      <c r="H12" s="14"/>
    </row>
    <row r="13" spans="1:24" ht="28.8">
      <c r="A13" s="7" t="s">
        <v>16</v>
      </c>
      <c r="B13" s="9" t="s">
        <v>26</v>
      </c>
      <c r="C13" s="14"/>
      <c r="D13" s="125"/>
      <c r="E13" s="5" t="s">
        <v>41</v>
      </c>
      <c r="F13" s="4">
        <v>0</v>
      </c>
      <c r="G13" s="20">
        <f t="shared" si="2"/>
        <v>0</v>
      </c>
      <c r="H13" s="14"/>
    </row>
    <row r="14" spans="1:24" ht="28.8">
      <c r="A14" s="6" t="s">
        <v>24</v>
      </c>
      <c r="B14" s="9" t="s">
        <v>25</v>
      </c>
      <c r="C14" s="15"/>
      <c r="D14" s="125"/>
      <c r="E14" s="5" t="s">
        <v>42</v>
      </c>
      <c r="F14" s="4">
        <v>0</v>
      </c>
      <c r="G14" s="20">
        <f t="shared" si="2"/>
        <v>0</v>
      </c>
      <c r="H14" s="14"/>
    </row>
    <row r="15" spans="1:24" ht="26.4">
      <c r="A15" s="118" t="s">
        <v>17</v>
      </c>
      <c r="B15" s="10" t="s">
        <v>78</v>
      </c>
      <c r="C15" s="15"/>
      <c r="D15" s="125"/>
      <c r="E15" s="5" t="s">
        <v>43</v>
      </c>
      <c r="F15" s="4">
        <v>0</v>
      </c>
      <c r="G15" s="20">
        <f t="shared" si="2"/>
        <v>0</v>
      </c>
      <c r="H15" s="14"/>
    </row>
    <row r="16" spans="1:24">
      <c r="A16" s="119"/>
      <c r="B16" s="8" t="s">
        <v>87</v>
      </c>
      <c r="C16" s="15"/>
      <c r="D16" s="125"/>
      <c r="E16" s="5" t="s">
        <v>44</v>
      </c>
      <c r="F16" s="4">
        <v>0</v>
      </c>
      <c r="G16" s="20">
        <f t="shared" si="2"/>
        <v>0</v>
      </c>
      <c r="H16" s="14"/>
    </row>
    <row r="17" spans="1:8">
      <c r="A17" s="119"/>
      <c r="B17" s="8" t="s">
        <v>88</v>
      </c>
      <c r="C17" s="15"/>
      <c r="D17" s="125"/>
      <c r="E17" s="5" t="s">
        <v>45</v>
      </c>
      <c r="F17" s="4">
        <v>0</v>
      </c>
      <c r="G17" s="20">
        <f t="shared" si="2"/>
        <v>0</v>
      </c>
      <c r="H17" s="14"/>
    </row>
    <row r="18" spans="1:8" ht="26.4">
      <c r="A18" s="119"/>
      <c r="B18" s="8" t="s">
        <v>89</v>
      </c>
      <c r="C18" s="15"/>
      <c r="D18" s="125"/>
      <c r="E18" s="5" t="s">
        <v>46</v>
      </c>
      <c r="F18" s="4">
        <v>0</v>
      </c>
      <c r="G18" s="20">
        <f t="shared" si="2"/>
        <v>0</v>
      </c>
      <c r="H18" s="14"/>
    </row>
    <row r="19" spans="1:8">
      <c r="A19" s="119"/>
      <c r="B19" s="8" t="s">
        <v>90</v>
      </c>
      <c r="C19" s="15"/>
      <c r="D19" s="126"/>
      <c r="E19" s="5" t="s">
        <v>47</v>
      </c>
      <c r="F19" s="4">
        <v>0</v>
      </c>
      <c r="G19" s="20">
        <f t="shared" si="2"/>
        <v>0</v>
      </c>
      <c r="H19" s="14"/>
    </row>
    <row r="20" spans="1:8">
      <c r="A20" s="119"/>
      <c r="B20" s="8" t="s">
        <v>91</v>
      </c>
      <c r="C20" s="15"/>
      <c r="D20" s="118" t="s">
        <v>86</v>
      </c>
      <c r="E20" s="5" t="s">
        <v>48</v>
      </c>
      <c r="F20" s="4">
        <v>9</v>
      </c>
      <c r="G20" s="20">
        <f>F20/(SUM($F$20:$F$24))</f>
        <v>0.27272727272727271</v>
      </c>
      <c r="H20" s="14"/>
    </row>
    <row r="21" spans="1:8" ht="26.4">
      <c r="A21" s="119"/>
      <c r="B21" s="13"/>
      <c r="C21" s="15"/>
      <c r="D21" s="119"/>
      <c r="E21" s="5" t="s">
        <v>49</v>
      </c>
      <c r="F21" s="4">
        <v>12</v>
      </c>
      <c r="G21" s="20">
        <f>F21/(SUM($F$20:$F$24))</f>
        <v>0.36363636363636365</v>
      </c>
      <c r="H21" s="14"/>
    </row>
    <row r="22" spans="1:8">
      <c r="A22" s="119"/>
      <c r="B22" s="10" t="s">
        <v>77</v>
      </c>
      <c r="C22" s="15"/>
      <c r="D22" s="119"/>
      <c r="E22" s="5" t="s">
        <v>50</v>
      </c>
      <c r="F22" s="4">
        <v>8</v>
      </c>
      <c r="G22" s="20">
        <f>F22/(SUM($F$20:$F$24))</f>
        <v>0.24242424242424243</v>
      </c>
      <c r="H22" s="14"/>
    </row>
    <row r="23" spans="1:8" ht="66">
      <c r="A23" s="119"/>
      <c r="B23" s="8" t="s">
        <v>19</v>
      </c>
      <c r="C23" s="15"/>
      <c r="D23" s="119"/>
      <c r="E23" s="5" t="s">
        <v>51</v>
      </c>
      <c r="F23" s="4">
        <v>4</v>
      </c>
      <c r="G23" s="20">
        <f>F23/(SUM($F$20:$F$24))</f>
        <v>0.12121212121212122</v>
      </c>
      <c r="H23" s="14"/>
    </row>
    <row r="24" spans="1:8">
      <c r="A24" s="119"/>
      <c r="B24" s="8" t="s">
        <v>92</v>
      </c>
      <c r="C24" s="15"/>
      <c r="D24" s="120"/>
      <c r="E24" s="5" t="s">
        <v>52</v>
      </c>
      <c r="F24" s="4">
        <v>0</v>
      </c>
      <c r="G24" s="20">
        <f>F24/(SUM($F$20:$F$24))</f>
        <v>0</v>
      </c>
      <c r="H24" s="14"/>
    </row>
    <row r="25" spans="1:8">
      <c r="A25" s="119"/>
      <c r="B25" s="8" t="s">
        <v>93</v>
      </c>
      <c r="C25" s="15"/>
      <c r="D25" s="14"/>
      <c r="E25" s="15"/>
      <c r="F25" s="14"/>
      <c r="G25" s="14"/>
      <c r="H25" s="14"/>
    </row>
    <row r="26" spans="1:8">
      <c r="A26" s="119"/>
      <c r="B26" s="8" t="s">
        <v>94</v>
      </c>
      <c r="C26" s="15"/>
    </row>
    <row r="27" spans="1:8">
      <c r="A27" s="119"/>
      <c r="B27" s="8" t="s">
        <v>95</v>
      </c>
      <c r="C27" s="15"/>
    </row>
    <row r="28" spans="1:8">
      <c r="A28" s="119"/>
      <c r="B28" s="8" t="s">
        <v>96</v>
      </c>
      <c r="C28" s="15"/>
    </row>
    <row r="29" spans="1:8">
      <c r="A29" s="119"/>
      <c r="B29" s="8" t="s">
        <v>97</v>
      </c>
      <c r="C29" s="15"/>
    </row>
    <row r="30" spans="1:8">
      <c r="A30" s="119"/>
      <c r="B30" s="8" t="s">
        <v>98</v>
      </c>
      <c r="C30" s="15"/>
    </row>
    <row r="31" spans="1:8">
      <c r="A31" s="119"/>
      <c r="B31" s="8" t="s">
        <v>99</v>
      </c>
      <c r="C31" s="15"/>
    </row>
    <row r="32" spans="1:8">
      <c r="A32" s="119"/>
      <c r="B32" s="8" t="s">
        <v>100</v>
      </c>
      <c r="C32" s="15"/>
    </row>
    <row r="33" spans="1:3">
      <c r="A33" s="119"/>
      <c r="B33" s="8" t="s">
        <v>101</v>
      </c>
      <c r="C33" s="15"/>
    </row>
    <row r="34" spans="1:3">
      <c r="A34" s="119"/>
      <c r="B34" s="13"/>
      <c r="C34" s="15"/>
    </row>
    <row r="35" spans="1:3">
      <c r="A35" s="119"/>
      <c r="B35" s="10" t="s">
        <v>76</v>
      </c>
      <c r="C35" s="15"/>
    </row>
    <row r="36" spans="1:3" ht="26.4">
      <c r="A36" s="119"/>
      <c r="B36" s="8" t="s">
        <v>8</v>
      </c>
      <c r="C36" s="15"/>
    </row>
    <row r="37" spans="1:3">
      <c r="A37" s="119"/>
      <c r="B37" s="8" t="s">
        <v>3</v>
      </c>
      <c r="C37" s="15"/>
    </row>
    <row r="38" spans="1:3">
      <c r="A38" s="119"/>
      <c r="B38" s="8" t="s">
        <v>4</v>
      </c>
      <c r="C38" s="15"/>
    </row>
    <row r="39" spans="1:3">
      <c r="A39" s="119"/>
      <c r="B39" s="8" t="s">
        <v>5</v>
      </c>
      <c r="C39" s="15"/>
    </row>
    <row r="40" spans="1:3">
      <c r="A40" s="119"/>
      <c r="B40" s="8" t="s">
        <v>6</v>
      </c>
      <c r="C40" s="15"/>
    </row>
    <row r="41" spans="1:3">
      <c r="A41" s="119"/>
      <c r="B41" s="8" t="s">
        <v>7</v>
      </c>
      <c r="C41" s="15"/>
    </row>
    <row r="42" spans="1:3">
      <c r="A42" s="119"/>
      <c r="B42" s="8" t="s">
        <v>102</v>
      </c>
      <c r="C42" s="15"/>
    </row>
    <row r="43" spans="1:3" ht="26.4">
      <c r="A43" s="119"/>
      <c r="B43" s="8" t="s">
        <v>103</v>
      </c>
      <c r="C43" s="15"/>
    </row>
    <row r="44" spans="1:3">
      <c r="A44" s="119"/>
      <c r="B44" s="8" t="s">
        <v>104</v>
      </c>
      <c r="C44" s="15"/>
    </row>
    <row r="45" spans="1:3" ht="26.4">
      <c r="A45" s="119"/>
      <c r="B45" s="8" t="s">
        <v>105</v>
      </c>
      <c r="C45" s="15"/>
    </row>
    <row r="46" spans="1:3" ht="26.4">
      <c r="A46" s="119"/>
      <c r="B46" s="8" t="s">
        <v>106</v>
      </c>
      <c r="C46" s="15"/>
    </row>
    <row r="47" spans="1:3" ht="26.4">
      <c r="A47" s="119"/>
      <c r="B47" s="8" t="s">
        <v>107</v>
      </c>
      <c r="C47" s="15"/>
    </row>
    <row r="48" spans="1:3" ht="26.4">
      <c r="A48" s="119"/>
      <c r="B48" s="8" t="s">
        <v>108</v>
      </c>
      <c r="C48" s="15"/>
    </row>
    <row r="49" spans="1:3" ht="26.4">
      <c r="A49" s="119"/>
      <c r="B49" s="8" t="s">
        <v>109</v>
      </c>
      <c r="C49" s="15"/>
    </row>
    <row r="50" spans="1:3" ht="26.4">
      <c r="A50" s="119"/>
      <c r="B50" s="8" t="s">
        <v>110</v>
      </c>
      <c r="C50" s="15"/>
    </row>
    <row r="51" spans="1:3" ht="26.4">
      <c r="A51" s="119"/>
      <c r="B51" s="8" t="s">
        <v>111</v>
      </c>
      <c r="C51" s="15"/>
    </row>
    <row r="52" spans="1:3">
      <c r="A52" s="119"/>
      <c r="B52" s="13"/>
      <c r="C52" s="15"/>
    </row>
    <row r="53" spans="1:3">
      <c r="A53" s="119"/>
      <c r="B53" s="11" t="s">
        <v>20</v>
      </c>
      <c r="C53" s="15"/>
    </row>
    <row r="54" spans="1:3" ht="79.2">
      <c r="A54" s="119"/>
      <c r="B54" s="8" t="s">
        <v>21</v>
      </c>
      <c r="C54" s="15"/>
    </row>
    <row r="55" spans="1:3" ht="26.4">
      <c r="A55" s="119"/>
      <c r="B55" s="8" t="s">
        <v>22</v>
      </c>
      <c r="C55" s="15"/>
    </row>
    <row r="56" spans="1:3">
      <c r="A56" s="119"/>
      <c r="B56" s="8" t="s">
        <v>112</v>
      </c>
      <c r="C56" s="15"/>
    </row>
    <row r="57" spans="1:3">
      <c r="A57" s="119"/>
      <c r="B57" s="8" t="s">
        <v>113</v>
      </c>
      <c r="C57" s="15"/>
    </row>
    <row r="58" spans="1:3">
      <c r="A58" s="119"/>
      <c r="B58" s="12"/>
      <c r="C58" s="15"/>
    </row>
    <row r="59" spans="1:3" ht="39" customHeight="1">
      <c r="A59" s="120"/>
      <c r="B59" s="8" t="s">
        <v>14</v>
      </c>
      <c r="C59" s="15"/>
    </row>
    <row r="60" spans="1:3">
      <c r="A60" s="14"/>
      <c r="B60" s="16"/>
      <c r="C60" s="15"/>
    </row>
  </sheetData>
  <autoFilter ref="D1:X59" xr:uid="{06332409-3A07-47F4-9479-4F2FDA658839}"/>
  <mergeCells count="6">
    <mergeCell ref="A3:A12"/>
    <mergeCell ref="A15:A59"/>
    <mergeCell ref="D2:D4"/>
    <mergeCell ref="D5:D9"/>
    <mergeCell ref="D10:D19"/>
    <mergeCell ref="D20:D24"/>
  </mergeCells>
  <hyperlinks>
    <hyperlink ref="B14" r:id="rId1" location="gid=1891099184" xr:uid="{D179ADE4-7347-49C2-A856-22519B1E6B43}"/>
    <hyperlink ref="B13" r:id="rId2" xr:uid="{1B2EC6CE-25AB-4D39-AAEC-38432D97127F}"/>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FA0FB-F5DC-4800-996D-C1C23E0AB628}">
  <dimension ref="A1:BA60"/>
  <sheetViews>
    <sheetView zoomScale="70" zoomScaleNormal="70" workbookViewId="0">
      <pane xSplit="2" ySplit="1" topLeftCell="AJ2" activePane="bottomRight" state="frozen"/>
      <selection pane="topRight" activeCell="D1" sqref="D1"/>
      <selection pane="bottomLeft" activeCell="A4" sqref="A4"/>
      <selection pane="bottomRight" activeCell="AK8" sqref="AK8"/>
    </sheetView>
  </sheetViews>
  <sheetFormatPr defaultRowHeight="13.2"/>
  <cols>
    <col min="1" max="1" width="17.5546875" style="2" bestFit="1" customWidth="1"/>
    <col min="2" max="2" width="67.44140625" style="3" customWidth="1"/>
    <col min="3" max="3" width="9" style="1" customWidth="1"/>
    <col min="4" max="4" width="15.33203125" style="1" bestFit="1" customWidth="1"/>
    <col min="5" max="5" width="23" style="2" customWidth="1"/>
    <col min="6" max="6" width="17.44140625" style="1" bestFit="1" customWidth="1"/>
    <col min="7" max="7" width="10.6640625" style="2" bestFit="1" customWidth="1"/>
    <col min="8" max="8" width="11.88671875" style="2" customWidth="1"/>
    <col min="9" max="9" width="8.88671875" style="2"/>
    <col min="10" max="10" width="15.33203125" style="2" customWidth="1"/>
    <col min="11" max="11" width="25" style="1" customWidth="1"/>
    <col min="12" max="12" width="14.6640625" style="1" bestFit="1" customWidth="1"/>
    <col min="13" max="13" width="12.77734375" style="2" customWidth="1"/>
    <col min="14" max="14" width="11.6640625" style="2" customWidth="1"/>
    <col min="15" max="15" width="8.88671875" style="2"/>
    <col min="16" max="17" width="22.33203125" style="2" customWidth="1"/>
    <col min="18" max="18" width="17.88671875" style="2" bestFit="1" customWidth="1"/>
    <col min="19" max="19" width="22.33203125" style="2" customWidth="1"/>
    <col min="20" max="20" width="17.88671875" style="2" bestFit="1" customWidth="1"/>
    <col min="21" max="21" width="22.33203125" style="2" customWidth="1"/>
    <col min="22" max="22" width="17.88671875" style="2" bestFit="1" customWidth="1"/>
    <col min="23" max="23" width="22.33203125" style="2" customWidth="1"/>
    <col min="24" max="24" width="17.88671875" style="2" bestFit="1" customWidth="1"/>
    <col min="25" max="25" width="22.33203125" style="2" customWidth="1"/>
    <col min="26" max="26" width="17.88671875" style="2" bestFit="1" customWidth="1"/>
    <col min="27" max="27" width="22.33203125" style="2" customWidth="1"/>
    <col min="28" max="28" width="17.88671875" style="2" bestFit="1" customWidth="1"/>
    <col min="29" max="29" width="22.33203125" style="2" customWidth="1"/>
    <col min="30" max="30" width="17.88671875" style="2" bestFit="1" customWidth="1"/>
    <col min="31" max="31" width="22.33203125" style="2" customWidth="1"/>
    <col min="32" max="32" width="17.88671875" style="2" bestFit="1" customWidth="1"/>
    <col min="33" max="33" width="22.33203125" style="2" customWidth="1"/>
    <col min="34" max="34" width="17.88671875" style="2" bestFit="1" customWidth="1"/>
    <col min="35" max="35" width="22.33203125" style="2" customWidth="1"/>
    <col min="36" max="36" width="17.88671875" style="2" bestFit="1" customWidth="1"/>
    <col min="37" max="37" width="8.88671875" style="2" customWidth="1"/>
    <col min="38" max="38" width="35.5546875" style="1" customWidth="1"/>
    <col min="39" max="39" width="18" style="1" bestFit="1" customWidth="1"/>
    <col min="40" max="40" width="14.88671875" style="1" customWidth="1"/>
    <col min="41" max="41" width="15.5546875" style="1" bestFit="1" customWidth="1"/>
    <col min="42" max="42" width="16.77734375" style="1" bestFit="1" customWidth="1"/>
    <col min="43" max="43" width="17.109375" style="1" bestFit="1" customWidth="1"/>
    <col min="44" max="44" width="16.77734375" style="1" bestFit="1" customWidth="1"/>
    <col min="45" max="45" width="16" style="1" bestFit="1" customWidth="1"/>
    <col min="46" max="46" width="16.77734375" style="1" bestFit="1" customWidth="1"/>
    <col min="47" max="47" width="18" style="1" bestFit="1" customWidth="1"/>
    <col min="48" max="48" width="16.77734375" style="1" bestFit="1" customWidth="1"/>
    <col min="49" max="53" width="8.88671875" style="1"/>
    <col min="54" max="16384" width="8.88671875" style="2"/>
  </cols>
  <sheetData>
    <row r="1" spans="1:49" ht="89.4" customHeight="1">
      <c r="A1" s="7" t="s">
        <v>0</v>
      </c>
      <c r="B1" s="8" t="s">
        <v>1</v>
      </c>
      <c r="C1" s="15"/>
      <c r="D1" s="21" t="s">
        <v>117</v>
      </c>
      <c r="E1" s="6" t="s">
        <v>78</v>
      </c>
      <c r="F1" s="6" t="s">
        <v>34</v>
      </c>
      <c r="G1" s="7" t="s">
        <v>30</v>
      </c>
      <c r="H1" s="7" t="s">
        <v>31</v>
      </c>
      <c r="I1" s="14"/>
      <c r="J1" s="22" t="s">
        <v>117</v>
      </c>
      <c r="K1" s="6" t="s">
        <v>77</v>
      </c>
      <c r="L1" s="6" t="s">
        <v>115</v>
      </c>
      <c r="M1" s="7" t="s">
        <v>114</v>
      </c>
      <c r="N1" s="6" t="s">
        <v>116</v>
      </c>
      <c r="O1" s="14"/>
      <c r="P1" s="6" t="s">
        <v>118</v>
      </c>
      <c r="Q1" s="5" t="s">
        <v>102</v>
      </c>
      <c r="R1" s="6" t="s">
        <v>31</v>
      </c>
      <c r="S1" s="5" t="s">
        <v>119</v>
      </c>
      <c r="T1" s="6" t="s">
        <v>31</v>
      </c>
      <c r="U1" s="5" t="s">
        <v>104</v>
      </c>
      <c r="V1" s="6" t="s">
        <v>31</v>
      </c>
      <c r="W1" s="5" t="s">
        <v>120</v>
      </c>
      <c r="X1" s="6" t="s">
        <v>31</v>
      </c>
      <c r="Y1" s="5" t="s">
        <v>106</v>
      </c>
      <c r="Z1" s="6" t="s">
        <v>31</v>
      </c>
      <c r="AA1" s="5" t="s">
        <v>121</v>
      </c>
      <c r="AB1" s="6" t="s">
        <v>31</v>
      </c>
      <c r="AC1" s="5" t="s">
        <v>108</v>
      </c>
      <c r="AD1" s="6" t="s">
        <v>31</v>
      </c>
      <c r="AE1" s="5" t="s">
        <v>109</v>
      </c>
      <c r="AF1" s="6" t="s">
        <v>31</v>
      </c>
      <c r="AG1" s="5" t="s">
        <v>122</v>
      </c>
      <c r="AH1" s="6" t="s">
        <v>31</v>
      </c>
      <c r="AI1" s="5" t="s">
        <v>123</v>
      </c>
      <c r="AJ1" s="6" t="s">
        <v>31</v>
      </c>
      <c r="AK1" s="24"/>
      <c r="AL1" s="6" t="s">
        <v>82</v>
      </c>
      <c r="AM1" s="6" t="s">
        <v>3</v>
      </c>
      <c r="AN1" s="6" t="s">
        <v>31</v>
      </c>
      <c r="AO1" s="6" t="s">
        <v>4</v>
      </c>
      <c r="AP1" s="6" t="s">
        <v>31</v>
      </c>
      <c r="AQ1" s="6" t="s">
        <v>5</v>
      </c>
      <c r="AR1" s="6" t="s">
        <v>31</v>
      </c>
      <c r="AS1" s="6" t="s">
        <v>6</v>
      </c>
      <c r="AT1" s="6" t="s">
        <v>31</v>
      </c>
      <c r="AU1" s="6" t="s">
        <v>7</v>
      </c>
      <c r="AV1" s="6" t="s">
        <v>31</v>
      </c>
      <c r="AW1" s="15"/>
    </row>
    <row r="2" spans="1:49" ht="79.2">
      <c r="A2" s="7" t="s">
        <v>15</v>
      </c>
      <c r="B2" s="8" t="s">
        <v>18</v>
      </c>
      <c r="C2" s="15"/>
      <c r="D2" s="140">
        <v>1.1000000000000001</v>
      </c>
      <c r="E2" s="127" t="s">
        <v>83</v>
      </c>
      <c r="F2" s="5" t="s">
        <v>27</v>
      </c>
      <c r="G2" s="4">
        <v>27</v>
      </c>
      <c r="H2" s="20">
        <f>G2/(SUM($G$2:$G$4))</f>
        <v>0.77142857142857146</v>
      </c>
      <c r="I2" s="14"/>
      <c r="J2" s="7">
        <v>2.1</v>
      </c>
      <c r="K2" s="6" t="s">
        <v>53</v>
      </c>
      <c r="L2" s="19">
        <f t="shared" ref="L2:L11" si="0">RANK(M2,$M$2:$M$11,0)</f>
        <v>1</v>
      </c>
      <c r="M2" s="4">
        <v>235</v>
      </c>
      <c r="N2" s="17">
        <f t="shared" ref="N2:N11" si="1">M2/33</f>
        <v>7.1212121212121211</v>
      </c>
      <c r="O2" s="14"/>
      <c r="P2" s="6" t="s">
        <v>3</v>
      </c>
      <c r="Q2" s="5">
        <v>2</v>
      </c>
      <c r="R2" s="25">
        <f>Q2/(SUM($Q$2:$Q$6))</f>
        <v>5.7142857142857141E-2</v>
      </c>
      <c r="S2" s="5">
        <v>0</v>
      </c>
      <c r="T2" s="25">
        <f>S2/(SUM($S$2:$S$6))</f>
        <v>0</v>
      </c>
      <c r="U2" s="5">
        <v>0</v>
      </c>
      <c r="V2" s="25">
        <f>U2/(SUM($U$2:$U$6))</f>
        <v>0</v>
      </c>
      <c r="W2" s="5">
        <v>0</v>
      </c>
      <c r="X2" s="25">
        <f>W2/(SUM($W$2:$W$6))</f>
        <v>0</v>
      </c>
      <c r="Y2" s="5">
        <v>0</v>
      </c>
      <c r="Z2" s="25">
        <f>Y2/(SUM($Y$2:$Y$6))</f>
        <v>0</v>
      </c>
      <c r="AA2" s="5">
        <v>3</v>
      </c>
      <c r="AB2" s="25">
        <f>AA2/(SUM($AA$2:$AA$6))</f>
        <v>8.5714285714285715E-2</v>
      </c>
      <c r="AC2" s="5">
        <v>0</v>
      </c>
      <c r="AD2" s="25">
        <f>AC2/(SUM($AC$2:$AC$6))</f>
        <v>0</v>
      </c>
      <c r="AE2" s="5">
        <v>2</v>
      </c>
      <c r="AF2" s="25">
        <f>AE2/(SUM($AE$2:$AE$6))</f>
        <v>5.7142857142857141E-2</v>
      </c>
      <c r="AG2" s="5">
        <v>0</v>
      </c>
      <c r="AH2" s="25">
        <f>AG2/(SUM($AG$2:$AG$6))</f>
        <v>0</v>
      </c>
      <c r="AI2" s="5">
        <v>0</v>
      </c>
      <c r="AJ2" s="25">
        <f>AI2/(SUM($AI$2:$AI$6))</f>
        <v>0</v>
      </c>
      <c r="AK2" s="24"/>
      <c r="AL2" s="5" t="s">
        <v>13</v>
      </c>
      <c r="AM2" s="6">
        <v>2</v>
      </c>
      <c r="AN2" s="18">
        <f>AM2/(SUM($AM$2,$AO$2,$AQ$2,$AS$2,$AU$2))</f>
        <v>5.7142857142857141E-2</v>
      </c>
      <c r="AO2" s="6">
        <v>4</v>
      </c>
      <c r="AP2" s="18">
        <f>AO2/(SUM($AM$2,$AO$2,$AQ$2,$AS$2,$AU$2))</f>
        <v>0.11428571428571428</v>
      </c>
      <c r="AQ2" s="6">
        <v>20</v>
      </c>
      <c r="AR2" s="18">
        <f>AQ2/(SUM($AM$2,$AO$2,$AQ$2,$AS$2,$AU$2))</f>
        <v>0.5714285714285714</v>
      </c>
      <c r="AS2" s="6">
        <v>8</v>
      </c>
      <c r="AT2" s="18">
        <f>AS2/(SUM($AM$2,$AO$2,$AQ$2,$AS$2,$AU$2))</f>
        <v>0.22857142857142856</v>
      </c>
      <c r="AU2" s="6">
        <v>1</v>
      </c>
      <c r="AV2" s="18">
        <f>AU2/(SUM($AM$2,$AO$2,$AQ$2,$AS$2,$AU$2))</f>
        <v>2.8571428571428571E-2</v>
      </c>
      <c r="AW2" s="15"/>
    </row>
    <row r="3" spans="1:49" ht="55.2" customHeight="1">
      <c r="A3" s="118" t="s">
        <v>23</v>
      </c>
      <c r="B3" s="8" t="s">
        <v>67</v>
      </c>
      <c r="C3" s="15"/>
      <c r="D3" s="140"/>
      <c r="E3" s="128"/>
      <c r="F3" s="5" t="s">
        <v>28</v>
      </c>
      <c r="G3" s="4">
        <v>6</v>
      </c>
      <c r="H3" s="20">
        <f>G3/(SUM($G$2:$G$4))</f>
        <v>0.17142857142857143</v>
      </c>
      <c r="I3" s="14"/>
      <c r="J3" s="7">
        <v>2.2000000000000002</v>
      </c>
      <c r="K3" s="6" t="s">
        <v>2</v>
      </c>
      <c r="L3" s="19">
        <f t="shared" si="0"/>
        <v>2</v>
      </c>
      <c r="M3" s="4">
        <v>233</v>
      </c>
      <c r="N3" s="17">
        <f t="shared" si="1"/>
        <v>7.0606060606060606</v>
      </c>
      <c r="O3" s="14"/>
      <c r="P3" s="6" t="s">
        <v>4</v>
      </c>
      <c r="Q3" s="5">
        <v>4</v>
      </c>
      <c r="R3" s="25">
        <f t="shared" ref="R3:R6" si="2">Q3/(SUM($Q$2:$Q$6))</f>
        <v>0.11428571428571428</v>
      </c>
      <c r="S3" s="5">
        <v>0</v>
      </c>
      <c r="T3" s="25">
        <f>S3/(SUM($S$2:$S$6))</f>
        <v>0</v>
      </c>
      <c r="U3" s="5">
        <v>1</v>
      </c>
      <c r="V3" s="25">
        <f>U3/(SUM($U$2:$U$6))</f>
        <v>2.8571428571428571E-2</v>
      </c>
      <c r="W3" s="5">
        <v>1</v>
      </c>
      <c r="X3" s="25">
        <f>W3/(SUM($W$2:$W$6))</f>
        <v>2.8571428571428571E-2</v>
      </c>
      <c r="Y3" s="5">
        <v>0</v>
      </c>
      <c r="Z3" s="25">
        <f>Y3/(SUM($Y$2:$Y$6))</f>
        <v>0</v>
      </c>
      <c r="AA3" s="5">
        <v>2</v>
      </c>
      <c r="AB3" s="25">
        <f>AA3/(SUM($AA$2:$AA$6))</f>
        <v>5.7142857142857141E-2</v>
      </c>
      <c r="AC3" s="5">
        <v>0</v>
      </c>
      <c r="AD3" s="25">
        <f>AC3/(SUM($AC$2:$AC$6))</f>
        <v>0</v>
      </c>
      <c r="AE3" s="5">
        <v>1</v>
      </c>
      <c r="AF3" s="25">
        <f>AE3/(SUM($AE$2:$AE$6))</f>
        <v>2.8571428571428571E-2</v>
      </c>
      <c r="AG3" s="5">
        <v>0</v>
      </c>
      <c r="AH3" s="25">
        <f>AG3/(SUM($AG$2:$AG$6))</f>
        <v>0</v>
      </c>
      <c r="AI3" s="5">
        <v>3</v>
      </c>
      <c r="AJ3" s="25">
        <f>AI3/(SUM($AI$2:$AI$6))</f>
        <v>8.5714285714285715E-2</v>
      </c>
      <c r="AK3" s="24"/>
      <c r="AL3" s="5" t="s">
        <v>62</v>
      </c>
      <c r="AM3" s="6">
        <v>0</v>
      </c>
      <c r="AN3" s="18">
        <f>AM3/(SUM($AM$3,$AO$3,$AQ$3,$AS$3,$AU$3))</f>
        <v>0</v>
      </c>
      <c r="AO3" s="6">
        <v>0</v>
      </c>
      <c r="AP3" s="18">
        <f>AO3/(SUM($AM$3,$AO$3,$AQ$3,$AS$3,$AU$3))</f>
        <v>0</v>
      </c>
      <c r="AQ3" s="6">
        <v>4</v>
      </c>
      <c r="AR3" s="18">
        <f>AQ3/(SUM($AM$3,$AO$3,$AQ$3,$AS$3,$AU$3))</f>
        <v>0.11428571428571428</v>
      </c>
      <c r="AS3" s="6">
        <v>17</v>
      </c>
      <c r="AT3" s="18">
        <f>AS3/(SUM($AM$3,$AO$3,$AQ$3,$AS$3,$AU$3))</f>
        <v>0.48571428571428571</v>
      </c>
      <c r="AU3" s="6">
        <v>14</v>
      </c>
      <c r="AV3" s="18">
        <f>AU3/(SUM($AM$3,$AO$3,$AQ$3,$AS$3,$AU$3))</f>
        <v>0.4</v>
      </c>
      <c r="AW3" s="15"/>
    </row>
    <row r="4" spans="1:49" ht="55.2" customHeight="1">
      <c r="A4" s="119"/>
      <c r="B4" s="8" t="s">
        <v>68</v>
      </c>
      <c r="C4" s="15"/>
      <c r="D4" s="141"/>
      <c r="E4" s="129"/>
      <c r="F4" s="5" t="s">
        <v>29</v>
      </c>
      <c r="G4" s="4">
        <v>2</v>
      </c>
      <c r="H4" s="20">
        <f>G4/(SUM($G$2:$G$4))</f>
        <v>5.7142857142857141E-2</v>
      </c>
      <c r="I4" s="14"/>
      <c r="J4" s="7">
        <v>2.2999999999999998</v>
      </c>
      <c r="K4" s="6" t="s">
        <v>54</v>
      </c>
      <c r="L4" s="19">
        <f t="shared" si="0"/>
        <v>4</v>
      </c>
      <c r="M4" s="4">
        <v>110</v>
      </c>
      <c r="N4" s="17">
        <f t="shared" si="1"/>
        <v>3.3333333333333335</v>
      </c>
      <c r="O4" s="14"/>
      <c r="P4" s="6" t="s">
        <v>5</v>
      </c>
      <c r="Q4" s="5">
        <v>20</v>
      </c>
      <c r="R4" s="25">
        <f t="shared" si="2"/>
        <v>0.5714285714285714</v>
      </c>
      <c r="S4" s="5">
        <v>4</v>
      </c>
      <c r="T4" s="25">
        <f>S4/(SUM($S$2:$S$6))</f>
        <v>0.11428571428571428</v>
      </c>
      <c r="U4" s="5">
        <v>14</v>
      </c>
      <c r="V4" s="25">
        <f>U4/(SUM($U$2:$U$6))</f>
        <v>0.4</v>
      </c>
      <c r="W4" s="5">
        <v>8</v>
      </c>
      <c r="X4" s="25">
        <f>W4/(SUM($W$2:$W$6))</f>
        <v>0.22857142857142856</v>
      </c>
      <c r="Y4" s="5">
        <v>8</v>
      </c>
      <c r="Z4" s="25">
        <f>Y4/(SUM($Y$2:$Y$6))</f>
        <v>0.22857142857142856</v>
      </c>
      <c r="AA4" s="5">
        <v>12</v>
      </c>
      <c r="AB4" s="25">
        <f>AA4/(SUM($AA$2:$AA$6))</f>
        <v>0.34285714285714286</v>
      </c>
      <c r="AC4" s="5">
        <v>10</v>
      </c>
      <c r="AD4" s="25">
        <f>AC4/(SUM($AC$2:$AC$6))</f>
        <v>0.2857142857142857</v>
      </c>
      <c r="AE4" s="5">
        <v>13</v>
      </c>
      <c r="AF4" s="25">
        <f>AE4/(SUM($AE$2:$AE$6))</f>
        <v>0.37142857142857144</v>
      </c>
      <c r="AG4" s="5">
        <v>16</v>
      </c>
      <c r="AH4" s="25">
        <f>AG4/(SUM($AG$2:$AG$6))</f>
        <v>0.45714285714285713</v>
      </c>
      <c r="AI4" s="5">
        <v>7</v>
      </c>
      <c r="AJ4" s="25">
        <f>AI4/(SUM($AI$2:$AI$6))</f>
        <v>0.2</v>
      </c>
      <c r="AK4" s="24"/>
      <c r="AL4" s="5" t="s">
        <v>9</v>
      </c>
      <c r="AM4" s="6">
        <v>0</v>
      </c>
      <c r="AN4" s="18">
        <f>AM4/(SUM($AM$4,$AO$4,$AQ$4,$AS$4,$AU$4))</f>
        <v>0</v>
      </c>
      <c r="AO4" s="6">
        <v>1</v>
      </c>
      <c r="AP4" s="18">
        <f>AO4/(SUM($AM$4,$AO$4,$AQ$4,$AS$4,$AU$4))</f>
        <v>2.8571428571428571E-2</v>
      </c>
      <c r="AQ4" s="6">
        <v>14</v>
      </c>
      <c r="AR4" s="18">
        <f>AQ4/(SUM($AM$4,$AO$4,$AQ$4,$AS$4,$AU$4))</f>
        <v>0.4</v>
      </c>
      <c r="AS4" s="6">
        <v>15</v>
      </c>
      <c r="AT4" s="18">
        <f>AS4/(SUM($AM$4,$AO$4,$AQ$4,$AS$4,$AU$4))</f>
        <v>0.42857142857142855</v>
      </c>
      <c r="AU4" s="6">
        <v>5</v>
      </c>
      <c r="AV4" s="18">
        <f>AU4/(SUM($AM$4,$AO$4,$AQ$4,$AS$4,$AU$4))</f>
        <v>0.14285714285714285</v>
      </c>
      <c r="AW4" s="15"/>
    </row>
    <row r="5" spans="1:49" ht="55.2" customHeight="1">
      <c r="A5" s="119"/>
      <c r="B5" s="8" t="s">
        <v>69</v>
      </c>
      <c r="C5" s="15"/>
      <c r="D5" s="139">
        <v>1.2</v>
      </c>
      <c r="E5" s="130" t="s">
        <v>84</v>
      </c>
      <c r="F5" s="5" t="s">
        <v>32</v>
      </c>
      <c r="G5" s="4">
        <v>0</v>
      </c>
      <c r="H5" s="20">
        <f>G5/(SUM($G$5:$G$9))</f>
        <v>0</v>
      </c>
      <c r="I5" s="14"/>
      <c r="J5" s="7">
        <v>2.4</v>
      </c>
      <c r="K5" s="6" t="s">
        <v>55</v>
      </c>
      <c r="L5" s="19">
        <f t="shared" si="0"/>
        <v>6</v>
      </c>
      <c r="M5" s="4">
        <v>85</v>
      </c>
      <c r="N5" s="17">
        <f t="shared" si="1"/>
        <v>2.5757575757575757</v>
      </c>
      <c r="O5" s="14"/>
      <c r="P5" s="6" t="s">
        <v>6</v>
      </c>
      <c r="Q5" s="5">
        <v>8</v>
      </c>
      <c r="R5" s="25">
        <f t="shared" si="2"/>
        <v>0.22857142857142856</v>
      </c>
      <c r="S5" s="5">
        <v>17</v>
      </c>
      <c r="T5" s="25">
        <f>S5/(SUM($S$2:$S$6))</f>
        <v>0.48571428571428571</v>
      </c>
      <c r="U5" s="5">
        <v>15</v>
      </c>
      <c r="V5" s="25">
        <f>U5/(SUM($U$2:$U$6))</f>
        <v>0.42857142857142855</v>
      </c>
      <c r="W5" s="5">
        <v>19</v>
      </c>
      <c r="X5" s="25">
        <f>W5/(SUM($W$2:$W$6))</f>
        <v>0.54285714285714282</v>
      </c>
      <c r="Y5" s="5">
        <v>20</v>
      </c>
      <c r="Z5" s="25">
        <f>Y5/(SUM($Y$2:$Y$6))</f>
        <v>0.5714285714285714</v>
      </c>
      <c r="AA5" s="5">
        <v>16</v>
      </c>
      <c r="AB5" s="25">
        <f>AA5/(SUM($AA$2:$AA$6))</f>
        <v>0.45714285714285713</v>
      </c>
      <c r="AC5" s="5">
        <v>15</v>
      </c>
      <c r="AD5" s="25">
        <f>AC5/(SUM($AC$2:$AC$6))</f>
        <v>0.42857142857142855</v>
      </c>
      <c r="AE5" s="5">
        <v>10</v>
      </c>
      <c r="AF5" s="25">
        <f>AE5/(SUM($AE$2:$AE$6))</f>
        <v>0.2857142857142857</v>
      </c>
      <c r="AG5" s="5">
        <v>12</v>
      </c>
      <c r="AH5" s="25">
        <f>AG5/(SUM($AG$2:$AG$6))</f>
        <v>0.34285714285714286</v>
      </c>
      <c r="AI5" s="5">
        <v>21</v>
      </c>
      <c r="AJ5" s="25">
        <f>AI5/(SUM($AI$2:$AI$6))</f>
        <v>0.6</v>
      </c>
      <c r="AK5" s="24"/>
      <c r="AL5" s="5" t="s">
        <v>63</v>
      </c>
      <c r="AM5" s="6">
        <v>0</v>
      </c>
      <c r="AN5" s="18">
        <f>AM5/(SUM($AM$5,$AO$5,$AQ$5,$AS$5,$AU$5))</f>
        <v>0</v>
      </c>
      <c r="AO5" s="6">
        <v>1</v>
      </c>
      <c r="AP5" s="18">
        <f>AO5/(SUM($AM$5,$AO$5,$AQ$5,$AS$5,$AU$5))</f>
        <v>2.8571428571428571E-2</v>
      </c>
      <c r="AQ5" s="6">
        <v>8</v>
      </c>
      <c r="AR5" s="18">
        <f>AQ5/(SUM($AM$5,$AO$5,$AQ$5,$AS$5,$AU$5))</f>
        <v>0.22857142857142856</v>
      </c>
      <c r="AS5" s="6">
        <v>19</v>
      </c>
      <c r="AT5" s="18">
        <f>AS5/(SUM($AM$5,$AO$5,$AQ$5,$AS$5,$AU$5))</f>
        <v>0.54285714285714282</v>
      </c>
      <c r="AU5" s="6">
        <v>7</v>
      </c>
      <c r="AV5" s="18">
        <f>AU5/(SUM($AM$5,$AO$5,$AQ$5,$AS$5,$AU$5))</f>
        <v>0.2</v>
      </c>
      <c r="AW5" s="15"/>
    </row>
    <row r="6" spans="1:49" ht="66">
      <c r="A6" s="119"/>
      <c r="B6" s="8" t="s">
        <v>70</v>
      </c>
      <c r="C6" s="15"/>
      <c r="D6" s="139"/>
      <c r="E6" s="131"/>
      <c r="F6" s="5" t="s">
        <v>33</v>
      </c>
      <c r="G6" s="4">
        <v>24</v>
      </c>
      <c r="H6" s="20">
        <f>G6/(SUM($G$5:$G$9))</f>
        <v>0.68571428571428572</v>
      </c>
      <c r="I6" s="14"/>
      <c r="J6" s="7">
        <v>2.5</v>
      </c>
      <c r="K6" s="6" t="s">
        <v>56</v>
      </c>
      <c r="L6" s="19">
        <f t="shared" si="0"/>
        <v>6</v>
      </c>
      <c r="M6" s="4">
        <v>85</v>
      </c>
      <c r="N6" s="17">
        <f t="shared" si="1"/>
        <v>2.5757575757575757</v>
      </c>
      <c r="O6" s="14"/>
      <c r="P6" s="6" t="s">
        <v>7</v>
      </c>
      <c r="Q6" s="5">
        <v>1</v>
      </c>
      <c r="R6" s="25">
        <f t="shared" si="2"/>
        <v>2.8571428571428571E-2</v>
      </c>
      <c r="S6" s="5">
        <v>14</v>
      </c>
      <c r="T6" s="25">
        <f>S6/(SUM($S$2:$S$6))</f>
        <v>0.4</v>
      </c>
      <c r="U6" s="5">
        <v>5</v>
      </c>
      <c r="V6" s="25">
        <f>U6/(SUM($U$2:$U$6))</f>
        <v>0.14285714285714285</v>
      </c>
      <c r="W6" s="5">
        <v>7</v>
      </c>
      <c r="X6" s="25">
        <f>W6/(SUM($W$2:$W$6))</f>
        <v>0.2</v>
      </c>
      <c r="Y6" s="5">
        <v>7</v>
      </c>
      <c r="Z6" s="25">
        <f>Y6/(SUM($Y$2:$Y$6))</f>
        <v>0.2</v>
      </c>
      <c r="AA6" s="5">
        <v>2</v>
      </c>
      <c r="AB6" s="25">
        <f>AA6/(SUM($AA$2:$AA$6))</f>
        <v>5.7142857142857141E-2</v>
      </c>
      <c r="AC6" s="5">
        <v>10</v>
      </c>
      <c r="AD6" s="25">
        <f>AC6/(SUM($AC$2:$AC$6))</f>
        <v>0.2857142857142857</v>
      </c>
      <c r="AE6" s="5">
        <v>9</v>
      </c>
      <c r="AF6" s="25">
        <f>AE6/(SUM($AE$2:$AE$6))</f>
        <v>0.25714285714285712</v>
      </c>
      <c r="AG6" s="5">
        <v>7</v>
      </c>
      <c r="AH6" s="25">
        <f>AG6/(SUM($AG$2:$AG$6))</f>
        <v>0.2</v>
      </c>
      <c r="AI6" s="5">
        <v>4</v>
      </c>
      <c r="AJ6" s="25">
        <f>AI6/(SUM($AI$2:$AI$6))</f>
        <v>0.11428571428571428</v>
      </c>
      <c r="AK6" s="24"/>
      <c r="AL6" s="5" t="s">
        <v>10</v>
      </c>
      <c r="AM6" s="6">
        <v>0</v>
      </c>
      <c r="AN6" s="18">
        <f>AM6/(SUM($AM$6,$AO$6,$AQ$6,$AS$6,$AU$6))</f>
        <v>0</v>
      </c>
      <c r="AO6" s="6">
        <v>0</v>
      </c>
      <c r="AP6" s="18">
        <f>AO6/(SUM($AM$6,$AO$6,$AQ$6,$AS$6,$AU$6))</f>
        <v>0</v>
      </c>
      <c r="AQ6" s="6">
        <v>8</v>
      </c>
      <c r="AR6" s="18">
        <f>AQ6/(SUM($AM$6,$AO$6,$AQ$6,$AS$6,$AU$6))</f>
        <v>0.22857142857142856</v>
      </c>
      <c r="AS6" s="6">
        <v>20</v>
      </c>
      <c r="AT6" s="18">
        <f>AS6/(SUM($AM$6,$AO$6,$AQ$6,$AS$6,$AU$6))</f>
        <v>0.5714285714285714</v>
      </c>
      <c r="AU6" s="6">
        <v>7</v>
      </c>
      <c r="AV6" s="18">
        <f>AU6/(SUM($AM$6,$AO$6,$AQ$6,$AS$6,$AU$6))</f>
        <v>0.2</v>
      </c>
      <c r="AW6" s="15"/>
    </row>
    <row r="7" spans="1:49" ht="55.2" customHeight="1">
      <c r="A7" s="119"/>
      <c r="B7" s="8" t="s">
        <v>71</v>
      </c>
      <c r="C7" s="15"/>
      <c r="D7" s="139"/>
      <c r="E7" s="131"/>
      <c r="F7" s="5" t="s">
        <v>35</v>
      </c>
      <c r="G7" s="4">
        <v>10</v>
      </c>
      <c r="H7" s="20">
        <f>G7/(SUM($G$5:$G$9))</f>
        <v>0.2857142857142857</v>
      </c>
      <c r="I7" s="14"/>
      <c r="J7" s="7">
        <v>2.6</v>
      </c>
      <c r="K7" s="6" t="s">
        <v>57</v>
      </c>
      <c r="L7" s="19">
        <f t="shared" si="0"/>
        <v>9</v>
      </c>
      <c r="M7" s="4">
        <v>67</v>
      </c>
      <c r="N7" s="17">
        <f t="shared" si="1"/>
        <v>2.0303030303030303</v>
      </c>
      <c r="O7" s="14"/>
      <c r="P7" s="14"/>
      <c r="Q7" s="14"/>
      <c r="R7" s="14"/>
      <c r="S7" s="14"/>
      <c r="T7" s="14"/>
      <c r="U7" s="14"/>
      <c r="V7" s="14"/>
      <c r="W7" s="14"/>
      <c r="X7" s="14"/>
      <c r="Y7" s="14"/>
      <c r="Z7" s="14"/>
      <c r="AA7" s="14"/>
      <c r="AB7" s="14"/>
      <c r="AC7" s="14"/>
      <c r="AD7" s="14"/>
      <c r="AE7" s="14"/>
      <c r="AF7" s="14"/>
      <c r="AG7" s="14"/>
      <c r="AH7" s="14"/>
      <c r="AI7" s="14"/>
      <c r="AJ7" s="14"/>
      <c r="AK7" s="14"/>
      <c r="AL7" s="5" t="s">
        <v>64</v>
      </c>
      <c r="AM7" s="6">
        <v>3</v>
      </c>
      <c r="AN7" s="18">
        <f>AM7/(SUM($AM$7,$AO$7,$AQ$7,$AS$7,$AU$7))</f>
        <v>8.5714285714285715E-2</v>
      </c>
      <c r="AO7" s="6">
        <v>2</v>
      </c>
      <c r="AP7" s="18">
        <f>AO7/(SUM($AM$7,$AO$7,$AQ$7,$AS$7,$AU$7))</f>
        <v>5.7142857142857141E-2</v>
      </c>
      <c r="AQ7" s="6">
        <v>12</v>
      </c>
      <c r="AR7" s="18">
        <f>AQ7/(SUM($AM$7,$AO$7,$AQ$7,$AS$7,$AU$7))</f>
        <v>0.34285714285714286</v>
      </c>
      <c r="AS7" s="6">
        <v>16</v>
      </c>
      <c r="AT7" s="18">
        <f>AS7/(SUM($AM$7,$AO$7,$AQ$7,$AS$7,$AU$7))</f>
        <v>0.45714285714285713</v>
      </c>
      <c r="AU7" s="6">
        <v>2</v>
      </c>
      <c r="AV7" s="18">
        <f>AU7/(SUM($AM$7,$AO$7,$AQ$7,$AS$7,$AU$7))</f>
        <v>5.7142857142857141E-2</v>
      </c>
      <c r="AW7" s="15"/>
    </row>
    <row r="8" spans="1:49" ht="55.2" customHeight="1">
      <c r="A8" s="119"/>
      <c r="B8" s="8" t="s">
        <v>72</v>
      </c>
      <c r="C8" s="15"/>
      <c r="D8" s="139"/>
      <c r="E8" s="131"/>
      <c r="F8" s="5" t="s">
        <v>36</v>
      </c>
      <c r="G8" s="4">
        <v>0</v>
      </c>
      <c r="H8" s="20">
        <f>G8/(SUM($G$5:$G$9))</f>
        <v>0</v>
      </c>
      <c r="I8" s="14"/>
      <c r="J8" s="7">
        <v>2.7</v>
      </c>
      <c r="K8" s="6" t="s">
        <v>58</v>
      </c>
      <c r="L8" s="19">
        <f t="shared" si="0"/>
        <v>3</v>
      </c>
      <c r="M8" s="4">
        <v>115</v>
      </c>
      <c r="N8" s="17">
        <f t="shared" si="1"/>
        <v>3.4848484848484849</v>
      </c>
      <c r="O8" s="14"/>
      <c r="AK8" s="14"/>
      <c r="AL8" s="5" t="s">
        <v>11</v>
      </c>
      <c r="AM8" s="6">
        <v>0</v>
      </c>
      <c r="AN8" s="18">
        <f>AM8/(SUM($AM$8,$AO$8,$AQ$8,$AS$8,$AU$8))</f>
        <v>0</v>
      </c>
      <c r="AO8" s="6">
        <v>0</v>
      </c>
      <c r="AP8" s="18">
        <f>AO8/(SUM($AM$8,$AO$8,$AQ$8,$AS$8,$AU$8))</f>
        <v>0</v>
      </c>
      <c r="AQ8" s="6">
        <v>10</v>
      </c>
      <c r="AR8" s="18">
        <f>AQ8/(SUM($AM$8,$AO$8,$AQ$8,$AS$8,$AU$8))</f>
        <v>0.2857142857142857</v>
      </c>
      <c r="AS8" s="6">
        <v>15</v>
      </c>
      <c r="AT8" s="18">
        <f>AS8/(SUM($AM$8,$AO$8,$AQ$8,$AS$8,$AU$8))</f>
        <v>0.42857142857142855</v>
      </c>
      <c r="AU8" s="6">
        <v>10</v>
      </c>
      <c r="AV8" s="18">
        <f>AU8/(SUM($AM$8,$AO$8,$AQ$8,$AS$8,$AU$8))</f>
        <v>0.2857142857142857</v>
      </c>
      <c r="AW8" s="15"/>
    </row>
    <row r="9" spans="1:49" ht="52.8">
      <c r="A9" s="119"/>
      <c r="B9" s="8" t="s">
        <v>73</v>
      </c>
      <c r="C9" s="15"/>
      <c r="D9" s="139"/>
      <c r="E9" s="132"/>
      <c r="F9" s="5" t="s">
        <v>37</v>
      </c>
      <c r="G9" s="4">
        <v>1</v>
      </c>
      <c r="H9" s="20">
        <f>G9/(SUM($G$5:$G$9))</f>
        <v>2.8571428571428571E-2</v>
      </c>
      <c r="I9" s="14"/>
      <c r="J9" s="7">
        <v>2.8</v>
      </c>
      <c r="K9" s="6" t="s">
        <v>59</v>
      </c>
      <c r="L9" s="19">
        <f t="shared" si="0"/>
        <v>10</v>
      </c>
      <c r="M9" s="4">
        <v>59</v>
      </c>
      <c r="N9" s="17">
        <f t="shared" si="1"/>
        <v>1.7878787878787878</v>
      </c>
      <c r="O9" s="14"/>
      <c r="AK9" s="14"/>
      <c r="AL9" s="5" t="s">
        <v>12</v>
      </c>
      <c r="AM9" s="6">
        <v>2</v>
      </c>
      <c r="AN9" s="18">
        <f>AM9/(SUM($AM$9,$AO$9,$AQ$9,$AS$9,$AU$9))</f>
        <v>5.7142857142857141E-2</v>
      </c>
      <c r="AO9" s="6">
        <v>1</v>
      </c>
      <c r="AP9" s="18">
        <f>AO9/(SUM($AM$9,$AO$9,$AQ$9,$AS$9,$AU$9))</f>
        <v>2.8571428571428571E-2</v>
      </c>
      <c r="AQ9" s="6">
        <v>13</v>
      </c>
      <c r="AR9" s="18">
        <f>AQ9/(SUM($AM$9,$AO$9,$AQ$9,$AS$9,$AU$9))</f>
        <v>0.37142857142857144</v>
      </c>
      <c r="AS9" s="6">
        <v>10</v>
      </c>
      <c r="AT9" s="18">
        <f>AS9/(SUM($AM$9,$AO$9,$AQ$9,$AS$9,$AU$9))</f>
        <v>0.2857142857142857</v>
      </c>
      <c r="AU9" s="6">
        <v>9</v>
      </c>
      <c r="AV9" s="18">
        <f>AU9/(SUM($AM$9,$AO$9,$AQ$9,$AS$9,$AU$9))</f>
        <v>0.25714285714285712</v>
      </c>
      <c r="AW9" s="15"/>
    </row>
    <row r="10" spans="1:49" ht="55.2" customHeight="1">
      <c r="A10" s="119"/>
      <c r="B10" s="8" t="s">
        <v>79</v>
      </c>
      <c r="C10" s="15"/>
      <c r="D10" s="139">
        <v>1.3</v>
      </c>
      <c r="E10" s="133" t="s">
        <v>85</v>
      </c>
      <c r="F10" s="5" t="s">
        <v>38</v>
      </c>
      <c r="G10" s="4">
        <v>0</v>
      </c>
      <c r="H10" s="20">
        <f t="shared" ref="H10:H19" si="3">G10/(SUM($G$10:$G$19))</f>
        <v>0</v>
      </c>
      <c r="I10" s="14"/>
      <c r="J10" s="7">
        <v>2.9</v>
      </c>
      <c r="K10" s="6" t="s">
        <v>60</v>
      </c>
      <c r="L10" s="19">
        <f t="shared" si="0"/>
        <v>8</v>
      </c>
      <c r="M10" s="4">
        <v>76</v>
      </c>
      <c r="N10" s="17">
        <f t="shared" si="1"/>
        <v>2.3030303030303032</v>
      </c>
      <c r="O10" s="14"/>
      <c r="AK10" s="14"/>
      <c r="AL10" s="5" t="s">
        <v>65</v>
      </c>
      <c r="AM10" s="6">
        <v>0</v>
      </c>
      <c r="AN10" s="18">
        <f>AM10/(SUM($AM$10,$AO$10,$AQ$10,$AS$10,$AU$10))</f>
        <v>0</v>
      </c>
      <c r="AO10" s="6">
        <v>0</v>
      </c>
      <c r="AP10" s="18">
        <f>AO10/(SUM($AM$10,$AO$10,$AQ$10,$AS$10,$AU$10))</f>
        <v>0</v>
      </c>
      <c r="AQ10" s="6">
        <v>16</v>
      </c>
      <c r="AR10" s="18">
        <f>AQ10/(SUM($AM$10,$AO$10,$AQ$10,$AS$10,$AU$10))</f>
        <v>0.45714285714285713</v>
      </c>
      <c r="AS10" s="6">
        <v>12</v>
      </c>
      <c r="AT10" s="18">
        <f>AS10/(SUM($AM$10,$AO$10,$AQ$10,$AS$10,$AU$10))</f>
        <v>0.34285714285714286</v>
      </c>
      <c r="AU10" s="6">
        <v>7</v>
      </c>
      <c r="AV10" s="18">
        <f>AU10/(SUM($AM$10,$AO$10,$AQ$10,$AS$10,$AU$10))</f>
        <v>0.2</v>
      </c>
      <c r="AW10" s="15"/>
    </row>
    <row r="11" spans="1:49" ht="66">
      <c r="A11" s="119"/>
      <c r="B11" s="8" t="s">
        <v>74</v>
      </c>
      <c r="C11" s="15"/>
      <c r="D11" s="139"/>
      <c r="E11" s="134"/>
      <c r="F11" s="5" t="s">
        <v>39</v>
      </c>
      <c r="G11" s="4">
        <v>0</v>
      </c>
      <c r="H11" s="20">
        <f t="shared" si="3"/>
        <v>0</v>
      </c>
      <c r="I11" s="14"/>
      <c r="J11" s="23">
        <v>2.1</v>
      </c>
      <c r="K11" s="6" t="s">
        <v>61</v>
      </c>
      <c r="L11" s="19">
        <f t="shared" si="0"/>
        <v>5</v>
      </c>
      <c r="M11" s="4">
        <v>102</v>
      </c>
      <c r="N11" s="17">
        <f t="shared" si="1"/>
        <v>3.0909090909090908</v>
      </c>
      <c r="O11" s="14"/>
      <c r="AK11" s="14"/>
      <c r="AL11" s="5" t="s">
        <v>66</v>
      </c>
      <c r="AM11" s="6">
        <v>0</v>
      </c>
      <c r="AN11" s="18">
        <f>AM11/(SUM($AM$11,$AO$11,$AQ$11,$AS$11,$AU$11))</f>
        <v>0</v>
      </c>
      <c r="AO11" s="6">
        <v>3</v>
      </c>
      <c r="AP11" s="18">
        <f>AO11/(SUM($AM$11,$AO$11,$AQ$11,$AS$11,$AU$11))</f>
        <v>8.5714285714285715E-2</v>
      </c>
      <c r="AQ11" s="6">
        <v>7</v>
      </c>
      <c r="AR11" s="18">
        <f>AQ11/(SUM($AM$11,$AO$11,$AQ$11,$AS$11,$AU$11))</f>
        <v>0.2</v>
      </c>
      <c r="AS11" s="6">
        <v>21</v>
      </c>
      <c r="AT11" s="18">
        <f>AS11/(SUM($AM$11,$AO$11,$AQ$11,$AS$11,$AU$11))</f>
        <v>0.6</v>
      </c>
      <c r="AU11" s="6">
        <v>4</v>
      </c>
      <c r="AV11" s="18">
        <f>AU11/(SUM($AM$11,$AO$11,$AQ$11,$AS$11,$AU$11))</f>
        <v>0.11428571428571428</v>
      </c>
      <c r="AW11" s="15"/>
    </row>
    <row r="12" spans="1:49" ht="66">
      <c r="A12" s="120"/>
      <c r="B12" s="8" t="s">
        <v>75</v>
      </c>
      <c r="C12" s="15"/>
      <c r="D12" s="139"/>
      <c r="E12" s="134"/>
      <c r="F12" s="5" t="s">
        <v>40</v>
      </c>
      <c r="G12" s="4">
        <v>32</v>
      </c>
      <c r="H12" s="20">
        <f t="shared" si="3"/>
        <v>0.91428571428571426</v>
      </c>
      <c r="I12" s="14"/>
      <c r="J12" s="14"/>
      <c r="K12" s="15"/>
      <c r="L12" s="15"/>
      <c r="M12" s="14"/>
      <c r="N12" s="14"/>
      <c r="O12" s="14"/>
      <c r="AK12" s="14"/>
      <c r="AL12" s="15"/>
      <c r="AM12" s="15"/>
      <c r="AN12" s="15"/>
      <c r="AO12" s="15"/>
      <c r="AP12" s="15"/>
      <c r="AQ12" s="15"/>
      <c r="AR12" s="15"/>
      <c r="AS12" s="15"/>
      <c r="AT12" s="15"/>
      <c r="AU12" s="15"/>
      <c r="AV12" s="15"/>
      <c r="AW12" s="15"/>
    </row>
    <row r="13" spans="1:49" ht="28.8">
      <c r="A13" s="7" t="s">
        <v>16</v>
      </c>
      <c r="B13" s="9" t="s">
        <v>26</v>
      </c>
      <c r="C13" s="14"/>
      <c r="D13" s="139"/>
      <c r="E13" s="134"/>
      <c r="F13" s="5" t="s">
        <v>41</v>
      </c>
      <c r="G13" s="4">
        <v>0</v>
      </c>
      <c r="H13" s="20">
        <f t="shared" si="3"/>
        <v>0</v>
      </c>
      <c r="I13" s="14"/>
    </row>
    <row r="14" spans="1:49" ht="28.8">
      <c r="A14" s="6" t="s">
        <v>24</v>
      </c>
      <c r="B14" s="9" t="s">
        <v>25</v>
      </c>
      <c r="C14" s="15"/>
      <c r="D14" s="139"/>
      <c r="E14" s="134"/>
      <c r="F14" s="5" t="s">
        <v>42</v>
      </c>
      <c r="G14" s="4">
        <v>0</v>
      </c>
      <c r="H14" s="20">
        <f t="shared" si="3"/>
        <v>0</v>
      </c>
      <c r="I14" s="14"/>
    </row>
    <row r="15" spans="1:49" ht="26.4">
      <c r="A15" s="118" t="s">
        <v>17</v>
      </c>
      <c r="B15" s="10" t="s">
        <v>78</v>
      </c>
      <c r="C15" s="15"/>
      <c r="D15" s="139"/>
      <c r="E15" s="134"/>
      <c r="F15" s="5" t="s">
        <v>43</v>
      </c>
      <c r="G15" s="4">
        <v>0</v>
      </c>
      <c r="H15" s="20">
        <f t="shared" si="3"/>
        <v>0</v>
      </c>
      <c r="I15" s="14"/>
    </row>
    <row r="16" spans="1:49">
      <c r="A16" s="119"/>
      <c r="B16" s="8" t="s">
        <v>87</v>
      </c>
      <c r="C16" s="15"/>
      <c r="D16" s="139"/>
      <c r="E16" s="134"/>
      <c r="F16" s="5" t="s">
        <v>44</v>
      </c>
      <c r="G16" s="4">
        <v>0</v>
      </c>
      <c r="H16" s="20">
        <f t="shared" si="3"/>
        <v>0</v>
      </c>
      <c r="I16" s="14"/>
    </row>
    <row r="17" spans="1:9">
      <c r="A17" s="119"/>
      <c r="B17" s="8" t="s">
        <v>88</v>
      </c>
      <c r="C17" s="15"/>
      <c r="D17" s="139"/>
      <c r="E17" s="134"/>
      <c r="F17" s="5" t="s">
        <v>45</v>
      </c>
      <c r="G17" s="4">
        <v>0</v>
      </c>
      <c r="H17" s="20">
        <f t="shared" si="3"/>
        <v>0</v>
      </c>
      <c r="I17" s="14"/>
    </row>
    <row r="18" spans="1:9" ht="26.4">
      <c r="A18" s="119"/>
      <c r="B18" s="8" t="s">
        <v>89</v>
      </c>
      <c r="C18" s="15"/>
      <c r="D18" s="139"/>
      <c r="E18" s="134"/>
      <c r="F18" s="5" t="s">
        <v>46</v>
      </c>
      <c r="G18" s="4">
        <v>0</v>
      </c>
      <c r="H18" s="20">
        <f t="shared" si="3"/>
        <v>0</v>
      </c>
      <c r="I18" s="14"/>
    </row>
    <row r="19" spans="1:9" ht="52.8">
      <c r="A19" s="119"/>
      <c r="B19" s="8" t="s">
        <v>124</v>
      </c>
      <c r="C19" s="15"/>
      <c r="D19" s="139"/>
      <c r="E19" s="135"/>
      <c r="F19" s="5" t="s">
        <v>47</v>
      </c>
      <c r="G19" s="4">
        <v>3</v>
      </c>
      <c r="H19" s="20">
        <f t="shared" si="3"/>
        <v>8.5714285714285715E-2</v>
      </c>
      <c r="I19" s="14"/>
    </row>
    <row r="20" spans="1:9" ht="26.4">
      <c r="A20" s="119"/>
      <c r="B20" s="8" t="s">
        <v>125</v>
      </c>
      <c r="C20" s="15"/>
      <c r="D20" s="139">
        <v>1.4</v>
      </c>
      <c r="E20" s="136" t="s">
        <v>86</v>
      </c>
      <c r="F20" s="5" t="s">
        <v>48</v>
      </c>
      <c r="G20" s="4">
        <v>9</v>
      </c>
      <c r="H20" s="20">
        <f>G20/(SUM($G$20:$G$24))</f>
        <v>0.25714285714285712</v>
      </c>
      <c r="I20" s="14"/>
    </row>
    <row r="21" spans="1:9" ht="26.4">
      <c r="A21" s="119"/>
      <c r="B21" s="13"/>
      <c r="C21" s="15"/>
      <c r="D21" s="139"/>
      <c r="E21" s="137"/>
      <c r="F21" s="5" t="s">
        <v>49</v>
      </c>
      <c r="G21" s="4">
        <v>14</v>
      </c>
      <c r="H21" s="20">
        <f>G21/(SUM($G$20:$G$24))</f>
        <v>0.4</v>
      </c>
      <c r="I21" s="14"/>
    </row>
    <row r="22" spans="1:9">
      <c r="A22" s="119"/>
      <c r="B22" s="10" t="s">
        <v>77</v>
      </c>
      <c r="C22" s="15"/>
      <c r="D22" s="139"/>
      <c r="E22" s="137"/>
      <c r="F22" s="5" t="s">
        <v>50</v>
      </c>
      <c r="G22" s="4">
        <v>8</v>
      </c>
      <c r="H22" s="20">
        <f>G22/(SUM($G$20:$G$24))</f>
        <v>0.22857142857142856</v>
      </c>
      <c r="I22" s="14"/>
    </row>
    <row r="23" spans="1:9" ht="66">
      <c r="A23" s="119"/>
      <c r="B23" s="8" t="s">
        <v>19</v>
      </c>
      <c r="C23" s="15"/>
      <c r="D23" s="139"/>
      <c r="E23" s="137"/>
      <c r="F23" s="5" t="s">
        <v>51</v>
      </c>
      <c r="G23" s="4">
        <v>4</v>
      </c>
      <c r="H23" s="20">
        <f>G23/(SUM($G$20:$G$24))</f>
        <v>0.11428571428571428</v>
      </c>
      <c r="I23" s="14"/>
    </row>
    <row r="24" spans="1:9">
      <c r="A24" s="119"/>
      <c r="B24" s="8" t="s">
        <v>92</v>
      </c>
      <c r="C24" s="15"/>
      <c r="D24" s="139"/>
      <c r="E24" s="138"/>
      <c r="F24" s="5" t="s">
        <v>52</v>
      </c>
      <c r="G24" s="4">
        <v>0</v>
      </c>
      <c r="H24" s="20">
        <f>G24/(SUM($G$20:$G$24))</f>
        <v>0</v>
      </c>
      <c r="I24" s="14"/>
    </row>
    <row r="25" spans="1:9">
      <c r="A25" s="119"/>
      <c r="B25" s="8" t="s">
        <v>93</v>
      </c>
      <c r="C25" s="15"/>
      <c r="D25" s="15"/>
      <c r="E25" s="14"/>
      <c r="F25" s="15"/>
      <c r="G25" s="14"/>
      <c r="H25" s="14"/>
      <c r="I25" s="14"/>
    </row>
    <row r="26" spans="1:9">
      <c r="A26" s="119"/>
      <c r="B26" s="8" t="s">
        <v>94</v>
      </c>
      <c r="C26" s="15"/>
      <c r="D26" s="15"/>
    </row>
    <row r="27" spans="1:9">
      <c r="A27" s="119"/>
      <c r="B27" s="8" t="s">
        <v>95</v>
      </c>
      <c r="C27" s="15"/>
      <c r="D27" s="15"/>
    </row>
    <row r="28" spans="1:9">
      <c r="A28" s="119"/>
      <c r="B28" s="8" t="s">
        <v>96</v>
      </c>
      <c r="C28" s="15"/>
      <c r="D28" s="15"/>
    </row>
    <row r="29" spans="1:9">
      <c r="A29" s="119"/>
      <c r="B29" s="8" t="s">
        <v>97</v>
      </c>
      <c r="C29" s="15"/>
      <c r="D29" s="15"/>
    </row>
    <row r="30" spans="1:9">
      <c r="A30" s="119"/>
      <c r="B30" s="8" t="s">
        <v>98</v>
      </c>
      <c r="C30" s="15"/>
      <c r="D30" s="15"/>
    </row>
    <row r="31" spans="1:9">
      <c r="A31" s="119"/>
      <c r="B31" s="8" t="s">
        <v>99</v>
      </c>
      <c r="C31" s="15"/>
      <c r="D31" s="15"/>
    </row>
    <row r="32" spans="1:9">
      <c r="A32" s="119"/>
      <c r="B32" s="8" t="s">
        <v>100</v>
      </c>
      <c r="C32" s="15"/>
      <c r="D32" s="15"/>
    </row>
    <row r="33" spans="1:4">
      <c r="A33" s="119"/>
      <c r="B33" s="8" t="s">
        <v>101</v>
      </c>
      <c r="C33" s="15"/>
      <c r="D33" s="15"/>
    </row>
    <row r="34" spans="1:4">
      <c r="A34" s="119"/>
      <c r="B34" s="13"/>
      <c r="C34" s="15"/>
      <c r="D34" s="15"/>
    </row>
    <row r="35" spans="1:4">
      <c r="A35" s="119"/>
      <c r="B35" s="10" t="s">
        <v>76</v>
      </c>
      <c r="C35" s="15"/>
      <c r="D35" s="15"/>
    </row>
    <row r="36" spans="1:4" ht="26.4">
      <c r="A36" s="119"/>
      <c r="B36" s="8" t="s">
        <v>8</v>
      </c>
      <c r="C36" s="15"/>
      <c r="D36" s="15"/>
    </row>
    <row r="37" spans="1:4">
      <c r="A37" s="119"/>
      <c r="B37" s="8" t="s">
        <v>3</v>
      </c>
      <c r="C37" s="15"/>
      <c r="D37" s="15"/>
    </row>
    <row r="38" spans="1:4">
      <c r="A38" s="119"/>
      <c r="B38" s="8" t="s">
        <v>4</v>
      </c>
      <c r="C38" s="15"/>
      <c r="D38" s="15"/>
    </row>
    <row r="39" spans="1:4">
      <c r="A39" s="119"/>
      <c r="B39" s="8" t="s">
        <v>5</v>
      </c>
      <c r="C39" s="15"/>
      <c r="D39" s="15"/>
    </row>
    <row r="40" spans="1:4">
      <c r="A40" s="119"/>
      <c r="B40" s="8" t="s">
        <v>6</v>
      </c>
      <c r="C40" s="15"/>
      <c r="D40" s="15"/>
    </row>
    <row r="41" spans="1:4">
      <c r="A41" s="119"/>
      <c r="B41" s="8" t="s">
        <v>7</v>
      </c>
      <c r="C41" s="15"/>
      <c r="D41" s="15"/>
    </row>
    <row r="42" spans="1:4">
      <c r="A42" s="119"/>
      <c r="B42" s="8" t="s">
        <v>102</v>
      </c>
      <c r="C42" s="15"/>
      <c r="D42" s="15"/>
    </row>
    <row r="43" spans="1:4" ht="26.4">
      <c r="A43" s="119"/>
      <c r="B43" s="8" t="s">
        <v>103</v>
      </c>
      <c r="C43" s="15"/>
      <c r="D43" s="15"/>
    </row>
    <row r="44" spans="1:4">
      <c r="A44" s="119"/>
      <c r="B44" s="8" t="s">
        <v>104</v>
      </c>
      <c r="C44" s="15"/>
      <c r="D44" s="15"/>
    </row>
    <row r="45" spans="1:4" ht="26.4">
      <c r="A45" s="119"/>
      <c r="B45" s="8" t="s">
        <v>105</v>
      </c>
      <c r="C45" s="15"/>
      <c r="D45" s="15"/>
    </row>
    <row r="46" spans="1:4" ht="26.4">
      <c r="A46" s="119"/>
      <c r="B46" s="8" t="s">
        <v>106</v>
      </c>
      <c r="C46" s="15"/>
      <c r="D46" s="15"/>
    </row>
    <row r="47" spans="1:4" ht="26.4">
      <c r="A47" s="119"/>
      <c r="B47" s="8" t="s">
        <v>107</v>
      </c>
      <c r="C47" s="15"/>
      <c r="D47" s="15"/>
    </row>
    <row r="48" spans="1:4" ht="26.4">
      <c r="A48" s="119"/>
      <c r="B48" s="8" t="s">
        <v>108</v>
      </c>
      <c r="C48" s="15"/>
      <c r="D48" s="15"/>
    </row>
    <row r="49" spans="1:4" ht="26.4">
      <c r="A49" s="119"/>
      <c r="B49" s="8" t="s">
        <v>109</v>
      </c>
      <c r="C49" s="15"/>
      <c r="D49" s="15"/>
    </row>
    <row r="50" spans="1:4" ht="26.4">
      <c r="A50" s="119"/>
      <c r="B50" s="8" t="s">
        <v>110</v>
      </c>
      <c r="C50" s="15"/>
      <c r="D50" s="15"/>
    </row>
    <row r="51" spans="1:4" ht="26.4">
      <c r="A51" s="119"/>
      <c r="B51" s="8" t="s">
        <v>111</v>
      </c>
      <c r="C51" s="15"/>
      <c r="D51" s="15"/>
    </row>
    <row r="52" spans="1:4">
      <c r="A52" s="119"/>
      <c r="B52" s="13"/>
      <c r="C52" s="15"/>
      <c r="D52" s="15"/>
    </row>
    <row r="53" spans="1:4">
      <c r="A53" s="119"/>
      <c r="B53" s="11" t="s">
        <v>20</v>
      </c>
      <c r="C53" s="15"/>
      <c r="D53" s="15"/>
    </row>
    <row r="54" spans="1:4" ht="79.2">
      <c r="A54" s="119"/>
      <c r="B54" s="8" t="s">
        <v>21</v>
      </c>
      <c r="C54" s="15"/>
      <c r="D54" s="15"/>
    </row>
    <row r="55" spans="1:4" ht="26.4">
      <c r="A55" s="119"/>
      <c r="B55" s="8" t="s">
        <v>22</v>
      </c>
      <c r="C55" s="15"/>
      <c r="D55" s="15"/>
    </row>
    <row r="56" spans="1:4">
      <c r="A56" s="119"/>
      <c r="B56" s="8" t="s">
        <v>112</v>
      </c>
      <c r="C56" s="15"/>
      <c r="D56" s="15"/>
    </row>
    <row r="57" spans="1:4">
      <c r="A57" s="119"/>
      <c r="B57" s="8" t="s">
        <v>113</v>
      </c>
      <c r="C57" s="15"/>
      <c r="D57" s="15"/>
    </row>
    <row r="58" spans="1:4">
      <c r="A58" s="119"/>
      <c r="B58" s="12"/>
      <c r="C58" s="15"/>
      <c r="D58" s="15"/>
    </row>
    <row r="59" spans="1:4" ht="39" customHeight="1">
      <c r="A59" s="120"/>
      <c r="B59" s="8" t="s">
        <v>14</v>
      </c>
      <c r="C59" s="15"/>
      <c r="D59" s="15"/>
    </row>
    <row r="60" spans="1:4">
      <c r="A60" s="14"/>
      <c r="B60" s="16"/>
      <c r="C60" s="15"/>
      <c r="D60" s="15"/>
    </row>
  </sheetData>
  <autoFilter ref="D1:AJ19" xr:uid="{522FA0FB-F5DC-4800-996D-C1C23E0AB628}"/>
  <mergeCells count="10">
    <mergeCell ref="E2:E4"/>
    <mergeCell ref="A3:A12"/>
    <mergeCell ref="E5:E9"/>
    <mergeCell ref="E10:E19"/>
    <mergeCell ref="A15:A59"/>
    <mergeCell ref="E20:E24"/>
    <mergeCell ref="D20:D24"/>
    <mergeCell ref="D10:D19"/>
    <mergeCell ref="D5:D9"/>
    <mergeCell ref="D2:D4"/>
  </mergeCells>
  <conditionalFormatting sqref="G2:G4">
    <cfRule type="dataBar" priority="25">
      <dataBar>
        <cfvo type="min"/>
        <cfvo type="max"/>
        <color rgb="FFFFB628"/>
      </dataBar>
      <extLst>
        <ext xmlns:x14="http://schemas.microsoft.com/office/spreadsheetml/2009/9/main" uri="{B025F937-C7B1-47D3-B67F-A62EFF666E3E}">
          <x14:id>{8CDA41AE-EF57-4C99-8D40-5EF7F2288329}</x14:id>
        </ext>
      </extLst>
    </cfRule>
  </conditionalFormatting>
  <conditionalFormatting sqref="G5:G9">
    <cfRule type="dataBar" priority="24">
      <dataBar>
        <cfvo type="min"/>
        <cfvo type="max"/>
        <color rgb="FF638EC6"/>
      </dataBar>
      <extLst>
        <ext xmlns:x14="http://schemas.microsoft.com/office/spreadsheetml/2009/9/main" uri="{B025F937-C7B1-47D3-B67F-A62EFF666E3E}">
          <x14:id>{D7C31FA8-9C9D-40D6-887B-394C3405B0F6}</x14:id>
        </ext>
      </extLst>
    </cfRule>
  </conditionalFormatting>
  <conditionalFormatting sqref="G10:G19">
    <cfRule type="dataBar" priority="23">
      <dataBar>
        <cfvo type="min"/>
        <cfvo type="max"/>
        <color rgb="FFFF555A"/>
      </dataBar>
      <extLst>
        <ext xmlns:x14="http://schemas.microsoft.com/office/spreadsheetml/2009/9/main" uri="{B025F937-C7B1-47D3-B67F-A62EFF666E3E}">
          <x14:id>{73389BD1-AB3D-4DC7-9C06-6AA90451FA61}</x14:id>
        </ext>
      </extLst>
    </cfRule>
  </conditionalFormatting>
  <conditionalFormatting sqref="G20:G24">
    <cfRule type="dataBar" priority="22">
      <dataBar>
        <cfvo type="min"/>
        <cfvo type="max"/>
        <color rgb="FF63C384"/>
      </dataBar>
      <extLst>
        <ext xmlns:x14="http://schemas.microsoft.com/office/spreadsheetml/2009/9/main" uri="{B025F937-C7B1-47D3-B67F-A62EFF666E3E}">
          <x14:id>{B172EBB4-6DE7-47E8-803F-A4D4E807E571}</x14:id>
        </ext>
      </extLst>
    </cfRule>
  </conditionalFormatting>
  <conditionalFormatting sqref="M2:M11">
    <cfRule type="dataBar" priority="21">
      <dataBar>
        <cfvo type="min"/>
        <cfvo type="max"/>
        <color rgb="FF63C384"/>
      </dataBar>
      <extLst>
        <ext xmlns:x14="http://schemas.microsoft.com/office/spreadsheetml/2009/9/main" uri="{B025F937-C7B1-47D3-B67F-A62EFF666E3E}">
          <x14:id>{F8AB51EE-A295-4D98-AD18-5CF5FCE627F1}</x14:id>
        </ext>
      </extLst>
    </cfRule>
  </conditionalFormatting>
  <conditionalFormatting sqref="Q2:Q6">
    <cfRule type="dataBar" priority="19">
      <dataBar>
        <cfvo type="min"/>
        <cfvo type="max"/>
        <color rgb="FFFFB628"/>
      </dataBar>
      <extLst>
        <ext xmlns:x14="http://schemas.microsoft.com/office/spreadsheetml/2009/9/main" uri="{B025F937-C7B1-47D3-B67F-A62EFF666E3E}">
          <x14:id>{4FCB6BCA-8C75-421B-99EF-20B6542877E1}</x14:id>
        </ext>
      </extLst>
    </cfRule>
  </conditionalFormatting>
  <conditionalFormatting sqref="S2:S6">
    <cfRule type="dataBar" priority="18">
      <dataBar>
        <cfvo type="min"/>
        <cfvo type="max"/>
        <color rgb="FFFFB628"/>
      </dataBar>
      <extLst>
        <ext xmlns:x14="http://schemas.microsoft.com/office/spreadsheetml/2009/9/main" uri="{B025F937-C7B1-47D3-B67F-A62EFF666E3E}">
          <x14:id>{9EBF8704-8C8F-4D70-B78F-1165B3CBBE6A}</x14:id>
        </ext>
      </extLst>
    </cfRule>
  </conditionalFormatting>
  <conditionalFormatting sqref="U2:U6">
    <cfRule type="dataBar" priority="17">
      <dataBar>
        <cfvo type="min"/>
        <cfvo type="max"/>
        <color rgb="FFFFB628"/>
      </dataBar>
      <extLst>
        <ext xmlns:x14="http://schemas.microsoft.com/office/spreadsheetml/2009/9/main" uri="{B025F937-C7B1-47D3-B67F-A62EFF666E3E}">
          <x14:id>{44B9751D-53D5-410E-BDF6-0EEB87530D94}</x14:id>
        </ext>
      </extLst>
    </cfRule>
  </conditionalFormatting>
  <conditionalFormatting sqref="W2:W6">
    <cfRule type="dataBar" priority="16">
      <dataBar>
        <cfvo type="min"/>
        <cfvo type="max"/>
        <color rgb="FFFFB628"/>
      </dataBar>
      <extLst>
        <ext xmlns:x14="http://schemas.microsoft.com/office/spreadsheetml/2009/9/main" uri="{B025F937-C7B1-47D3-B67F-A62EFF666E3E}">
          <x14:id>{9D2E0B89-56B0-49DB-BF0D-92DEE6848223}</x14:id>
        </ext>
      </extLst>
    </cfRule>
  </conditionalFormatting>
  <conditionalFormatting sqref="Y2:Y6">
    <cfRule type="dataBar" priority="15">
      <dataBar>
        <cfvo type="min"/>
        <cfvo type="max"/>
        <color rgb="FFFFB628"/>
      </dataBar>
      <extLst>
        <ext xmlns:x14="http://schemas.microsoft.com/office/spreadsheetml/2009/9/main" uri="{B025F937-C7B1-47D3-B67F-A62EFF666E3E}">
          <x14:id>{B3251CA6-7F9C-4457-8167-2A87431E962D}</x14:id>
        </ext>
      </extLst>
    </cfRule>
  </conditionalFormatting>
  <conditionalFormatting sqref="AA2:AA6">
    <cfRule type="dataBar" priority="14">
      <dataBar>
        <cfvo type="min"/>
        <cfvo type="max"/>
        <color rgb="FFFFB628"/>
      </dataBar>
      <extLst>
        <ext xmlns:x14="http://schemas.microsoft.com/office/spreadsheetml/2009/9/main" uri="{B025F937-C7B1-47D3-B67F-A62EFF666E3E}">
          <x14:id>{0A2C7E18-F269-494B-933F-262685B24B52}</x14:id>
        </ext>
      </extLst>
    </cfRule>
  </conditionalFormatting>
  <conditionalFormatting sqref="AC2:AC6">
    <cfRule type="dataBar" priority="13">
      <dataBar>
        <cfvo type="min"/>
        <cfvo type="max"/>
        <color rgb="FFFFB628"/>
      </dataBar>
      <extLst>
        <ext xmlns:x14="http://schemas.microsoft.com/office/spreadsheetml/2009/9/main" uri="{B025F937-C7B1-47D3-B67F-A62EFF666E3E}">
          <x14:id>{3B1550E8-BE34-4008-AE49-F2C09704E2E0}</x14:id>
        </ext>
      </extLst>
    </cfRule>
  </conditionalFormatting>
  <conditionalFormatting sqref="AE2:AE6">
    <cfRule type="dataBar" priority="12">
      <dataBar>
        <cfvo type="min"/>
        <cfvo type="max"/>
        <color rgb="FFFFB628"/>
      </dataBar>
      <extLst>
        <ext xmlns:x14="http://schemas.microsoft.com/office/spreadsheetml/2009/9/main" uri="{B025F937-C7B1-47D3-B67F-A62EFF666E3E}">
          <x14:id>{3F052BFA-1479-4859-B247-1568D05DF4DC}</x14:id>
        </ext>
      </extLst>
    </cfRule>
  </conditionalFormatting>
  <conditionalFormatting sqref="AG2:AG6">
    <cfRule type="dataBar" priority="11">
      <dataBar>
        <cfvo type="min"/>
        <cfvo type="max"/>
        <color rgb="FFFFB628"/>
      </dataBar>
      <extLst>
        <ext xmlns:x14="http://schemas.microsoft.com/office/spreadsheetml/2009/9/main" uri="{B025F937-C7B1-47D3-B67F-A62EFF666E3E}">
          <x14:id>{7793E2A0-E736-42FF-8371-CE5CAA3D1A6F}</x14:id>
        </ext>
      </extLst>
    </cfRule>
  </conditionalFormatting>
  <conditionalFormatting sqref="AI2:AI6">
    <cfRule type="dataBar" priority="10">
      <dataBar>
        <cfvo type="min"/>
        <cfvo type="max"/>
        <color rgb="FFFFB628"/>
      </dataBar>
      <extLst>
        <ext xmlns:x14="http://schemas.microsoft.com/office/spreadsheetml/2009/9/main" uri="{B025F937-C7B1-47D3-B67F-A62EFF666E3E}">
          <x14:id>{D80554D8-7B9B-4CAA-89D3-5BDC68E8F443}</x14:id>
        </ext>
      </extLst>
    </cfRule>
  </conditionalFormatting>
  <conditionalFormatting sqref="AM2 AO2 AQ2 AS2 AU2">
    <cfRule type="dataBar" priority="20">
      <dataBar>
        <cfvo type="min"/>
        <cfvo type="max"/>
        <color rgb="FF63C384"/>
      </dataBar>
      <extLst>
        <ext xmlns:x14="http://schemas.microsoft.com/office/spreadsheetml/2009/9/main" uri="{B025F937-C7B1-47D3-B67F-A62EFF666E3E}">
          <x14:id>{268BBB9F-1783-4841-8E37-E21D5BA928DF}</x14:id>
        </ext>
      </extLst>
    </cfRule>
  </conditionalFormatting>
  <conditionalFormatting sqref="AM4 AO4 AQ4 AS4 AU4">
    <cfRule type="dataBar" priority="8">
      <dataBar>
        <cfvo type="min"/>
        <cfvo type="max"/>
        <color rgb="FF63C384"/>
      </dataBar>
      <extLst>
        <ext xmlns:x14="http://schemas.microsoft.com/office/spreadsheetml/2009/9/main" uri="{B025F937-C7B1-47D3-B67F-A62EFF666E3E}">
          <x14:id>{0D705882-932C-425D-A145-DF3C57E420F8}</x14:id>
        </ext>
      </extLst>
    </cfRule>
  </conditionalFormatting>
  <conditionalFormatting sqref="AM7 AO7 AQ7 AS7 AU7">
    <cfRule type="dataBar" priority="5">
      <dataBar>
        <cfvo type="min"/>
        <cfvo type="max"/>
        <color rgb="FF63C384"/>
      </dataBar>
      <extLst>
        <ext xmlns:x14="http://schemas.microsoft.com/office/spreadsheetml/2009/9/main" uri="{B025F937-C7B1-47D3-B67F-A62EFF666E3E}">
          <x14:id>{2AC2B357-AB3E-4FD5-9254-32B3D2F0B6A9}</x14:id>
        </ext>
      </extLst>
    </cfRule>
  </conditionalFormatting>
  <conditionalFormatting sqref="AM8 AO8 AQ8 AS8 AU8">
    <cfRule type="dataBar" priority="4">
      <dataBar>
        <cfvo type="min"/>
        <cfvo type="max"/>
        <color rgb="FF63C384"/>
      </dataBar>
      <extLst>
        <ext xmlns:x14="http://schemas.microsoft.com/office/spreadsheetml/2009/9/main" uri="{B025F937-C7B1-47D3-B67F-A62EFF666E3E}">
          <x14:id>{0A5EA5E2-F818-495A-B279-8574212E90A3}</x14:id>
        </ext>
      </extLst>
    </cfRule>
  </conditionalFormatting>
  <conditionalFormatting sqref="AM9 AO9 AQ9 AS9 AU9">
    <cfRule type="dataBar" priority="3">
      <dataBar>
        <cfvo type="min"/>
        <cfvo type="max"/>
        <color rgb="FF63C384"/>
      </dataBar>
      <extLst>
        <ext xmlns:x14="http://schemas.microsoft.com/office/spreadsheetml/2009/9/main" uri="{B025F937-C7B1-47D3-B67F-A62EFF666E3E}">
          <x14:id>{55820D81-B1F1-4DAB-BE58-47BF8F20C04F}</x14:id>
        </ext>
      </extLst>
    </cfRule>
  </conditionalFormatting>
  <conditionalFormatting sqref="AM10 AO10 AQ10 AS10 AU10">
    <cfRule type="dataBar" priority="2">
      <dataBar>
        <cfvo type="min"/>
        <cfvo type="max"/>
        <color rgb="FF63C384"/>
      </dataBar>
      <extLst>
        <ext xmlns:x14="http://schemas.microsoft.com/office/spreadsheetml/2009/9/main" uri="{B025F937-C7B1-47D3-B67F-A62EFF666E3E}">
          <x14:id>{B73A1911-7C65-41FA-8417-BEC2C1858EF0}</x14:id>
        </ext>
      </extLst>
    </cfRule>
  </conditionalFormatting>
  <conditionalFormatting sqref="AM11 AO11 AQ11 AS11 AU11">
    <cfRule type="dataBar" priority="1">
      <dataBar>
        <cfvo type="min"/>
        <cfvo type="max"/>
        <color rgb="FF63C384"/>
      </dataBar>
      <extLst>
        <ext xmlns:x14="http://schemas.microsoft.com/office/spreadsheetml/2009/9/main" uri="{B025F937-C7B1-47D3-B67F-A62EFF666E3E}">
          <x14:id>{3A0F8663-B70A-4354-BDCE-95BC6D195B1C}</x14:id>
        </ext>
      </extLst>
    </cfRule>
  </conditionalFormatting>
  <conditionalFormatting sqref="AO3 AM3 AQ3 AS3 AU3">
    <cfRule type="dataBar" priority="9">
      <dataBar>
        <cfvo type="min"/>
        <cfvo type="max"/>
        <color rgb="FF63C384"/>
      </dataBar>
      <extLst>
        <ext xmlns:x14="http://schemas.microsoft.com/office/spreadsheetml/2009/9/main" uri="{B025F937-C7B1-47D3-B67F-A62EFF666E3E}">
          <x14:id>{951616C8-28DB-4148-BE5F-1912EA1048A7}</x14:id>
        </ext>
      </extLst>
    </cfRule>
  </conditionalFormatting>
  <conditionalFormatting sqref="AO5 AM5 AQ5 AS5 AU5">
    <cfRule type="dataBar" priority="7">
      <dataBar>
        <cfvo type="min"/>
        <cfvo type="max"/>
        <color rgb="FF63C384"/>
      </dataBar>
      <extLst>
        <ext xmlns:x14="http://schemas.microsoft.com/office/spreadsheetml/2009/9/main" uri="{B025F937-C7B1-47D3-B67F-A62EFF666E3E}">
          <x14:id>{705434C0-E40A-41B5-9CD8-293E46FE3C19}</x14:id>
        </ext>
      </extLst>
    </cfRule>
  </conditionalFormatting>
  <conditionalFormatting sqref="AO6 AM6 AQ6 AS6 AU6">
    <cfRule type="dataBar" priority="6">
      <dataBar>
        <cfvo type="min"/>
        <cfvo type="max"/>
        <color rgb="FF63C384"/>
      </dataBar>
      <extLst>
        <ext xmlns:x14="http://schemas.microsoft.com/office/spreadsheetml/2009/9/main" uri="{B025F937-C7B1-47D3-B67F-A62EFF666E3E}">
          <x14:id>{2AFCDBA7-55F0-4194-A357-0DF42AFF6A1C}</x14:id>
        </ext>
      </extLst>
    </cfRule>
  </conditionalFormatting>
  <hyperlinks>
    <hyperlink ref="B14" r:id="rId1" location="gid=1891099184" xr:uid="{7E429379-9228-4D86-AD59-1D33F949D86C}"/>
    <hyperlink ref="B13" r:id="rId2" xr:uid="{2E419BFE-D45C-4732-B339-287B9C2AEF0F}"/>
  </hyperlinks>
  <pageMargins left="0.7" right="0.7" top="0.75" bottom="0.75" header="0.3" footer="0.3"/>
  <pageSetup orientation="portrait" r:id="rId3"/>
  <extLst>
    <ext xmlns:x14="http://schemas.microsoft.com/office/spreadsheetml/2009/9/main" uri="{78C0D931-6437-407d-A8EE-F0AAD7539E65}">
      <x14:conditionalFormattings>
        <x14:conditionalFormatting xmlns:xm="http://schemas.microsoft.com/office/excel/2006/main">
          <x14:cfRule type="dataBar" id="{8CDA41AE-EF57-4C99-8D40-5EF7F2288329}">
            <x14:dataBar minLength="0" maxLength="100" border="1" negativeBarBorderColorSameAsPositive="0">
              <x14:cfvo type="autoMin"/>
              <x14:cfvo type="autoMax"/>
              <x14:borderColor rgb="FFFFB628"/>
              <x14:negativeFillColor rgb="FFFF0000"/>
              <x14:negativeBorderColor rgb="FFFF0000"/>
              <x14:axisColor rgb="FF000000"/>
            </x14:dataBar>
          </x14:cfRule>
          <xm:sqref>G2:G4</xm:sqref>
        </x14:conditionalFormatting>
        <x14:conditionalFormatting xmlns:xm="http://schemas.microsoft.com/office/excel/2006/main">
          <x14:cfRule type="dataBar" id="{D7C31FA8-9C9D-40D6-887B-394C3405B0F6}">
            <x14:dataBar minLength="0" maxLength="100" border="1" negativeBarBorderColorSameAsPositive="0">
              <x14:cfvo type="autoMin"/>
              <x14:cfvo type="autoMax"/>
              <x14:borderColor rgb="FF638EC6"/>
              <x14:negativeFillColor rgb="FFFF0000"/>
              <x14:negativeBorderColor rgb="FFFF0000"/>
              <x14:axisColor rgb="FF000000"/>
            </x14:dataBar>
          </x14:cfRule>
          <xm:sqref>G5:G9</xm:sqref>
        </x14:conditionalFormatting>
        <x14:conditionalFormatting xmlns:xm="http://schemas.microsoft.com/office/excel/2006/main">
          <x14:cfRule type="dataBar" id="{73389BD1-AB3D-4DC7-9C06-6AA90451FA61}">
            <x14:dataBar minLength="0" maxLength="100" border="1" negativeBarBorderColorSameAsPositive="0">
              <x14:cfvo type="autoMin"/>
              <x14:cfvo type="autoMax"/>
              <x14:borderColor rgb="FFFF555A"/>
              <x14:negativeFillColor rgb="FFFF0000"/>
              <x14:negativeBorderColor rgb="FFFF0000"/>
              <x14:axisColor rgb="FF000000"/>
            </x14:dataBar>
          </x14:cfRule>
          <xm:sqref>G10:G19</xm:sqref>
        </x14:conditionalFormatting>
        <x14:conditionalFormatting xmlns:xm="http://schemas.microsoft.com/office/excel/2006/main">
          <x14:cfRule type="dataBar" id="{B172EBB4-6DE7-47E8-803F-A4D4E807E571}">
            <x14:dataBar minLength="0" maxLength="100" border="1" negativeBarBorderColorSameAsPositive="0">
              <x14:cfvo type="autoMin"/>
              <x14:cfvo type="autoMax"/>
              <x14:borderColor rgb="FF63C384"/>
              <x14:negativeFillColor rgb="FFFF0000"/>
              <x14:negativeBorderColor rgb="FFFF0000"/>
              <x14:axisColor rgb="FF000000"/>
            </x14:dataBar>
          </x14:cfRule>
          <xm:sqref>G20:G24</xm:sqref>
        </x14:conditionalFormatting>
        <x14:conditionalFormatting xmlns:xm="http://schemas.microsoft.com/office/excel/2006/main">
          <x14:cfRule type="dataBar" id="{F8AB51EE-A295-4D98-AD18-5CF5FCE627F1}">
            <x14:dataBar minLength="0" maxLength="100" border="1" negativeBarBorderColorSameAsPositive="0">
              <x14:cfvo type="autoMin"/>
              <x14:cfvo type="autoMax"/>
              <x14:borderColor rgb="FF63C384"/>
              <x14:negativeFillColor rgb="FFFF0000"/>
              <x14:negativeBorderColor rgb="FFFF0000"/>
              <x14:axisColor rgb="FF000000"/>
            </x14:dataBar>
          </x14:cfRule>
          <xm:sqref>M2:M11</xm:sqref>
        </x14:conditionalFormatting>
        <x14:conditionalFormatting xmlns:xm="http://schemas.microsoft.com/office/excel/2006/main">
          <x14:cfRule type="dataBar" id="{4FCB6BCA-8C75-421B-99EF-20B6542877E1}">
            <x14:dataBar minLength="0" maxLength="100" border="1" negativeBarBorderColorSameAsPositive="0">
              <x14:cfvo type="autoMin"/>
              <x14:cfvo type="autoMax"/>
              <x14:borderColor rgb="FFFFB628"/>
              <x14:negativeFillColor rgb="FFFF0000"/>
              <x14:negativeBorderColor rgb="FFFF0000"/>
              <x14:axisColor rgb="FF000000"/>
            </x14:dataBar>
          </x14:cfRule>
          <xm:sqref>Q2:Q6</xm:sqref>
        </x14:conditionalFormatting>
        <x14:conditionalFormatting xmlns:xm="http://schemas.microsoft.com/office/excel/2006/main">
          <x14:cfRule type="dataBar" id="{9EBF8704-8C8F-4D70-B78F-1165B3CBBE6A}">
            <x14:dataBar minLength="0" maxLength="100" border="1" negativeBarBorderColorSameAsPositive="0">
              <x14:cfvo type="autoMin"/>
              <x14:cfvo type="autoMax"/>
              <x14:borderColor rgb="FFFFB628"/>
              <x14:negativeFillColor rgb="FFFF0000"/>
              <x14:negativeBorderColor rgb="FFFF0000"/>
              <x14:axisColor rgb="FF000000"/>
            </x14:dataBar>
          </x14:cfRule>
          <xm:sqref>S2:S6</xm:sqref>
        </x14:conditionalFormatting>
        <x14:conditionalFormatting xmlns:xm="http://schemas.microsoft.com/office/excel/2006/main">
          <x14:cfRule type="dataBar" id="{44B9751D-53D5-410E-BDF6-0EEB87530D94}">
            <x14:dataBar minLength="0" maxLength="100" border="1" negativeBarBorderColorSameAsPositive="0">
              <x14:cfvo type="autoMin"/>
              <x14:cfvo type="autoMax"/>
              <x14:borderColor rgb="FFFFB628"/>
              <x14:negativeFillColor rgb="FFFF0000"/>
              <x14:negativeBorderColor rgb="FFFF0000"/>
              <x14:axisColor rgb="FF000000"/>
            </x14:dataBar>
          </x14:cfRule>
          <xm:sqref>U2:U6</xm:sqref>
        </x14:conditionalFormatting>
        <x14:conditionalFormatting xmlns:xm="http://schemas.microsoft.com/office/excel/2006/main">
          <x14:cfRule type="dataBar" id="{9D2E0B89-56B0-49DB-BF0D-92DEE6848223}">
            <x14:dataBar minLength="0" maxLength="100" border="1" negativeBarBorderColorSameAsPositive="0">
              <x14:cfvo type="autoMin"/>
              <x14:cfvo type="autoMax"/>
              <x14:borderColor rgb="FFFFB628"/>
              <x14:negativeFillColor rgb="FFFF0000"/>
              <x14:negativeBorderColor rgb="FFFF0000"/>
              <x14:axisColor rgb="FF000000"/>
            </x14:dataBar>
          </x14:cfRule>
          <xm:sqref>W2:W6</xm:sqref>
        </x14:conditionalFormatting>
        <x14:conditionalFormatting xmlns:xm="http://schemas.microsoft.com/office/excel/2006/main">
          <x14:cfRule type="dataBar" id="{B3251CA6-7F9C-4457-8167-2A87431E962D}">
            <x14:dataBar minLength="0" maxLength="100" border="1" negativeBarBorderColorSameAsPositive="0">
              <x14:cfvo type="autoMin"/>
              <x14:cfvo type="autoMax"/>
              <x14:borderColor rgb="FFFFB628"/>
              <x14:negativeFillColor rgb="FFFF0000"/>
              <x14:negativeBorderColor rgb="FFFF0000"/>
              <x14:axisColor rgb="FF000000"/>
            </x14:dataBar>
          </x14:cfRule>
          <xm:sqref>Y2:Y6</xm:sqref>
        </x14:conditionalFormatting>
        <x14:conditionalFormatting xmlns:xm="http://schemas.microsoft.com/office/excel/2006/main">
          <x14:cfRule type="dataBar" id="{0A2C7E18-F269-494B-933F-262685B24B52}">
            <x14:dataBar minLength="0" maxLength="100" border="1" negativeBarBorderColorSameAsPositive="0">
              <x14:cfvo type="autoMin"/>
              <x14:cfvo type="autoMax"/>
              <x14:borderColor rgb="FFFFB628"/>
              <x14:negativeFillColor rgb="FFFF0000"/>
              <x14:negativeBorderColor rgb="FFFF0000"/>
              <x14:axisColor rgb="FF000000"/>
            </x14:dataBar>
          </x14:cfRule>
          <xm:sqref>AA2:AA6</xm:sqref>
        </x14:conditionalFormatting>
        <x14:conditionalFormatting xmlns:xm="http://schemas.microsoft.com/office/excel/2006/main">
          <x14:cfRule type="dataBar" id="{3B1550E8-BE34-4008-AE49-F2C09704E2E0}">
            <x14:dataBar minLength="0" maxLength="100" border="1" negativeBarBorderColorSameAsPositive="0">
              <x14:cfvo type="autoMin"/>
              <x14:cfvo type="autoMax"/>
              <x14:borderColor rgb="FFFFB628"/>
              <x14:negativeFillColor rgb="FFFF0000"/>
              <x14:negativeBorderColor rgb="FFFF0000"/>
              <x14:axisColor rgb="FF000000"/>
            </x14:dataBar>
          </x14:cfRule>
          <xm:sqref>AC2:AC6</xm:sqref>
        </x14:conditionalFormatting>
        <x14:conditionalFormatting xmlns:xm="http://schemas.microsoft.com/office/excel/2006/main">
          <x14:cfRule type="dataBar" id="{3F052BFA-1479-4859-B247-1568D05DF4DC}">
            <x14:dataBar minLength="0" maxLength="100" border="1" negativeBarBorderColorSameAsPositive="0">
              <x14:cfvo type="autoMin"/>
              <x14:cfvo type="autoMax"/>
              <x14:borderColor rgb="FFFFB628"/>
              <x14:negativeFillColor rgb="FFFF0000"/>
              <x14:negativeBorderColor rgb="FFFF0000"/>
              <x14:axisColor rgb="FF000000"/>
            </x14:dataBar>
          </x14:cfRule>
          <xm:sqref>AE2:AE6</xm:sqref>
        </x14:conditionalFormatting>
        <x14:conditionalFormatting xmlns:xm="http://schemas.microsoft.com/office/excel/2006/main">
          <x14:cfRule type="dataBar" id="{7793E2A0-E736-42FF-8371-CE5CAA3D1A6F}">
            <x14:dataBar minLength="0" maxLength="100" border="1" negativeBarBorderColorSameAsPositive="0">
              <x14:cfvo type="autoMin"/>
              <x14:cfvo type="autoMax"/>
              <x14:borderColor rgb="FFFFB628"/>
              <x14:negativeFillColor rgb="FFFF0000"/>
              <x14:negativeBorderColor rgb="FFFF0000"/>
              <x14:axisColor rgb="FF000000"/>
            </x14:dataBar>
          </x14:cfRule>
          <xm:sqref>AG2:AG6</xm:sqref>
        </x14:conditionalFormatting>
        <x14:conditionalFormatting xmlns:xm="http://schemas.microsoft.com/office/excel/2006/main">
          <x14:cfRule type="dataBar" id="{D80554D8-7B9B-4CAA-89D3-5BDC68E8F443}">
            <x14:dataBar minLength="0" maxLength="100" border="1" negativeBarBorderColorSameAsPositive="0">
              <x14:cfvo type="autoMin"/>
              <x14:cfvo type="autoMax"/>
              <x14:borderColor rgb="FFFFB628"/>
              <x14:negativeFillColor rgb="FFFF0000"/>
              <x14:negativeBorderColor rgb="FFFF0000"/>
              <x14:axisColor rgb="FF000000"/>
            </x14:dataBar>
          </x14:cfRule>
          <xm:sqref>AI2:AI6</xm:sqref>
        </x14:conditionalFormatting>
        <x14:conditionalFormatting xmlns:xm="http://schemas.microsoft.com/office/excel/2006/main">
          <x14:cfRule type="dataBar" id="{268BBB9F-1783-4841-8E37-E21D5BA928DF}">
            <x14:dataBar minLength="0" maxLength="100" border="1" negativeBarBorderColorSameAsPositive="0">
              <x14:cfvo type="autoMin"/>
              <x14:cfvo type="autoMax"/>
              <x14:borderColor rgb="FF63C384"/>
              <x14:negativeFillColor rgb="FFFF0000"/>
              <x14:negativeBorderColor rgb="FFFF0000"/>
              <x14:axisColor rgb="FF000000"/>
            </x14:dataBar>
          </x14:cfRule>
          <xm:sqref>AM2 AO2 AQ2 AS2 AU2</xm:sqref>
        </x14:conditionalFormatting>
        <x14:conditionalFormatting xmlns:xm="http://schemas.microsoft.com/office/excel/2006/main">
          <x14:cfRule type="dataBar" id="{0D705882-932C-425D-A145-DF3C57E420F8}">
            <x14:dataBar minLength="0" maxLength="100" border="1" negativeBarBorderColorSameAsPositive="0">
              <x14:cfvo type="autoMin"/>
              <x14:cfvo type="autoMax"/>
              <x14:borderColor rgb="FF63C384"/>
              <x14:negativeFillColor rgb="FFFF0000"/>
              <x14:negativeBorderColor rgb="FFFF0000"/>
              <x14:axisColor rgb="FF000000"/>
            </x14:dataBar>
          </x14:cfRule>
          <xm:sqref>AM4 AO4 AQ4 AS4 AU4</xm:sqref>
        </x14:conditionalFormatting>
        <x14:conditionalFormatting xmlns:xm="http://schemas.microsoft.com/office/excel/2006/main">
          <x14:cfRule type="dataBar" id="{2AC2B357-AB3E-4FD5-9254-32B3D2F0B6A9}">
            <x14:dataBar minLength="0" maxLength="100" border="1" negativeBarBorderColorSameAsPositive="0">
              <x14:cfvo type="autoMin"/>
              <x14:cfvo type="autoMax"/>
              <x14:borderColor rgb="FF63C384"/>
              <x14:negativeFillColor rgb="FFFF0000"/>
              <x14:negativeBorderColor rgb="FFFF0000"/>
              <x14:axisColor rgb="FF000000"/>
            </x14:dataBar>
          </x14:cfRule>
          <xm:sqref>AM7 AO7 AQ7 AS7 AU7</xm:sqref>
        </x14:conditionalFormatting>
        <x14:conditionalFormatting xmlns:xm="http://schemas.microsoft.com/office/excel/2006/main">
          <x14:cfRule type="dataBar" id="{0A5EA5E2-F818-495A-B279-8574212E90A3}">
            <x14:dataBar minLength="0" maxLength="100" border="1" negativeBarBorderColorSameAsPositive="0">
              <x14:cfvo type="autoMin"/>
              <x14:cfvo type="autoMax"/>
              <x14:borderColor rgb="FF63C384"/>
              <x14:negativeFillColor rgb="FFFF0000"/>
              <x14:negativeBorderColor rgb="FFFF0000"/>
              <x14:axisColor rgb="FF000000"/>
            </x14:dataBar>
          </x14:cfRule>
          <xm:sqref>AM8 AO8 AQ8 AS8 AU8</xm:sqref>
        </x14:conditionalFormatting>
        <x14:conditionalFormatting xmlns:xm="http://schemas.microsoft.com/office/excel/2006/main">
          <x14:cfRule type="dataBar" id="{55820D81-B1F1-4DAB-BE58-47BF8F20C04F}">
            <x14:dataBar minLength="0" maxLength="100" border="1" negativeBarBorderColorSameAsPositive="0">
              <x14:cfvo type="autoMin"/>
              <x14:cfvo type="autoMax"/>
              <x14:borderColor rgb="FF63C384"/>
              <x14:negativeFillColor rgb="FFFF0000"/>
              <x14:negativeBorderColor rgb="FFFF0000"/>
              <x14:axisColor rgb="FF000000"/>
            </x14:dataBar>
          </x14:cfRule>
          <xm:sqref>AM9 AO9 AQ9 AS9 AU9</xm:sqref>
        </x14:conditionalFormatting>
        <x14:conditionalFormatting xmlns:xm="http://schemas.microsoft.com/office/excel/2006/main">
          <x14:cfRule type="dataBar" id="{B73A1911-7C65-41FA-8417-BEC2C1858EF0}">
            <x14:dataBar minLength="0" maxLength="100" border="1" negativeBarBorderColorSameAsPositive="0">
              <x14:cfvo type="autoMin"/>
              <x14:cfvo type="autoMax"/>
              <x14:borderColor rgb="FF63C384"/>
              <x14:negativeFillColor rgb="FFFF0000"/>
              <x14:negativeBorderColor rgb="FFFF0000"/>
              <x14:axisColor rgb="FF000000"/>
            </x14:dataBar>
          </x14:cfRule>
          <xm:sqref>AM10 AO10 AQ10 AS10 AU10</xm:sqref>
        </x14:conditionalFormatting>
        <x14:conditionalFormatting xmlns:xm="http://schemas.microsoft.com/office/excel/2006/main">
          <x14:cfRule type="dataBar" id="{3A0F8663-B70A-4354-BDCE-95BC6D195B1C}">
            <x14:dataBar minLength="0" maxLength="100" border="1" negativeBarBorderColorSameAsPositive="0">
              <x14:cfvo type="autoMin"/>
              <x14:cfvo type="autoMax"/>
              <x14:borderColor rgb="FF63C384"/>
              <x14:negativeFillColor rgb="FFFF0000"/>
              <x14:negativeBorderColor rgb="FFFF0000"/>
              <x14:axisColor rgb="FF000000"/>
            </x14:dataBar>
          </x14:cfRule>
          <xm:sqref>AM11 AO11 AQ11 AS11 AU11</xm:sqref>
        </x14:conditionalFormatting>
        <x14:conditionalFormatting xmlns:xm="http://schemas.microsoft.com/office/excel/2006/main">
          <x14:cfRule type="dataBar" id="{951616C8-28DB-4148-BE5F-1912EA1048A7}">
            <x14:dataBar minLength="0" maxLength="100" border="1" negativeBarBorderColorSameAsPositive="0">
              <x14:cfvo type="autoMin"/>
              <x14:cfvo type="autoMax"/>
              <x14:borderColor rgb="FF63C384"/>
              <x14:negativeFillColor rgb="FFFF0000"/>
              <x14:negativeBorderColor rgb="FFFF0000"/>
              <x14:axisColor rgb="FF000000"/>
            </x14:dataBar>
          </x14:cfRule>
          <xm:sqref>AO3 AM3 AQ3 AS3 AU3</xm:sqref>
        </x14:conditionalFormatting>
        <x14:conditionalFormatting xmlns:xm="http://schemas.microsoft.com/office/excel/2006/main">
          <x14:cfRule type="dataBar" id="{705434C0-E40A-41B5-9CD8-293E46FE3C19}">
            <x14:dataBar minLength="0" maxLength="100" border="1" negativeBarBorderColorSameAsPositive="0">
              <x14:cfvo type="autoMin"/>
              <x14:cfvo type="autoMax"/>
              <x14:borderColor rgb="FF63C384"/>
              <x14:negativeFillColor rgb="FFFF0000"/>
              <x14:negativeBorderColor rgb="FFFF0000"/>
              <x14:axisColor rgb="FF000000"/>
            </x14:dataBar>
          </x14:cfRule>
          <xm:sqref>AO5 AM5 AQ5 AS5 AU5</xm:sqref>
        </x14:conditionalFormatting>
        <x14:conditionalFormatting xmlns:xm="http://schemas.microsoft.com/office/excel/2006/main">
          <x14:cfRule type="dataBar" id="{2AFCDBA7-55F0-4194-A357-0DF42AFF6A1C}">
            <x14:dataBar minLength="0" maxLength="100" border="1" negativeBarBorderColorSameAsPositive="0">
              <x14:cfvo type="autoMin"/>
              <x14:cfvo type="autoMax"/>
              <x14:borderColor rgb="FF63C384"/>
              <x14:negativeFillColor rgb="FFFF0000"/>
              <x14:negativeBorderColor rgb="FFFF0000"/>
              <x14:axisColor rgb="FF000000"/>
            </x14:dataBar>
          </x14:cfRule>
          <xm:sqref>AO6 AM6 AQ6 AS6 AU6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C49DB-DDB9-4E29-9854-17F60E0A14EB}">
  <dimension ref="A1:CE78"/>
  <sheetViews>
    <sheetView zoomScale="70" zoomScaleNormal="70" workbookViewId="0">
      <pane xSplit="2" ySplit="1" topLeftCell="AI7" activePane="bottomRight" state="frozen"/>
      <selection pane="topRight" activeCell="D1" sqref="D1"/>
      <selection pane="bottomLeft" activeCell="A4" sqref="A4"/>
      <selection pane="bottomRight" activeCell="AN13" sqref="AN13"/>
    </sheetView>
  </sheetViews>
  <sheetFormatPr defaultRowHeight="13.2"/>
  <cols>
    <col min="1" max="1" width="17.5546875" style="2" bestFit="1" customWidth="1"/>
    <col min="2" max="2" width="67.44140625" style="3" customWidth="1"/>
    <col min="3" max="3" width="2.77734375" style="1" customWidth="1"/>
    <col min="4" max="4" width="12.33203125" style="1" customWidth="1"/>
    <col min="5" max="5" width="15.109375" style="1" customWidth="1"/>
    <col min="6" max="6" width="13.5546875" style="1" bestFit="1" customWidth="1"/>
    <col min="7" max="7" width="10" style="1" customWidth="1"/>
    <col min="8" max="8" width="13.21875" style="1" bestFit="1" customWidth="1"/>
    <col min="9" max="9" width="12.44140625" style="1" bestFit="1" customWidth="1"/>
    <col min="10" max="10" width="2.77734375" style="1" customWidth="1"/>
    <col min="11" max="11" width="20.44140625" style="1" customWidth="1"/>
    <col min="12" max="31" width="14.5546875" style="1" customWidth="1"/>
    <col min="32" max="32" width="2.77734375" style="1" customWidth="1"/>
    <col min="33" max="33" width="15.33203125" style="1" bestFit="1" customWidth="1"/>
    <col min="34" max="34" width="23" style="2" customWidth="1"/>
    <col min="35" max="35" width="17.44140625" style="1" bestFit="1" customWidth="1"/>
    <col min="36" max="36" width="10.6640625" style="2" bestFit="1" customWidth="1"/>
    <col min="37" max="37" width="11.88671875" style="2" customWidth="1"/>
    <col min="38" max="38" width="2.88671875" style="2" customWidth="1"/>
    <col min="39" max="39" width="15.33203125" style="2" customWidth="1"/>
    <col min="40" max="40" width="25" style="1" customWidth="1"/>
    <col min="41" max="41" width="14.6640625" style="1" bestFit="1" customWidth="1"/>
    <col min="42" max="43" width="12.77734375" style="2" customWidth="1"/>
    <col min="44" max="44" width="11.6640625" style="2" customWidth="1"/>
    <col min="45" max="45" width="2.88671875" style="2" customWidth="1"/>
    <col min="46" max="47" width="22.33203125" style="2" customWidth="1"/>
    <col min="48" max="48" width="17.88671875" style="2" bestFit="1" customWidth="1"/>
    <col min="49" max="49" width="22.33203125" style="2" customWidth="1"/>
    <col min="50" max="50" width="17.88671875" style="2" bestFit="1" customWidth="1"/>
    <col min="51" max="51" width="22.33203125" style="2" customWidth="1"/>
    <col min="52" max="52" width="17.88671875" style="2" bestFit="1" customWidth="1"/>
    <col min="53" max="53" width="22.33203125" style="2" customWidth="1"/>
    <col min="54" max="54" width="17.88671875" style="2" bestFit="1" customWidth="1"/>
    <col min="55" max="55" width="22.33203125" style="2" customWidth="1"/>
    <col min="56" max="56" width="17.88671875" style="2" bestFit="1" customWidth="1"/>
    <col min="57" max="57" width="22.33203125" style="2" customWidth="1"/>
    <col min="58" max="58" width="17.88671875" style="2" bestFit="1" customWidth="1"/>
    <col min="59" max="59" width="22.33203125" style="2" customWidth="1"/>
    <col min="60" max="60" width="17.88671875" style="2" bestFit="1" customWidth="1"/>
    <col min="61" max="61" width="22.33203125" style="2" customWidth="1"/>
    <col min="62" max="62" width="17.88671875" style="2" bestFit="1" customWidth="1"/>
    <col min="63" max="63" width="22.33203125" style="2" customWidth="1"/>
    <col min="64" max="64" width="17.88671875" style="2" bestFit="1" customWidth="1"/>
    <col min="65" max="65" width="22.33203125" style="2" customWidth="1"/>
    <col min="66" max="66" width="17.88671875" style="2" bestFit="1" customWidth="1"/>
    <col min="67" max="67" width="2.88671875" style="2" customWidth="1"/>
    <col min="68" max="68" width="35.5546875" style="1" customWidth="1"/>
    <col min="69" max="69" width="18" style="1" bestFit="1" customWidth="1"/>
    <col min="70" max="70" width="14.88671875" style="1" customWidth="1"/>
    <col min="71" max="71" width="15.5546875" style="1" bestFit="1" customWidth="1"/>
    <col min="72" max="72" width="16.77734375" style="1" bestFit="1" customWidth="1"/>
    <col min="73" max="73" width="17.109375" style="1" bestFit="1" customWidth="1"/>
    <col min="74" max="74" width="16.77734375" style="1" bestFit="1" customWidth="1"/>
    <col min="75" max="75" width="16" style="1" bestFit="1" customWidth="1"/>
    <col min="76" max="76" width="16.77734375" style="1" bestFit="1" customWidth="1"/>
    <col min="77" max="77" width="18" style="1" bestFit="1" customWidth="1"/>
    <col min="78" max="78" width="16.77734375" style="1" bestFit="1" customWidth="1"/>
    <col min="79" max="79" width="2.88671875" style="1" customWidth="1"/>
    <col min="80" max="83" width="8.88671875" style="1"/>
    <col min="84" max="16384" width="8.88671875" style="2"/>
  </cols>
  <sheetData>
    <row r="1" spans="1:79" ht="89.4" customHeight="1">
      <c r="A1" s="7" t="s">
        <v>0</v>
      </c>
      <c r="B1" s="8" t="s">
        <v>1</v>
      </c>
      <c r="C1" s="15"/>
      <c r="D1" s="6" t="s">
        <v>128</v>
      </c>
      <c r="E1" s="6" t="s">
        <v>126</v>
      </c>
      <c r="F1" s="6" t="s">
        <v>127</v>
      </c>
      <c r="G1" s="6" t="s">
        <v>129</v>
      </c>
      <c r="H1" s="6" t="s">
        <v>130</v>
      </c>
      <c r="I1" s="6" t="s">
        <v>131</v>
      </c>
      <c r="J1" s="15"/>
      <c r="K1" s="6" t="s">
        <v>164</v>
      </c>
      <c r="L1" s="5" t="s">
        <v>195</v>
      </c>
      <c r="M1" s="32" t="s">
        <v>198</v>
      </c>
      <c r="N1" s="5" t="s">
        <v>196</v>
      </c>
      <c r="O1" s="32" t="s">
        <v>197</v>
      </c>
      <c r="P1" s="5" t="s">
        <v>199</v>
      </c>
      <c r="Q1" s="32" t="s">
        <v>200</v>
      </c>
      <c r="R1" s="5" t="s">
        <v>201</v>
      </c>
      <c r="S1" s="32" t="s">
        <v>202</v>
      </c>
      <c r="T1" s="5" t="s">
        <v>203</v>
      </c>
      <c r="U1" s="32" t="s">
        <v>204</v>
      </c>
      <c r="V1" s="5" t="s">
        <v>205</v>
      </c>
      <c r="W1" s="32" t="s">
        <v>206</v>
      </c>
      <c r="X1" s="5" t="s">
        <v>207</v>
      </c>
      <c r="Y1" s="32" t="s">
        <v>208</v>
      </c>
      <c r="Z1" s="5" t="s">
        <v>209</v>
      </c>
      <c r="AA1" s="32" t="s">
        <v>210</v>
      </c>
      <c r="AB1" s="5" t="s">
        <v>211</v>
      </c>
      <c r="AC1" s="32" t="s">
        <v>212</v>
      </c>
      <c r="AD1" s="5" t="s">
        <v>170</v>
      </c>
      <c r="AE1" s="32" t="s">
        <v>169</v>
      </c>
      <c r="AF1" s="15"/>
      <c r="AG1" s="6" t="s">
        <v>117</v>
      </c>
      <c r="AH1" s="6" t="s">
        <v>78</v>
      </c>
      <c r="AI1" s="6" t="s">
        <v>34</v>
      </c>
      <c r="AJ1" s="7" t="s">
        <v>30</v>
      </c>
      <c r="AK1" s="7" t="s">
        <v>31</v>
      </c>
      <c r="AL1" s="14"/>
      <c r="AM1" s="22" t="s">
        <v>117</v>
      </c>
      <c r="AN1" s="6" t="s">
        <v>77</v>
      </c>
      <c r="AO1" s="6" t="s">
        <v>115</v>
      </c>
      <c r="AP1" s="7" t="s">
        <v>114</v>
      </c>
      <c r="AQ1" s="7" t="s">
        <v>31</v>
      </c>
      <c r="AR1" s="6" t="s">
        <v>116</v>
      </c>
      <c r="AS1" s="14"/>
      <c r="AT1" s="6" t="s">
        <v>118</v>
      </c>
      <c r="AU1" s="5" t="s">
        <v>186</v>
      </c>
      <c r="AV1" s="32" t="s">
        <v>219</v>
      </c>
      <c r="AW1" s="5" t="s">
        <v>215</v>
      </c>
      <c r="AX1" s="32" t="s">
        <v>220</v>
      </c>
      <c r="AY1" s="5" t="s">
        <v>188</v>
      </c>
      <c r="AZ1" s="32" t="s">
        <v>221</v>
      </c>
      <c r="BA1" s="5" t="s">
        <v>216</v>
      </c>
      <c r="BB1" s="32" t="s">
        <v>222</v>
      </c>
      <c r="BC1" s="5" t="s">
        <v>190</v>
      </c>
      <c r="BD1" s="32" t="s">
        <v>223</v>
      </c>
      <c r="BE1" s="5" t="s">
        <v>217</v>
      </c>
      <c r="BF1" s="32" t="s">
        <v>224</v>
      </c>
      <c r="BG1" s="5" t="s">
        <v>192</v>
      </c>
      <c r="BH1" s="32" t="s">
        <v>225</v>
      </c>
      <c r="BI1" s="5" t="s">
        <v>193</v>
      </c>
      <c r="BJ1" s="32" t="s">
        <v>226</v>
      </c>
      <c r="BK1" s="5" t="s">
        <v>218</v>
      </c>
      <c r="BL1" s="32" t="s">
        <v>227</v>
      </c>
      <c r="BM1" s="5" t="s">
        <v>123</v>
      </c>
      <c r="BN1" s="32" t="s">
        <v>228</v>
      </c>
      <c r="BO1" s="24"/>
      <c r="BP1" s="6" t="s">
        <v>229</v>
      </c>
      <c r="BQ1" s="6" t="s">
        <v>3</v>
      </c>
      <c r="BR1" s="32" t="s">
        <v>31</v>
      </c>
      <c r="BS1" s="6" t="s">
        <v>4</v>
      </c>
      <c r="BT1" s="32" t="s">
        <v>31</v>
      </c>
      <c r="BU1" s="6" t="s">
        <v>5</v>
      </c>
      <c r="BV1" s="32" t="s">
        <v>31</v>
      </c>
      <c r="BW1" s="6" t="s">
        <v>6</v>
      </c>
      <c r="BX1" s="32" t="s">
        <v>31</v>
      </c>
      <c r="BY1" s="6" t="s">
        <v>7</v>
      </c>
      <c r="BZ1" s="32" t="s">
        <v>31</v>
      </c>
      <c r="CA1" s="15"/>
    </row>
    <row r="2" spans="1:79" ht="79.2">
      <c r="A2" s="7" t="s">
        <v>15</v>
      </c>
      <c r="B2" s="8" t="s">
        <v>18</v>
      </c>
      <c r="C2" s="15"/>
      <c r="D2" s="5" t="str">
        <f>LEFT(B37,1)</f>
        <v>1</v>
      </c>
      <c r="E2" s="6" t="str">
        <f>RIGHT(B37,((LEN(B37)-4)))</f>
        <v>Strongly Disagree</v>
      </c>
      <c r="F2" s="5">
        <f>D6-D2</f>
        <v>4</v>
      </c>
      <c r="G2" s="27">
        <f>F2/D6</f>
        <v>0.8</v>
      </c>
      <c r="H2" s="27" t="str">
        <f>D2</f>
        <v>1</v>
      </c>
      <c r="I2" s="27">
        <f>H2+G2</f>
        <v>1.8</v>
      </c>
      <c r="J2" s="15"/>
      <c r="K2" s="5" t="s">
        <v>165</v>
      </c>
      <c r="L2" s="5" t="s">
        <v>5</v>
      </c>
      <c r="M2" s="35" t="str">
        <f>LEFT(L2,1)</f>
        <v>3</v>
      </c>
      <c r="N2" s="5" t="s">
        <v>6</v>
      </c>
      <c r="O2" s="26" t="str">
        <f>LEFT(N2,1)</f>
        <v>4</v>
      </c>
      <c r="P2" s="5" t="s">
        <v>6</v>
      </c>
      <c r="Q2" s="26" t="str">
        <f>LEFT(P2,1)</f>
        <v>4</v>
      </c>
      <c r="R2" s="5" t="s">
        <v>5</v>
      </c>
      <c r="S2" s="26" t="str">
        <f>LEFT(R2,1)</f>
        <v>3</v>
      </c>
      <c r="T2" s="5" t="s">
        <v>6</v>
      </c>
      <c r="U2" s="26" t="str">
        <f>LEFT(T2,1)</f>
        <v>4</v>
      </c>
      <c r="V2" s="5" t="s">
        <v>5</v>
      </c>
      <c r="W2" s="26" t="str">
        <f>LEFT(V2,1)</f>
        <v>3</v>
      </c>
      <c r="X2" s="5" t="s">
        <v>5</v>
      </c>
      <c r="Y2" s="26" t="str">
        <f>LEFT(X2,1)</f>
        <v>3</v>
      </c>
      <c r="Z2" s="5" t="s">
        <v>5</v>
      </c>
      <c r="AA2" s="26" t="str">
        <f>LEFT(Z2,1)</f>
        <v>3</v>
      </c>
      <c r="AB2" s="5" t="s">
        <v>5</v>
      </c>
      <c r="AC2" s="26" t="str">
        <f>LEFT(AB2,1)</f>
        <v>3</v>
      </c>
      <c r="AD2" s="5" t="s">
        <v>6</v>
      </c>
      <c r="AE2" s="26" t="str">
        <f>LEFT(AD2,1)</f>
        <v>4</v>
      </c>
      <c r="AF2" s="15"/>
      <c r="AG2" s="139">
        <v>1.01</v>
      </c>
      <c r="AH2" s="127" t="s">
        <v>83</v>
      </c>
      <c r="AI2" s="5" t="s">
        <v>27</v>
      </c>
      <c r="AJ2" s="4">
        <v>28</v>
      </c>
      <c r="AK2" s="20">
        <f>AJ2/(SUM($AJ$2:$AJ$4))</f>
        <v>0.77777777777777779</v>
      </c>
      <c r="AL2" s="14"/>
      <c r="AM2" s="7">
        <v>2.0099999999999998</v>
      </c>
      <c r="AN2" s="6" t="s">
        <v>53</v>
      </c>
      <c r="AO2" s="19">
        <f t="shared" ref="AO2:AO11" si="0">RANK(AP2,$AP$2:$AP$11,0)</f>
        <v>1</v>
      </c>
      <c r="AP2" s="4">
        <v>241</v>
      </c>
      <c r="AQ2" s="36">
        <f>AP2/(SUM($AP$2:$AP$11))</f>
        <v>0.20235096557514692</v>
      </c>
      <c r="AR2" s="17">
        <f>AP2/$F$8</f>
        <v>6.6944444444444446</v>
      </c>
      <c r="AS2" s="14"/>
      <c r="AT2" s="6" t="s">
        <v>3</v>
      </c>
      <c r="AU2" s="5">
        <v>2</v>
      </c>
      <c r="AV2" s="25">
        <f>AU2/(SUM($AU$2:$AU$6))</f>
        <v>5.5555555555555552E-2</v>
      </c>
      <c r="AW2" s="5">
        <v>0</v>
      </c>
      <c r="AX2" s="25">
        <f>AW2/(SUM($AW$2:$AW$6))</f>
        <v>0</v>
      </c>
      <c r="AY2" s="5">
        <v>0</v>
      </c>
      <c r="AZ2" s="25">
        <f>AY2/(SUM($AY$2:$AY$6))</f>
        <v>0</v>
      </c>
      <c r="BA2" s="5">
        <v>0</v>
      </c>
      <c r="BB2" s="25">
        <f>BA2/(SUM($BA$2:$BA$6))</f>
        <v>0</v>
      </c>
      <c r="BC2" s="5">
        <v>0</v>
      </c>
      <c r="BD2" s="25">
        <f>BC2/(SUM($BC$2:$BC$6))</f>
        <v>0</v>
      </c>
      <c r="BE2" s="5">
        <v>3</v>
      </c>
      <c r="BF2" s="25">
        <f>BE2/(SUM($BE$2:$BE$6))</f>
        <v>8.3333333333333329E-2</v>
      </c>
      <c r="BG2" s="5">
        <v>0</v>
      </c>
      <c r="BH2" s="25">
        <f>BG2/(SUM($BG$2:$BG$6))</f>
        <v>0</v>
      </c>
      <c r="BI2" s="5">
        <v>2</v>
      </c>
      <c r="BJ2" s="25">
        <f>BI2/(SUM($BI$2:$BI$6))</f>
        <v>5.5555555555555552E-2</v>
      </c>
      <c r="BK2" s="5">
        <v>0</v>
      </c>
      <c r="BL2" s="25">
        <f>BK2/(SUM($BK$2:$BK$6))</f>
        <v>0</v>
      </c>
      <c r="BM2" s="5">
        <v>0</v>
      </c>
      <c r="BN2" s="25">
        <f>BM2/(SUM($BM$2:$BM$6))</f>
        <v>0</v>
      </c>
      <c r="BO2" s="24"/>
      <c r="BP2" s="5" t="s">
        <v>13</v>
      </c>
      <c r="BQ2" s="6">
        <v>2</v>
      </c>
      <c r="BR2" s="18">
        <f>BQ2/(SUM($BQ$2,$BS$2,$BU$2,$BW$2,$BY$2))</f>
        <v>5.5555555555555552E-2</v>
      </c>
      <c r="BS2" s="6">
        <v>4</v>
      </c>
      <c r="BT2" s="18">
        <f>BS2/(SUM($BQ$2,$BS$2,$BU$2,$BW$2,$BY$2))</f>
        <v>0.1111111111111111</v>
      </c>
      <c r="BU2" s="6">
        <v>21</v>
      </c>
      <c r="BV2" s="18">
        <f>BU2/(SUM($BQ$2,$BS$2,$BU$2,$BW$2,$BY$2))</f>
        <v>0.58333333333333337</v>
      </c>
      <c r="BW2" s="6">
        <v>8</v>
      </c>
      <c r="BX2" s="18">
        <f>BW2/(SUM($BQ$2,$BS$2,$BU$2,$BW$2,$BY$2))</f>
        <v>0.22222222222222221</v>
      </c>
      <c r="BY2" s="6">
        <v>1</v>
      </c>
      <c r="BZ2" s="18">
        <f>BY2/(SUM($BQ$2,$BS$2,$BU$2,$BW$2,$BY$2))</f>
        <v>2.7777777777777776E-2</v>
      </c>
      <c r="CA2" s="15"/>
    </row>
    <row r="3" spans="1:79" ht="55.2" customHeight="1">
      <c r="A3" s="118" t="s">
        <v>23</v>
      </c>
      <c r="B3" s="8" t="s">
        <v>67</v>
      </c>
      <c r="C3" s="15"/>
      <c r="D3" s="5" t="str">
        <f t="shared" ref="D3:D6" si="1">LEFT(B38,1)</f>
        <v>2</v>
      </c>
      <c r="E3" s="6" t="str">
        <f t="shared" ref="E3:E6" si="2">RIGHT(B38,((LEN(B38)-4)))</f>
        <v>Disagree</v>
      </c>
      <c r="F3" s="5">
        <f>F2</f>
        <v>4</v>
      </c>
      <c r="G3" s="27">
        <f>G2</f>
        <v>0.8</v>
      </c>
      <c r="H3" s="27">
        <f>I2+0.01</f>
        <v>1.81</v>
      </c>
      <c r="I3" s="27">
        <f>I2+G3</f>
        <v>2.6</v>
      </c>
      <c r="J3" s="15"/>
      <c r="K3" s="5" t="s">
        <v>166</v>
      </c>
      <c r="L3" s="5" t="s">
        <v>4</v>
      </c>
      <c r="M3" s="35" t="str">
        <f t="shared" ref="M3:M37" si="3">LEFT(L3,1)</f>
        <v>2</v>
      </c>
      <c r="N3" s="5" t="s">
        <v>7</v>
      </c>
      <c r="O3" s="26" t="str">
        <f t="shared" ref="O3:O37" si="4">LEFT(N3,1)</f>
        <v>5</v>
      </c>
      <c r="P3" s="5" t="s">
        <v>6</v>
      </c>
      <c r="Q3" s="26" t="str">
        <f t="shared" ref="Q3:Q37" si="5">LEFT(P3,1)</f>
        <v>4</v>
      </c>
      <c r="R3" s="5" t="s">
        <v>6</v>
      </c>
      <c r="S3" s="26" t="str">
        <f t="shared" ref="S3:S37" si="6">LEFT(R3,1)</f>
        <v>4</v>
      </c>
      <c r="T3" s="5" t="s">
        <v>6</v>
      </c>
      <c r="U3" s="26" t="str">
        <f t="shared" ref="U3:U37" si="7">LEFT(T3,1)</f>
        <v>4</v>
      </c>
      <c r="V3" s="5" t="s">
        <v>6</v>
      </c>
      <c r="W3" s="26" t="str">
        <f t="shared" ref="W3:W37" si="8">LEFT(V3,1)</f>
        <v>4</v>
      </c>
      <c r="X3" s="5" t="s">
        <v>5</v>
      </c>
      <c r="Y3" s="26" t="str">
        <f t="shared" ref="Y3:Y37" si="9">LEFT(X3,1)</f>
        <v>3</v>
      </c>
      <c r="Z3" s="5" t="s">
        <v>3</v>
      </c>
      <c r="AA3" s="26" t="str">
        <f t="shared" ref="AA3:AA37" si="10">LEFT(Z3,1)</f>
        <v>1</v>
      </c>
      <c r="AB3" s="5" t="s">
        <v>5</v>
      </c>
      <c r="AC3" s="26" t="str">
        <f t="shared" ref="AC3:AC37" si="11">LEFT(AB3,1)</f>
        <v>3</v>
      </c>
      <c r="AD3" s="5" t="s">
        <v>4</v>
      </c>
      <c r="AE3" s="26" t="str">
        <f t="shared" ref="AE3:AE37" si="12">LEFT(AD3,1)</f>
        <v>2</v>
      </c>
      <c r="AF3" s="15"/>
      <c r="AG3" s="139"/>
      <c r="AH3" s="128"/>
      <c r="AI3" s="5" t="s">
        <v>28</v>
      </c>
      <c r="AJ3" s="4">
        <v>6</v>
      </c>
      <c r="AK3" s="20">
        <f>AJ3/(SUM($AJ$2:$AJ$4))</f>
        <v>0.16666666666666666</v>
      </c>
      <c r="AL3" s="14"/>
      <c r="AM3" s="7">
        <v>2.02</v>
      </c>
      <c r="AN3" s="6" t="s">
        <v>2</v>
      </c>
      <c r="AO3" s="19">
        <f>RANK(AP3,$AP$2:$AP$11,0)</f>
        <v>2</v>
      </c>
      <c r="AP3" s="4">
        <v>235</v>
      </c>
      <c r="AQ3" s="36">
        <f t="shared" ref="AQ3:AQ11" si="13">AP3/(SUM($AP$2:$AP$11))</f>
        <v>0.19731318219983207</v>
      </c>
      <c r="AR3" s="17">
        <f t="shared" ref="AR3:AR10" si="14">AP3/$F$8</f>
        <v>6.5277777777777777</v>
      </c>
      <c r="AS3" s="14"/>
      <c r="AT3" s="6" t="s">
        <v>4</v>
      </c>
      <c r="AU3" s="5">
        <v>4</v>
      </c>
      <c r="AV3" s="25">
        <f t="shared" ref="AV3:AV6" si="15">AU3/(SUM($AU$2:$AU$6))</f>
        <v>0.1111111111111111</v>
      </c>
      <c r="AW3" s="5">
        <v>0</v>
      </c>
      <c r="AX3" s="25">
        <f>AW3/(SUM($AW$2:$AW$6))</f>
        <v>0</v>
      </c>
      <c r="AY3" s="5">
        <v>1</v>
      </c>
      <c r="AZ3" s="25">
        <f>AY3/(SUM($AY$2:$AY$6))</f>
        <v>2.7777777777777776E-2</v>
      </c>
      <c r="BA3" s="5">
        <v>1</v>
      </c>
      <c r="BB3" s="25">
        <f>BA3/(SUM($BA$2:$BA$6))</f>
        <v>2.7777777777777776E-2</v>
      </c>
      <c r="BC3" s="5">
        <v>0</v>
      </c>
      <c r="BD3" s="25">
        <f>BC3/(SUM($BC$2:$BC$6))</f>
        <v>0</v>
      </c>
      <c r="BE3" s="5">
        <v>2</v>
      </c>
      <c r="BF3" s="25">
        <f>BE3/(SUM($BE$2:$BE$6))</f>
        <v>5.5555555555555552E-2</v>
      </c>
      <c r="BG3" s="5">
        <v>0</v>
      </c>
      <c r="BH3" s="25">
        <f>BG3/(SUM($BG$2:$BG$6))</f>
        <v>0</v>
      </c>
      <c r="BI3" s="5">
        <v>1</v>
      </c>
      <c r="BJ3" s="25">
        <f>BI3/(SUM($BI$2:$BI$6))</f>
        <v>2.7777777777777776E-2</v>
      </c>
      <c r="BK3" s="5">
        <v>0</v>
      </c>
      <c r="BL3" s="25">
        <f>BK3/(SUM($BK$2:$BK$6))</f>
        <v>0</v>
      </c>
      <c r="BM3" s="5">
        <v>3</v>
      </c>
      <c r="BN3" s="25">
        <f>BM3/(SUM($BM$2:$BM$6))</f>
        <v>8.3333333333333329E-2</v>
      </c>
      <c r="BO3" s="24"/>
      <c r="BP3" s="5" t="s">
        <v>62</v>
      </c>
      <c r="BQ3" s="6">
        <v>0</v>
      </c>
      <c r="BR3" s="18">
        <f>BQ3/(SUM($BQ$3,$BS$3,$BU$3,$BW$3,$BY$3))</f>
        <v>0</v>
      </c>
      <c r="BS3" s="6">
        <v>0</v>
      </c>
      <c r="BT3" s="18">
        <f>BS3/(SUM($BQ$3,$BS$3,$BU$3,$BW$3,$BY$3))</f>
        <v>0</v>
      </c>
      <c r="BU3" s="6">
        <v>4</v>
      </c>
      <c r="BV3" s="18">
        <f>BU3/(SUM($BQ$3,$BS$3,$BU$3,$BW$3,$BY$3))</f>
        <v>0.1111111111111111</v>
      </c>
      <c r="BW3" s="6">
        <v>17</v>
      </c>
      <c r="BX3" s="18">
        <f>BW3/(SUM($BQ$3,$BS$3,$BU$3,$BW$3,$BY$3))</f>
        <v>0.47222222222222221</v>
      </c>
      <c r="BY3" s="6">
        <v>15</v>
      </c>
      <c r="BZ3" s="18">
        <f>BY3/(SUM($BQ$3,$BS$3,$BU$3,$BW$3,$BY$3))</f>
        <v>0.41666666666666669</v>
      </c>
      <c r="CA3" s="15"/>
    </row>
    <row r="4" spans="1:79" ht="55.2" customHeight="1">
      <c r="A4" s="119"/>
      <c r="B4" s="8" t="s">
        <v>68</v>
      </c>
      <c r="C4" s="15"/>
      <c r="D4" s="5" t="str">
        <f t="shared" si="1"/>
        <v>3</v>
      </c>
      <c r="E4" s="6" t="str">
        <f t="shared" si="2"/>
        <v>Neutral</v>
      </c>
      <c r="F4" s="5">
        <f t="shared" ref="F4:F6" si="16">F3</f>
        <v>4</v>
      </c>
      <c r="G4" s="27">
        <f t="shared" ref="G4:G6" si="17">G3</f>
        <v>0.8</v>
      </c>
      <c r="H4" s="27">
        <f>I3+0.01</f>
        <v>2.61</v>
      </c>
      <c r="I4" s="27">
        <f t="shared" ref="I4:I6" si="18">I3+G4</f>
        <v>3.4000000000000004</v>
      </c>
      <c r="J4" s="15"/>
      <c r="K4" s="5" t="s">
        <v>167</v>
      </c>
      <c r="L4" s="5" t="s">
        <v>7</v>
      </c>
      <c r="M4" s="35" t="str">
        <f t="shared" si="3"/>
        <v>5</v>
      </c>
      <c r="N4" s="5" t="s">
        <v>7</v>
      </c>
      <c r="O4" s="26" t="str">
        <f t="shared" si="4"/>
        <v>5</v>
      </c>
      <c r="P4" s="5" t="s">
        <v>7</v>
      </c>
      <c r="Q4" s="26" t="str">
        <f t="shared" si="5"/>
        <v>5</v>
      </c>
      <c r="R4" s="5" t="s">
        <v>7</v>
      </c>
      <c r="S4" s="26" t="str">
        <f t="shared" si="6"/>
        <v>5</v>
      </c>
      <c r="T4" s="5" t="s">
        <v>7</v>
      </c>
      <c r="U4" s="26" t="str">
        <f t="shared" si="7"/>
        <v>5</v>
      </c>
      <c r="V4" s="5" t="s">
        <v>7</v>
      </c>
      <c r="W4" s="26" t="str">
        <f t="shared" si="8"/>
        <v>5</v>
      </c>
      <c r="X4" s="5" t="s">
        <v>7</v>
      </c>
      <c r="Y4" s="26" t="str">
        <f t="shared" si="9"/>
        <v>5</v>
      </c>
      <c r="Z4" s="5" t="s">
        <v>7</v>
      </c>
      <c r="AA4" s="26" t="str">
        <f t="shared" si="10"/>
        <v>5</v>
      </c>
      <c r="AB4" s="5" t="s">
        <v>6</v>
      </c>
      <c r="AC4" s="26" t="str">
        <f t="shared" si="11"/>
        <v>4</v>
      </c>
      <c r="AD4" s="5" t="s">
        <v>5</v>
      </c>
      <c r="AE4" s="26" t="str">
        <f t="shared" si="12"/>
        <v>3</v>
      </c>
      <c r="AF4" s="15"/>
      <c r="AG4" s="139"/>
      <c r="AH4" s="129"/>
      <c r="AI4" s="5" t="s">
        <v>29</v>
      </c>
      <c r="AJ4" s="4">
        <v>2</v>
      </c>
      <c r="AK4" s="20">
        <f>AJ4/(SUM($AJ$2:$AJ$4))</f>
        <v>5.5555555555555552E-2</v>
      </c>
      <c r="AL4" s="14"/>
      <c r="AM4" s="7">
        <v>2.0299999999999998</v>
      </c>
      <c r="AN4" s="6" t="s">
        <v>54</v>
      </c>
      <c r="AO4" s="19">
        <f t="shared" si="0"/>
        <v>4</v>
      </c>
      <c r="AP4" s="4">
        <v>111</v>
      </c>
      <c r="AQ4" s="36">
        <f t="shared" si="13"/>
        <v>9.3198992443324941E-2</v>
      </c>
      <c r="AR4" s="17">
        <f t="shared" si="14"/>
        <v>3.0833333333333335</v>
      </c>
      <c r="AS4" s="14"/>
      <c r="AT4" s="6" t="s">
        <v>5</v>
      </c>
      <c r="AU4" s="5">
        <v>21</v>
      </c>
      <c r="AV4" s="25">
        <f t="shared" si="15"/>
        <v>0.58333333333333337</v>
      </c>
      <c r="AW4" s="5">
        <v>4</v>
      </c>
      <c r="AX4" s="25">
        <f>AW4/(SUM($AW$2:$AW$6))</f>
        <v>0.1111111111111111</v>
      </c>
      <c r="AY4" s="5">
        <v>15</v>
      </c>
      <c r="AZ4" s="25">
        <f>AY4/(SUM($AY$2:$AY$6))</f>
        <v>0.41666666666666669</v>
      </c>
      <c r="BA4" s="5">
        <v>8</v>
      </c>
      <c r="BB4" s="25">
        <f>BA4/(SUM($BA$2:$BA$6))</f>
        <v>0.22222222222222221</v>
      </c>
      <c r="BC4" s="5">
        <v>8</v>
      </c>
      <c r="BD4" s="25">
        <f>BC4/(SUM($BC$2:$BC$6))</f>
        <v>0.22222222222222221</v>
      </c>
      <c r="BE4" s="5">
        <v>13</v>
      </c>
      <c r="BF4" s="25">
        <f>BE4/(SUM($BE$2:$BE$6))</f>
        <v>0.3611111111111111</v>
      </c>
      <c r="BG4" s="5">
        <v>10</v>
      </c>
      <c r="BH4" s="25">
        <f>BG4/(SUM($BG$2:$BG$6))</f>
        <v>0.27777777777777779</v>
      </c>
      <c r="BI4" s="5">
        <v>14</v>
      </c>
      <c r="BJ4" s="25">
        <f>BI4/(SUM($BI$2:$BI$6))</f>
        <v>0.3888888888888889</v>
      </c>
      <c r="BK4" s="5">
        <v>16</v>
      </c>
      <c r="BL4" s="25">
        <f>BK4/(SUM($BK$2:$BK$6))</f>
        <v>0.44444444444444442</v>
      </c>
      <c r="BM4" s="5">
        <v>7</v>
      </c>
      <c r="BN4" s="25">
        <f>BM4/(SUM($BM$2:$BM$6))</f>
        <v>0.19444444444444445</v>
      </c>
      <c r="BO4" s="24"/>
      <c r="BP4" s="5" t="s">
        <v>9</v>
      </c>
      <c r="BQ4" s="6">
        <v>0</v>
      </c>
      <c r="BR4" s="18">
        <f>BQ4/(SUM($BQ$4,$BS$4,$BU$4,$BW$4,$BY$4))</f>
        <v>0</v>
      </c>
      <c r="BS4" s="6">
        <v>1</v>
      </c>
      <c r="BT4" s="18">
        <f>BS4/(SUM($BQ$4,$BS$4,$BU$4,$BW$4,$BY$4))</f>
        <v>2.7777777777777776E-2</v>
      </c>
      <c r="BU4" s="6">
        <v>15</v>
      </c>
      <c r="BV4" s="18">
        <f>BU4/(SUM($BQ$4,$BS$4,$BU$4,$BW$4,$BY$4))</f>
        <v>0.41666666666666669</v>
      </c>
      <c r="BW4" s="6">
        <v>15</v>
      </c>
      <c r="BX4" s="18">
        <f>BW4/(SUM($BQ$4,$BS$4,$BU$4,$BW$4,$BY$4))</f>
        <v>0.41666666666666669</v>
      </c>
      <c r="BY4" s="6">
        <v>5</v>
      </c>
      <c r="BZ4" s="18">
        <f>BY4/(SUM($BQ$4,$BS$4,$BU$4,$BW$4,$BY$4))</f>
        <v>0.1388888888888889</v>
      </c>
      <c r="CA4" s="15"/>
    </row>
    <row r="5" spans="1:79" ht="55.2" customHeight="1">
      <c r="A5" s="119"/>
      <c r="B5" s="8" t="s">
        <v>69</v>
      </c>
      <c r="C5" s="15"/>
      <c r="D5" s="5" t="str">
        <f t="shared" si="1"/>
        <v>4</v>
      </c>
      <c r="E5" s="6" t="str">
        <f t="shared" si="2"/>
        <v>Agree</v>
      </c>
      <c r="F5" s="5">
        <f t="shared" si="16"/>
        <v>4</v>
      </c>
      <c r="G5" s="27">
        <f t="shared" si="17"/>
        <v>0.8</v>
      </c>
      <c r="H5" s="27">
        <f>I4+0.01</f>
        <v>3.41</v>
      </c>
      <c r="I5" s="27">
        <f t="shared" si="18"/>
        <v>4.2</v>
      </c>
      <c r="J5" s="15"/>
      <c r="K5" s="5" t="s">
        <v>168</v>
      </c>
      <c r="L5" s="5" t="s">
        <v>5</v>
      </c>
      <c r="M5" s="35" t="str">
        <f t="shared" si="3"/>
        <v>3</v>
      </c>
      <c r="N5" s="5" t="s">
        <v>6</v>
      </c>
      <c r="O5" s="26" t="str">
        <f t="shared" si="4"/>
        <v>4</v>
      </c>
      <c r="P5" s="5" t="s">
        <v>5</v>
      </c>
      <c r="Q5" s="26" t="str">
        <f t="shared" si="5"/>
        <v>3</v>
      </c>
      <c r="R5" s="5" t="s">
        <v>5</v>
      </c>
      <c r="S5" s="26" t="str">
        <f t="shared" si="6"/>
        <v>3</v>
      </c>
      <c r="T5" s="5" t="s">
        <v>5</v>
      </c>
      <c r="U5" s="26" t="str">
        <f t="shared" si="7"/>
        <v>3</v>
      </c>
      <c r="V5" s="5" t="s">
        <v>4</v>
      </c>
      <c r="W5" s="26" t="str">
        <f t="shared" si="8"/>
        <v>2</v>
      </c>
      <c r="X5" s="5" t="s">
        <v>5</v>
      </c>
      <c r="Y5" s="26" t="str">
        <f t="shared" si="9"/>
        <v>3</v>
      </c>
      <c r="Z5" s="5" t="s">
        <v>5</v>
      </c>
      <c r="AA5" s="26" t="str">
        <f t="shared" si="10"/>
        <v>3</v>
      </c>
      <c r="AB5" s="5" t="s">
        <v>5</v>
      </c>
      <c r="AC5" s="26" t="str">
        <f t="shared" si="11"/>
        <v>3</v>
      </c>
      <c r="AD5" s="5" t="s">
        <v>5</v>
      </c>
      <c r="AE5" s="26" t="str">
        <f t="shared" si="12"/>
        <v>3</v>
      </c>
      <c r="AF5" s="15"/>
      <c r="AG5" s="139">
        <v>1.02</v>
      </c>
      <c r="AH5" s="130" t="s">
        <v>84</v>
      </c>
      <c r="AI5" s="5" t="s">
        <v>32</v>
      </c>
      <c r="AJ5" s="4">
        <v>0</v>
      </c>
      <c r="AK5" s="20">
        <f>AJ5/(SUM($AJ$5:$AJ$9))</f>
        <v>0</v>
      </c>
      <c r="AL5" s="14"/>
      <c r="AM5" s="7">
        <v>2.04</v>
      </c>
      <c r="AN5" s="6" t="s">
        <v>55</v>
      </c>
      <c r="AO5" s="19">
        <f t="shared" si="0"/>
        <v>6</v>
      </c>
      <c r="AP5" s="4">
        <v>88</v>
      </c>
      <c r="AQ5" s="36">
        <f t="shared" si="13"/>
        <v>7.3887489504617973E-2</v>
      </c>
      <c r="AR5" s="17">
        <f t="shared" si="14"/>
        <v>2.4444444444444446</v>
      </c>
      <c r="AS5" s="14"/>
      <c r="AT5" s="6" t="s">
        <v>6</v>
      </c>
      <c r="AU5" s="5">
        <v>8</v>
      </c>
      <c r="AV5" s="25">
        <f t="shared" si="15"/>
        <v>0.22222222222222221</v>
      </c>
      <c r="AW5" s="5">
        <v>17</v>
      </c>
      <c r="AX5" s="25">
        <f>AW5/(SUM($AW$2:$AW$6))</f>
        <v>0.47222222222222221</v>
      </c>
      <c r="AY5" s="5">
        <v>15</v>
      </c>
      <c r="AZ5" s="25">
        <f>AY5/(SUM($AY$2:$AY$6))</f>
        <v>0.41666666666666669</v>
      </c>
      <c r="BA5" s="5">
        <v>19</v>
      </c>
      <c r="BB5" s="25">
        <f>BA5/(SUM($BA$2:$BA$6))</f>
        <v>0.52777777777777779</v>
      </c>
      <c r="BC5" s="5">
        <v>21</v>
      </c>
      <c r="BD5" s="25">
        <f>BC5/(SUM($BC$2:$BC$6))</f>
        <v>0.58333333333333337</v>
      </c>
      <c r="BE5" s="5">
        <v>16</v>
      </c>
      <c r="BF5" s="25">
        <f>BE5/(SUM($BE$2:$BE$6))</f>
        <v>0.44444444444444442</v>
      </c>
      <c r="BG5" s="5">
        <v>15</v>
      </c>
      <c r="BH5" s="25">
        <f>BG5/(SUM($BG$2:$BG$6))</f>
        <v>0.41666666666666669</v>
      </c>
      <c r="BI5" s="5">
        <v>10</v>
      </c>
      <c r="BJ5" s="25">
        <f>BI5/(SUM($BI$2:$BI$6))</f>
        <v>0.27777777777777779</v>
      </c>
      <c r="BK5" s="5">
        <v>12</v>
      </c>
      <c r="BL5" s="25">
        <f>BK5/(SUM($BK$2:$BK$6))</f>
        <v>0.33333333333333331</v>
      </c>
      <c r="BM5" s="5">
        <v>21</v>
      </c>
      <c r="BN5" s="25">
        <f>BM5/(SUM($BM$2:$BM$6))</f>
        <v>0.58333333333333337</v>
      </c>
      <c r="BO5" s="24"/>
      <c r="BP5" s="5" t="s">
        <v>63</v>
      </c>
      <c r="BQ5" s="6">
        <v>0</v>
      </c>
      <c r="BR5" s="18">
        <f>BQ5/(SUM($BQ$5,$BS$5,$BU$5,$BW$5,$BY$5))</f>
        <v>0</v>
      </c>
      <c r="BS5" s="6">
        <v>1</v>
      </c>
      <c r="BT5" s="18">
        <f>BS5/(SUM($BQ$5,$BS$5,$BU$5,$BW$5,$BY$5))</f>
        <v>2.7777777777777776E-2</v>
      </c>
      <c r="BU5" s="6">
        <v>8</v>
      </c>
      <c r="BV5" s="18">
        <f>BU5/(SUM($BQ$5,$BS$5,$BU$5,$BW$5,$BY$5))</f>
        <v>0.22222222222222221</v>
      </c>
      <c r="BW5" s="6">
        <v>19</v>
      </c>
      <c r="BX5" s="18">
        <f>BW5/(SUM($BQ$5,$BS$5,$BU$5,$BW$5,$BY$5))</f>
        <v>0.52777777777777779</v>
      </c>
      <c r="BY5" s="6">
        <v>8</v>
      </c>
      <c r="BZ5" s="18">
        <f>BY5/(SUM($BQ$5,$BS$5,$BU$5,$BW$5,$BY$5))</f>
        <v>0.22222222222222221</v>
      </c>
      <c r="CA5" s="15"/>
    </row>
    <row r="6" spans="1:79" ht="66">
      <c r="A6" s="119"/>
      <c r="B6" s="8" t="s">
        <v>70</v>
      </c>
      <c r="C6" s="15"/>
      <c r="D6" s="5" t="str">
        <f t="shared" si="1"/>
        <v>5</v>
      </c>
      <c r="E6" s="6" t="str">
        <f t="shared" si="2"/>
        <v>Strongly Agree</v>
      </c>
      <c r="F6" s="5">
        <f t="shared" si="16"/>
        <v>4</v>
      </c>
      <c r="G6" s="27">
        <f t="shared" si="17"/>
        <v>0.8</v>
      </c>
      <c r="H6" s="27">
        <f t="shared" ref="H6" si="19">I5+0.01</f>
        <v>4.21</v>
      </c>
      <c r="I6" s="27">
        <f t="shared" si="18"/>
        <v>5</v>
      </c>
      <c r="J6" s="15"/>
      <c r="K6" s="5" t="s">
        <v>132</v>
      </c>
      <c r="L6" s="5" t="s">
        <v>6</v>
      </c>
      <c r="M6" s="35" t="str">
        <f t="shared" si="3"/>
        <v>4</v>
      </c>
      <c r="N6" s="5" t="s">
        <v>6</v>
      </c>
      <c r="O6" s="26" t="str">
        <f t="shared" si="4"/>
        <v>4</v>
      </c>
      <c r="P6" s="5" t="s">
        <v>6</v>
      </c>
      <c r="Q6" s="26" t="str">
        <f t="shared" si="5"/>
        <v>4</v>
      </c>
      <c r="R6" s="5" t="s">
        <v>6</v>
      </c>
      <c r="S6" s="26" t="str">
        <f t="shared" si="6"/>
        <v>4</v>
      </c>
      <c r="T6" s="5" t="s">
        <v>6</v>
      </c>
      <c r="U6" s="26" t="str">
        <f t="shared" si="7"/>
        <v>4</v>
      </c>
      <c r="V6" s="5" t="s">
        <v>6</v>
      </c>
      <c r="W6" s="26" t="str">
        <f t="shared" si="8"/>
        <v>4</v>
      </c>
      <c r="X6" s="5" t="s">
        <v>6</v>
      </c>
      <c r="Y6" s="26" t="str">
        <f t="shared" si="9"/>
        <v>4</v>
      </c>
      <c r="Z6" s="5" t="s">
        <v>6</v>
      </c>
      <c r="AA6" s="26" t="str">
        <f t="shared" si="10"/>
        <v>4</v>
      </c>
      <c r="AB6" s="5" t="s">
        <v>6</v>
      </c>
      <c r="AC6" s="26" t="str">
        <f t="shared" si="11"/>
        <v>4</v>
      </c>
      <c r="AD6" s="5" t="s">
        <v>6</v>
      </c>
      <c r="AE6" s="26" t="str">
        <f t="shared" si="12"/>
        <v>4</v>
      </c>
      <c r="AF6" s="15"/>
      <c r="AG6" s="139"/>
      <c r="AH6" s="131"/>
      <c r="AI6" s="5" t="s">
        <v>33</v>
      </c>
      <c r="AJ6" s="4">
        <v>25</v>
      </c>
      <c r="AK6" s="20">
        <f>AJ6/(SUM($AJ$5:$AJ$9))</f>
        <v>0.69444444444444442</v>
      </c>
      <c r="AL6" s="14"/>
      <c r="AM6" s="7">
        <v>2.0499999999999998</v>
      </c>
      <c r="AN6" s="6" t="s">
        <v>56</v>
      </c>
      <c r="AO6" s="19">
        <f t="shared" si="0"/>
        <v>6</v>
      </c>
      <c r="AP6" s="4">
        <v>88</v>
      </c>
      <c r="AQ6" s="36">
        <f t="shared" si="13"/>
        <v>7.3887489504617973E-2</v>
      </c>
      <c r="AR6" s="17">
        <f t="shared" si="14"/>
        <v>2.4444444444444446</v>
      </c>
      <c r="AS6" s="14"/>
      <c r="AT6" s="6" t="s">
        <v>7</v>
      </c>
      <c r="AU6" s="5">
        <v>1</v>
      </c>
      <c r="AV6" s="25">
        <f t="shared" si="15"/>
        <v>2.7777777777777776E-2</v>
      </c>
      <c r="AW6" s="5">
        <v>15</v>
      </c>
      <c r="AX6" s="25">
        <f>AW6/(SUM($AW$2:$AW$6))</f>
        <v>0.41666666666666669</v>
      </c>
      <c r="AY6" s="5">
        <v>5</v>
      </c>
      <c r="AZ6" s="25">
        <f>AY6/(SUM($AY$2:$AY$6))</f>
        <v>0.1388888888888889</v>
      </c>
      <c r="BA6" s="5">
        <v>8</v>
      </c>
      <c r="BB6" s="25">
        <f>BA6/(SUM($BA$2:$BA$6))</f>
        <v>0.22222222222222221</v>
      </c>
      <c r="BC6" s="5">
        <v>7</v>
      </c>
      <c r="BD6" s="25">
        <f>BC6/(SUM($BC$2:$BC$6))</f>
        <v>0.19444444444444445</v>
      </c>
      <c r="BE6" s="5">
        <v>2</v>
      </c>
      <c r="BF6" s="25">
        <f>BE6/(SUM($BE$2:$BE$6))</f>
        <v>5.5555555555555552E-2</v>
      </c>
      <c r="BG6" s="5">
        <v>11</v>
      </c>
      <c r="BH6" s="25">
        <f>BG6/(SUM($BG$2:$BG$6))</f>
        <v>0.30555555555555558</v>
      </c>
      <c r="BI6" s="5">
        <v>9</v>
      </c>
      <c r="BJ6" s="25">
        <f>BI6/(SUM($BI$2:$BI$6))</f>
        <v>0.25</v>
      </c>
      <c r="BK6" s="5">
        <v>8</v>
      </c>
      <c r="BL6" s="25">
        <f>BK6/(SUM($BK$2:$BK$6))</f>
        <v>0.22222222222222221</v>
      </c>
      <c r="BM6" s="5">
        <v>5</v>
      </c>
      <c r="BN6" s="25">
        <f>BM6/(SUM($BM$2:$BM$6))</f>
        <v>0.1388888888888889</v>
      </c>
      <c r="BO6" s="24"/>
      <c r="BP6" s="5" t="s">
        <v>10</v>
      </c>
      <c r="BQ6" s="6">
        <v>0</v>
      </c>
      <c r="BR6" s="18">
        <f>BQ6/(SUM($BQ$6,$BS$6,$BU$6,$BW$6,$BY$6))</f>
        <v>0</v>
      </c>
      <c r="BS6" s="6">
        <v>0</v>
      </c>
      <c r="BT6" s="18">
        <f>BS6/(SUM($BQ$6,$BS$6,$BU$6,$BW$6,$BY$6))</f>
        <v>0</v>
      </c>
      <c r="BU6" s="6">
        <v>8</v>
      </c>
      <c r="BV6" s="18">
        <f>BU6/(SUM($BQ$6,$BS$6,$BU$6,$BW$6,$BY$6))</f>
        <v>0.22222222222222221</v>
      </c>
      <c r="BW6" s="6">
        <v>21</v>
      </c>
      <c r="BX6" s="18">
        <f>BW6/(SUM($BQ$6,$BS$6,$BU$6,$BW$6,$BY$6))</f>
        <v>0.58333333333333337</v>
      </c>
      <c r="BY6" s="6">
        <v>7</v>
      </c>
      <c r="BZ6" s="18">
        <f>BY6/(SUM($BQ$6,$BS$6,$BU$6,$BW$6,$BY$6))</f>
        <v>0.19444444444444445</v>
      </c>
      <c r="CA6" s="15"/>
    </row>
    <row r="7" spans="1:79" ht="55.2" customHeight="1">
      <c r="A7" s="119"/>
      <c r="B7" s="8" t="s">
        <v>71</v>
      </c>
      <c r="C7" s="15"/>
      <c r="D7" s="29"/>
      <c r="E7" s="29"/>
      <c r="F7" s="29"/>
      <c r="G7" s="30"/>
      <c r="H7" s="29"/>
      <c r="I7" s="29"/>
      <c r="J7" s="15"/>
      <c r="K7" s="5" t="s">
        <v>133</v>
      </c>
      <c r="L7" s="5" t="s">
        <v>5</v>
      </c>
      <c r="M7" s="35" t="str">
        <f t="shared" si="3"/>
        <v>3</v>
      </c>
      <c r="N7" s="5" t="s">
        <v>6</v>
      </c>
      <c r="O7" s="26" t="str">
        <f t="shared" si="4"/>
        <v>4</v>
      </c>
      <c r="P7" s="5" t="s">
        <v>6</v>
      </c>
      <c r="Q7" s="26" t="str">
        <f t="shared" si="5"/>
        <v>4</v>
      </c>
      <c r="R7" s="5" t="s">
        <v>6</v>
      </c>
      <c r="S7" s="26" t="str">
        <f t="shared" si="6"/>
        <v>4</v>
      </c>
      <c r="T7" s="5" t="s">
        <v>6</v>
      </c>
      <c r="U7" s="26" t="str">
        <f t="shared" si="7"/>
        <v>4</v>
      </c>
      <c r="V7" s="5" t="s">
        <v>6</v>
      </c>
      <c r="W7" s="26" t="str">
        <f t="shared" si="8"/>
        <v>4</v>
      </c>
      <c r="X7" s="5" t="s">
        <v>6</v>
      </c>
      <c r="Y7" s="26" t="str">
        <f t="shared" si="9"/>
        <v>4</v>
      </c>
      <c r="Z7" s="5" t="s">
        <v>5</v>
      </c>
      <c r="AA7" s="26" t="str">
        <f t="shared" si="10"/>
        <v>3</v>
      </c>
      <c r="AB7" s="5" t="s">
        <v>7</v>
      </c>
      <c r="AC7" s="26" t="str">
        <f t="shared" si="11"/>
        <v>5</v>
      </c>
      <c r="AD7" s="5" t="s">
        <v>6</v>
      </c>
      <c r="AE7" s="26" t="str">
        <f t="shared" si="12"/>
        <v>4</v>
      </c>
      <c r="AF7" s="15"/>
      <c r="AG7" s="139"/>
      <c r="AH7" s="131"/>
      <c r="AI7" s="5" t="s">
        <v>35</v>
      </c>
      <c r="AJ7" s="4">
        <v>10</v>
      </c>
      <c r="AK7" s="20">
        <f>AJ7/(SUM($AJ$5:$AJ$9))</f>
        <v>0.27777777777777779</v>
      </c>
      <c r="AL7" s="14"/>
      <c r="AM7" s="7">
        <v>2.06</v>
      </c>
      <c r="AN7" s="6" t="s">
        <v>57</v>
      </c>
      <c r="AO7" s="19">
        <f t="shared" si="0"/>
        <v>9</v>
      </c>
      <c r="AP7" s="4">
        <v>68</v>
      </c>
      <c r="AQ7" s="36">
        <f t="shared" si="13"/>
        <v>5.7094878253568432E-2</v>
      </c>
      <c r="AR7" s="17">
        <f t="shared" si="14"/>
        <v>1.8888888888888888</v>
      </c>
      <c r="AS7" s="14"/>
      <c r="AT7" s="14"/>
      <c r="AU7" s="14"/>
      <c r="AV7" s="14"/>
      <c r="AW7" s="14"/>
      <c r="AX7" s="14"/>
      <c r="AY7" s="14"/>
      <c r="AZ7" s="14"/>
      <c r="BA7" s="14"/>
      <c r="BB7" s="14"/>
      <c r="BC7" s="14"/>
      <c r="BD7" s="14"/>
      <c r="BE7" s="14"/>
      <c r="BF7" s="14"/>
      <c r="BG7" s="14"/>
      <c r="BH7" s="14"/>
      <c r="BI7" s="14"/>
      <c r="BJ7" s="14"/>
      <c r="BK7" s="14"/>
      <c r="BL7" s="14"/>
      <c r="BM7" s="14"/>
      <c r="BN7" s="14"/>
      <c r="BO7" s="14"/>
      <c r="BP7" s="5" t="s">
        <v>64</v>
      </c>
      <c r="BQ7" s="6">
        <v>3</v>
      </c>
      <c r="BR7" s="18">
        <f>BQ7/(SUM($BQ$7,$BS$7,$BU$7,$BW$7,$BY$7))</f>
        <v>8.3333333333333329E-2</v>
      </c>
      <c r="BS7" s="6">
        <v>2</v>
      </c>
      <c r="BT7" s="18">
        <f>BS7/(SUM($BQ$7,$BS$7,$BU$7,$BW$7,$BY$7))</f>
        <v>5.5555555555555552E-2</v>
      </c>
      <c r="BU7" s="6">
        <v>13</v>
      </c>
      <c r="BV7" s="18">
        <f>BU7/(SUM($BQ$7,$BS$7,$BU$7,$BW$7,$BY$7))</f>
        <v>0.3611111111111111</v>
      </c>
      <c r="BW7" s="6">
        <v>16</v>
      </c>
      <c r="BX7" s="18">
        <f>BW7/(SUM($BQ$7,$BS$7,$BU$7,$BW$7,$BY$7))</f>
        <v>0.44444444444444442</v>
      </c>
      <c r="BY7" s="6">
        <v>2</v>
      </c>
      <c r="BZ7" s="18">
        <f>BY7/(SUM($BQ$7,$BS$7,$BU$7,$BW$7,$BY$7))</f>
        <v>5.5555555555555552E-2</v>
      </c>
      <c r="CA7" s="15"/>
    </row>
    <row r="8" spans="1:79" ht="55.2" customHeight="1">
      <c r="A8" s="119"/>
      <c r="B8" s="8" t="s">
        <v>72</v>
      </c>
      <c r="C8" s="15"/>
      <c r="D8" s="142" t="s">
        <v>213</v>
      </c>
      <c r="E8" s="143"/>
      <c r="F8" s="5">
        <f>COUNTA(K2:K37)</f>
        <v>36</v>
      </c>
      <c r="G8" s="28"/>
      <c r="J8" s="29"/>
      <c r="K8" s="5" t="s">
        <v>134</v>
      </c>
      <c r="L8" s="5" t="s">
        <v>5</v>
      </c>
      <c r="M8" s="35" t="str">
        <f t="shared" si="3"/>
        <v>3</v>
      </c>
      <c r="N8" s="5" t="s">
        <v>6</v>
      </c>
      <c r="O8" s="26" t="str">
        <f t="shared" si="4"/>
        <v>4</v>
      </c>
      <c r="P8" s="5" t="s">
        <v>7</v>
      </c>
      <c r="Q8" s="26" t="str">
        <f t="shared" si="5"/>
        <v>5</v>
      </c>
      <c r="R8" s="5" t="s">
        <v>7</v>
      </c>
      <c r="S8" s="26" t="str">
        <f t="shared" si="6"/>
        <v>5</v>
      </c>
      <c r="T8" s="5" t="s">
        <v>7</v>
      </c>
      <c r="U8" s="26" t="str">
        <f t="shared" si="7"/>
        <v>5</v>
      </c>
      <c r="V8" s="5" t="s">
        <v>7</v>
      </c>
      <c r="W8" s="26" t="str">
        <f t="shared" si="8"/>
        <v>5</v>
      </c>
      <c r="X8" s="5" t="s">
        <v>7</v>
      </c>
      <c r="Y8" s="26" t="str">
        <f t="shared" si="9"/>
        <v>5</v>
      </c>
      <c r="Z8" s="5" t="s">
        <v>7</v>
      </c>
      <c r="AA8" s="26" t="str">
        <f t="shared" si="10"/>
        <v>5</v>
      </c>
      <c r="AB8" s="5" t="s">
        <v>7</v>
      </c>
      <c r="AC8" s="26" t="str">
        <f t="shared" si="11"/>
        <v>5</v>
      </c>
      <c r="AD8" s="5" t="s">
        <v>5</v>
      </c>
      <c r="AE8" s="26" t="str">
        <f t="shared" si="12"/>
        <v>3</v>
      </c>
      <c r="AF8" s="15"/>
      <c r="AG8" s="139"/>
      <c r="AH8" s="131"/>
      <c r="AI8" s="5" t="s">
        <v>36</v>
      </c>
      <c r="AJ8" s="4">
        <v>0</v>
      </c>
      <c r="AK8" s="20">
        <f>AJ8/(SUM($AJ$5:$AJ$9))</f>
        <v>0</v>
      </c>
      <c r="AL8" s="14"/>
      <c r="AM8" s="7">
        <v>2.0699999999999998</v>
      </c>
      <c r="AN8" s="6" t="s">
        <v>58</v>
      </c>
      <c r="AO8" s="19">
        <f t="shared" si="0"/>
        <v>3</v>
      </c>
      <c r="AP8" s="4">
        <v>118</v>
      </c>
      <c r="AQ8" s="36">
        <f t="shared" si="13"/>
        <v>9.9076406381192278E-2</v>
      </c>
      <c r="AR8" s="17">
        <f t="shared" si="14"/>
        <v>3.2777777777777777</v>
      </c>
      <c r="AS8" s="14"/>
      <c r="BO8" s="14"/>
      <c r="BP8" s="5" t="s">
        <v>11</v>
      </c>
      <c r="BQ8" s="6">
        <v>0</v>
      </c>
      <c r="BR8" s="18">
        <f>BQ8/(SUM($BQ$8,$BS$8,$BU$8,$BW$8,$BY$8))</f>
        <v>0</v>
      </c>
      <c r="BS8" s="6">
        <v>0</v>
      </c>
      <c r="BT8" s="18">
        <f>BS8/(SUM($BQ$8,$BS$8,$BU$8,$BW$8,$BY$8))</f>
        <v>0</v>
      </c>
      <c r="BU8" s="6">
        <v>10</v>
      </c>
      <c r="BV8" s="18">
        <f>BU8/(SUM($BQ$8,$BS$8,$BU$8,$BW$8,$BY$8))</f>
        <v>0.27777777777777779</v>
      </c>
      <c r="BW8" s="6">
        <v>15</v>
      </c>
      <c r="BX8" s="18">
        <f>BW8/(SUM($BQ$8,$BS$8,$BU$8,$BW$8,$BY$8))</f>
        <v>0.41666666666666669</v>
      </c>
      <c r="BY8" s="6">
        <v>11</v>
      </c>
      <c r="BZ8" s="18">
        <f>BY8/(SUM($BQ$8,$BS$8,$BU$8,$BW$8,$BY$8))</f>
        <v>0.30555555555555558</v>
      </c>
      <c r="CA8" s="15"/>
    </row>
    <row r="9" spans="1:79" ht="68.400000000000006" customHeight="1">
      <c r="A9" s="119"/>
      <c r="B9" s="8" t="s">
        <v>73</v>
      </c>
      <c r="C9" s="15"/>
      <c r="D9" s="142" t="s">
        <v>214</v>
      </c>
      <c r="E9" s="143"/>
      <c r="F9" s="34" t="s">
        <v>230</v>
      </c>
      <c r="J9" s="29"/>
      <c r="K9" s="5" t="s">
        <v>135</v>
      </c>
      <c r="L9" s="5" t="s">
        <v>3</v>
      </c>
      <c r="M9" s="35" t="str">
        <f t="shared" si="3"/>
        <v>1</v>
      </c>
      <c r="N9" s="5" t="s">
        <v>7</v>
      </c>
      <c r="O9" s="26" t="str">
        <f t="shared" si="4"/>
        <v>5</v>
      </c>
      <c r="P9" s="5" t="s">
        <v>5</v>
      </c>
      <c r="Q9" s="26" t="str">
        <f t="shared" si="5"/>
        <v>3</v>
      </c>
      <c r="R9" s="5" t="s">
        <v>6</v>
      </c>
      <c r="S9" s="26" t="str">
        <f t="shared" si="6"/>
        <v>4</v>
      </c>
      <c r="T9" s="5" t="s">
        <v>7</v>
      </c>
      <c r="U9" s="26" t="str">
        <f t="shared" si="7"/>
        <v>5</v>
      </c>
      <c r="V9" s="5" t="s">
        <v>3</v>
      </c>
      <c r="W9" s="26" t="str">
        <f t="shared" si="8"/>
        <v>1</v>
      </c>
      <c r="X9" s="5" t="s">
        <v>7</v>
      </c>
      <c r="Y9" s="26" t="str">
        <f t="shared" si="9"/>
        <v>5</v>
      </c>
      <c r="Z9" s="5" t="s">
        <v>6</v>
      </c>
      <c r="AA9" s="26" t="str">
        <f t="shared" si="10"/>
        <v>4</v>
      </c>
      <c r="AB9" s="5" t="s">
        <v>7</v>
      </c>
      <c r="AC9" s="26" t="str">
        <f t="shared" si="11"/>
        <v>5</v>
      </c>
      <c r="AD9" s="5" t="s">
        <v>7</v>
      </c>
      <c r="AE9" s="26" t="str">
        <f t="shared" si="12"/>
        <v>5</v>
      </c>
      <c r="AF9" s="15"/>
      <c r="AG9" s="139"/>
      <c r="AH9" s="132"/>
      <c r="AI9" s="5" t="s">
        <v>37</v>
      </c>
      <c r="AJ9" s="4">
        <v>1</v>
      </c>
      <c r="AK9" s="20">
        <f>AJ9/(SUM($AJ$5:$AJ$9))</f>
        <v>2.7777777777777776E-2</v>
      </c>
      <c r="AL9" s="14"/>
      <c r="AM9" s="7">
        <v>2.08</v>
      </c>
      <c r="AN9" s="6" t="s">
        <v>59</v>
      </c>
      <c r="AO9" s="19">
        <f t="shared" si="0"/>
        <v>10</v>
      </c>
      <c r="AP9" s="4">
        <v>62</v>
      </c>
      <c r="AQ9" s="36">
        <f t="shared" si="13"/>
        <v>5.2057094878253565E-2</v>
      </c>
      <c r="AR9" s="17">
        <f t="shared" si="14"/>
        <v>1.7222222222222223</v>
      </c>
      <c r="AS9" s="14"/>
      <c r="BO9" s="14"/>
      <c r="BP9" s="5" t="s">
        <v>12</v>
      </c>
      <c r="BQ9" s="6">
        <v>2</v>
      </c>
      <c r="BR9" s="18">
        <f>BQ9/(SUM($BQ$9,$BS$9,$BU$9,$BW$9,$BY$9))</f>
        <v>5.5555555555555552E-2</v>
      </c>
      <c r="BS9" s="6">
        <v>1</v>
      </c>
      <c r="BT9" s="18">
        <f>BS9/(SUM($BQ$9,$BS$9,$BU$9,$BW$9,$BY$9))</f>
        <v>2.7777777777777776E-2</v>
      </c>
      <c r="BU9" s="6">
        <v>14</v>
      </c>
      <c r="BV9" s="18">
        <f>BU9/(SUM($BQ$9,$BS$9,$BU$9,$BW$9,$BY$9))</f>
        <v>0.3888888888888889</v>
      </c>
      <c r="BW9" s="6">
        <v>10</v>
      </c>
      <c r="BX9" s="18">
        <f>BW9/(SUM($BQ$9,$BS$9,$BU$9,$BW$9,$BY$9))</f>
        <v>0.27777777777777779</v>
      </c>
      <c r="BY9" s="6">
        <v>9</v>
      </c>
      <c r="BZ9" s="18">
        <f>BY9/(SUM($BQ$9,$BS$9,$BU$9,$BW$9,$BY$9))</f>
        <v>0.25</v>
      </c>
      <c r="CA9" s="15"/>
    </row>
    <row r="10" spans="1:79" ht="55.2" customHeight="1">
      <c r="A10" s="119"/>
      <c r="B10" s="8" t="s">
        <v>79</v>
      </c>
      <c r="C10" s="15"/>
      <c r="J10" s="29"/>
      <c r="K10" s="5" t="s">
        <v>136</v>
      </c>
      <c r="L10" s="5" t="s">
        <v>6</v>
      </c>
      <c r="M10" s="35" t="str">
        <f t="shared" si="3"/>
        <v>4</v>
      </c>
      <c r="N10" s="5" t="s">
        <v>6</v>
      </c>
      <c r="O10" s="26" t="str">
        <f t="shared" si="4"/>
        <v>4</v>
      </c>
      <c r="P10" s="5" t="s">
        <v>5</v>
      </c>
      <c r="Q10" s="26" t="str">
        <f t="shared" si="5"/>
        <v>3</v>
      </c>
      <c r="R10" s="5" t="s">
        <v>6</v>
      </c>
      <c r="S10" s="26" t="str">
        <f t="shared" si="6"/>
        <v>4</v>
      </c>
      <c r="T10" s="5" t="s">
        <v>5</v>
      </c>
      <c r="U10" s="26" t="str">
        <f t="shared" si="7"/>
        <v>3</v>
      </c>
      <c r="V10" s="5" t="s">
        <v>5</v>
      </c>
      <c r="W10" s="26" t="str">
        <f t="shared" si="8"/>
        <v>3</v>
      </c>
      <c r="X10" s="5" t="s">
        <v>7</v>
      </c>
      <c r="Y10" s="26" t="str">
        <f t="shared" si="9"/>
        <v>5</v>
      </c>
      <c r="Z10" s="5" t="s">
        <v>4</v>
      </c>
      <c r="AA10" s="26" t="str">
        <f t="shared" si="10"/>
        <v>2</v>
      </c>
      <c r="AB10" s="5" t="s">
        <v>5</v>
      </c>
      <c r="AC10" s="26" t="str">
        <f t="shared" si="11"/>
        <v>3</v>
      </c>
      <c r="AD10" s="5" t="s">
        <v>6</v>
      </c>
      <c r="AE10" s="26" t="str">
        <f t="shared" si="12"/>
        <v>4</v>
      </c>
      <c r="AF10" s="15"/>
      <c r="AG10" s="139">
        <v>1.03</v>
      </c>
      <c r="AH10" s="133" t="s">
        <v>85</v>
      </c>
      <c r="AI10" s="5" t="s">
        <v>38</v>
      </c>
      <c r="AJ10" s="4">
        <v>0</v>
      </c>
      <c r="AK10" s="20">
        <f t="shared" ref="AK10:AK19" si="20">AJ10/(SUM($AJ$10:$AJ$19))</f>
        <v>0</v>
      </c>
      <c r="AL10" s="14"/>
      <c r="AM10" s="7">
        <v>2.09</v>
      </c>
      <c r="AN10" s="6" t="s">
        <v>60</v>
      </c>
      <c r="AO10" s="19">
        <f t="shared" si="0"/>
        <v>8</v>
      </c>
      <c r="AP10" s="4">
        <v>77</v>
      </c>
      <c r="AQ10" s="36">
        <f t="shared" si="13"/>
        <v>6.4651553316540725E-2</v>
      </c>
      <c r="AR10" s="17">
        <f t="shared" si="14"/>
        <v>2.1388888888888888</v>
      </c>
      <c r="AS10" s="14"/>
      <c r="BO10" s="14"/>
      <c r="BP10" s="5" t="s">
        <v>65</v>
      </c>
      <c r="BQ10" s="6">
        <v>0</v>
      </c>
      <c r="BR10" s="18">
        <f>BQ10/(SUM($BQ$10,$BS$10,$BU$10,$BW$10,$BY$10))</f>
        <v>0</v>
      </c>
      <c r="BS10" s="6">
        <v>0</v>
      </c>
      <c r="BT10" s="18">
        <f>BS10/(SUM($BQ$10,$BS$10,$BU$10,$BW$10,$BY$10))</f>
        <v>0</v>
      </c>
      <c r="BU10" s="6">
        <v>16</v>
      </c>
      <c r="BV10" s="18">
        <f>BU10/(SUM($BQ$10,$BS$10,$BU$10,$BW$10,$BY$10))</f>
        <v>0.44444444444444442</v>
      </c>
      <c r="BW10" s="6">
        <v>12</v>
      </c>
      <c r="BX10" s="18">
        <f>BW10/(SUM($BQ$10,$BS$10,$BU$10,$BW$10,$BY$10))</f>
        <v>0.33333333333333331</v>
      </c>
      <c r="BY10" s="6">
        <v>8</v>
      </c>
      <c r="BZ10" s="18">
        <f>BY10/(SUM($BQ$10,$BS$10,$BU$10,$BW$10,$BY$10))</f>
        <v>0.22222222222222221</v>
      </c>
      <c r="CA10" s="15"/>
    </row>
    <row r="11" spans="1:79" ht="66">
      <c r="A11" s="119"/>
      <c r="B11" s="8" t="s">
        <v>74</v>
      </c>
      <c r="C11" s="15"/>
      <c r="J11" s="29"/>
      <c r="K11" s="5" t="s">
        <v>137</v>
      </c>
      <c r="L11" s="5" t="s">
        <v>5</v>
      </c>
      <c r="M11" s="35" t="str">
        <f t="shared" si="3"/>
        <v>3</v>
      </c>
      <c r="N11" s="5" t="s">
        <v>7</v>
      </c>
      <c r="O11" s="26" t="str">
        <f t="shared" si="4"/>
        <v>5</v>
      </c>
      <c r="P11" s="5" t="s">
        <v>5</v>
      </c>
      <c r="Q11" s="26" t="str">
        <f t="shared" si="5"/>
        <v>3</v>
      </c>
      <c r="R11" s="5" t="s">
        <v>6</v>
      </c>
      <c r="S11" s="26" t="str">
        <f t="shared" si="6"/>
        <v>4</v>
      </c>
      <c r="T11" s="5" t="s">
        <v>6</v>
      </c>
      <c r="U11" s="26" t="str">
        <f t="shared" si="7"/>
        <v>4</v>
      </c>
      <c r="V11" s="5" t="s">
        <v>5</v>
      </c>
      <c r="W11" s="26" t="str">
        <f t="shared" si="8"/>
        <v>3</v>
      </c>
      <c r="X11" s="5" t="s">
        <v>5</v>
      </c>
      <c r="Y11" s="26" t="str">
        <f t="shared" si="9"/>
        <v>3</v>
      </c>
      <c r="Z11" s="5" t="s">
        <v>5</v>
      </c>
      <c r="AA11" s="26" t="str">
        <f t="shared" si="10"/>
        <v>3</v>
      </c>
      <c r="AB11" s="5" t="s">
        <v>5</v>
      </c>
      <c r="AC11" s="26" t="str">
        <f t="shared" si="11"/>
        <v>3</v>
      </c>
      <c r="AD11" s="5" t="s">
        <v>6</v>
      </c>
      <c r="AE11" s="26" t="str">
        <f t="shared" si="12"/>
        <v>4</v>
      </c>
      <c r="AF11" s="15"/>
      <c r="AG11" s="139"/>
      <c r="AH11" s="134"/>
      <c r="AI11" s="5" t="s">
        <v>39</v>
      </c>
      <c r="AJ11" s="4">
        <v>0</v>
      </c>
      <c r="AK11" s="20">
        <f t="shared" si="20"/>
        <v>0</v>
      </c>
      <c r="AL11" s="14"/>
      <c r="AM11" s="23">
        <v>2.1</v>
      </c>
      <c r="AN11" s="6" t="s">
        <v>61</v>
      </c>
      <c r="AO11" s="19">
        <f t="shared" si="0"/>
        <v>5</v>
      </c>
      <c r="AP11" s="4">
        <v>103</v>
      </c>
      <c r="AQ11" s="36">
        <f t="shared" si="13"/>
        <v>8.6481947942905119E-2</v>
      </c>
      <c r="AR11" s="17">
        <f>AP11/$F$8</f>
        <v>2.8611111111111112</v>
      </c>
      <c r="AS11" s="14"/>
      <c r="BO11" s="14"/>
      <c r="BP11" s="5" t="s">
        <v>66</v>
      </c>
      <c r="BQ11" s="6">
        <v>0</v>
      </c>
      <c r="BR11" s="18">
        <f>BQ11/(SUM($BQ$11,$BS$11,$BU$11,$BW$11,$BY$11))</f>
        <v>0</v>
      </c>
      <c r="BS11" s="6">
        <v>3</v>
      </c>
      <c r="BT11" s="18">
        <f>BS11/(SUM($BQ$11,$BS$11,$BU$11,$BW$11,$BY$11))</f>
        <v>8.3333333333333329E-2</v>
      </c>
      <c r="BU11" s="6">
        <v>7</v>
      </c>
      <c r="BV11" s="18">
        <f>BU11/(SUM($BQ$11,$BS$11,$BU$11,$BW$11,$BY$11))</f>
        <v>0.19444444444444445</v>
      </c>
      <c r="BW11" s="6">
        <v>21</v>
      </c>
      <c r="BX11" s="18">
        <f>BW11/(SUM($BQ$11,$BS$11,$BU$11,$BW$11,$BY$11))</f>
        <v>0.58333333333333337</v>
      </c>
      <c r="BY11" s="6">
        <v>5</v>
      </c>
      <c r="BZ11" s="18">
        <f>BY11/(SUM($BQ$11,$BS$11,$BU$11,$BW$11,$BY$11))</f>
        <v>0.1388888888888889</v>
      </c>
      <c r="CA11" s="15"/>
    </row>
    <row r="12" spans="1:79" ht="66">
      <c r="A12" s="120"/>
      <c r="B12" s="8" t="s">
        <v>75</v>
      </c>
      <c r="C12" s="15"/>
      <c r="J12" s="29"/>
      <c r="K12" s="5" t="s">
        <v>138</v>
      </c>
      <c r="L12" s="5" t="s">
        <v>5</v>
      </c>
      <c r="M12" s="35" t="str">
        <f t="shared" si="3"/>
        <v>3</v>
      </c>
      <c r="N12" s="5" t="s">
        <v>7</v>
      </c>
      <c r="O12" s="26" t="str">
        <f t="shared" si="4"/>
        <v>5</v>
      </c>
      <c r="P12" s="5" t="s">
        <v>6</v>
      </c>
      <c r="Q12" s="26" t="str">
        <f t="shared" si="5"/>
        <v>4</v>
      </c>
      <c r="R12" s="5" t="s">
        <v>6</v>
      </c>
      <c r="S12" s="26" t="str">
        <f t="shared" si="6"/>
        <v>4</v>
      </c>
      <c r="T12" s="5" t="s">
        <v>6</v>
      </c>
      <c r="U12" s="26" t="str">
        <f t="shared" si="7"/>
        <v>4</v>
      </c>
      <c r="V12" s="5" t="s">
        <v>6</v>
      </c>
      <c r="W12" s="26" t="str">
        <f t="shared" si="8"/>
        <v>4</v>
      </c>
      <c r="X12" s="5" t="s">
        <v>5</v>
      </c>
      <c r="Y12" s="26" t="str">
        <f t="shared" si="9"/>
        <v>3</v>
      </c>
      <c r="Z12" s="5" t="s">
        <v>5</v>
      </c>
      <c r="AA12" s="26" t="str">
        <f t="shared" si="10"/>
        <v>3</v>
      </c>
      <c r="AB12" s="5" t="s">
        <v>7</v>
      </c>
      <c r="AC12" s="26" t="str">
        <f t="shared" si="11"/>
        <v>5</v>
      </c>
      <c r="AD12" s="5" t="s">
        <v>6</v>
      </c>
      <c r="AE12" s="26" t="str">
        <f t="shared" si="12"/>
        <v>4</v>
      </c>
      <c r="AF12" s="15"/>
      <c r="AG12" s="139"/>
      <c r="AH12" s="134"/>
      <c r="AI12" s="5" t="s">
        <v>40</v>
      </c>
      <c r="AJ12" s="4">
        <v>33</v>
      </c>
      <c r="AK12" s="20">
        <f t="shared" si="20"/>
        <v>0.91666666666666663</v>
      </c>
      <c r="AL12" s="14"/>
      <c r="AM12" s="14"/>
      <c r="AN12" s="15"/>
      <c r="AO12" s="15"/>
      <c r="AP12" s="14"/>
      <c r="AQ12" s="14"/>
      <c r="AR12" s="14"/>
      <c r="AS12" s="14"/>
      <c r="BO12" s="14"/>
      <c r="BP12" s="15"/>
      <c r="BQ12" s="15"/>
      <c r="BR12" s="15"/>
      <c r="BS12" s="15"/>
      <c r="BT12" s="15"/>
      <c r="BU12" s="15"/>
      <c r="BV12" s="15"/>
      <c r="BW12" s="15"/>
      <c r="BX12" s="15"/>
      <c r="BY12" s="15"/>
      <c r="BZ12" s="15"/>
      <c r="CA12" s="15"/>
    </row>
    <row r="13" spans="1:79" ht="28.8">
      <c r="A13" s="7" t="s">
        <v>16</v>
      </c>
      <c r="B13" s="9" t="s">
        <v>26</v>
      </c>
      <c r="C13" s="14"/>
      <c r="D13" s="2"/>
      <c r="E13" s="2"/>
      <c r="F13" s="2"/>
      <c r="G13" s="2"/>
      <c r="H13" s="2"/>
      <c r="I13" s="2"/>
      <c r="J13" s="31"/>
      <c r="K13" s="4" t="s">
        <v>139</v>
      </c>
      <c r="L13" s="4" t="s">
        <v>6</v>
      </c>
      <c r="M13" s="35" t="str">
        <f t="shared" si="3"/>
        <v>4</v>
      </c>
      <c r="N13" s="4" t="s">
        <v>6</v>
      </c>
      <c r="O13" s="26" t="str">
        <f t="shared" si="4"/>
        <v>4</v>
      </c>
      <c r="P13" s="4" t="s">
        <v>6</v>
      </c>
      <c r="Q13" s="26" t="str">
        <f t="shared" si="5"/>
        <v>4</v>
      </c>
      <c r="R13" s="4" t="s">
        <v>6</v>
      </c>
      <c r="S13" s="26" t="str">
        <f t="shared" si="6"/>
        <v>4</v>
      </c>
      <c r="T13" s="4" t="s">
        <v>7</v>
      </c>
      <c r="U13" s="26" t="str">
        <f t="shared" si="7"/>
        <v>5</v>
      </c>
      <c r="V13" s="4" t="s">
        <v>6</v>
      </c>
      <c r="W13" s="26" t="str">
        <f t="shared" si="8"/>
        <v>4</v>
      </c>
      <c r="X13" s="4" t="s">
        <v>6</v>
      </c>
      <c r="Y13" s="26" t="str">
        <f t="shared" si="9"/>
        <v>4</v>
      </c>
      <c r="Z13" s="4" t="s">
        <v>7</v>
      </c>
      <c r="AA13" s="26" t="str">
        <f t="shared" si="10"/>
        <v>5</v>
      </c>
      <c r="AB13" s="4" t="s">
        <v>7</v>
      </c>
      <c r="AC13" s="26" t="str">
        <f t="shared" si="11"/>
        <v>5</v>
      </c>
      <c r="AD13" s="4" t="s">
        <v>7</v>
      </c>
      <c r="AE13" s="26" t="str">
        <f t="shared" si="12"/>
        <v>5</v>
      </c>
      <c r="AF13" s="14"/>
      <c r="AG13" s="139"/>
      <c r="AH13" s="134"/>
      <c r="AI13" s="5" t="s">
        <v>41</v>
      </c>
      <c r="AJ13" s="4">
        <v>0</v>
      </c>
      <c r="AK13" s="20">
        <f t="shared" si="20"/>
        <v>0</v>
      </c>
      <c r="AL13" s="14"/>
    </row>
    <row r="14" spans="1:79" ht="28.8">
      <c r="A14" s="6" t="s">
        <v>24</v>
      </c>
      <c r="B14" s="9" t="s">
        <v>25</v>
      </c>
      <c r="C14" s="15"/>
      <c r="J14" s="29"/>
      <c r="K14" s="5" t="s">
        <v>140</v>
      </c>
      <c r="L14" s="5" t="s">
        <v>4</v>
      </c>
      <c r="M14" s="35" t="str">
        <f t="shared" si="3"/>
        <v>2</v>
      </c>
      <c r="N14" s="5" t="s">
        <v>6</v>
      </c>
      <c r="O14" s="26" t="str">
        <f t="shared" si="4"/>
        <v>4</v>
      </c>
      <c r="P14" s="5" t="s">
        <v>6</v>
      </c>
      <c r="Q14" s="26" t="str">
        <f t="shared" si="5"/>
        <v>4</v>
      </c>
      <c r="R14" s="5" t="s">
        <v>5</v>
      </c>
      <c r="S14" s="26" t="str">
        <f t="shared" si="6"/>
        <v>3</v>
      </c>
      <c r="T14" s="5" t="s">
        <v>6</v>
      </c>
      <c r="U14" s="26" t="str">
        <f t="shared" si="7"/>
        <v>4</v>
      </c>
      <c r="V14" s="5" t="s">
        <v>4</v>
      </c>
      <c r="W14" s="26" t="str">
        <f t="shared" si="8"/>
        <v>2</v>
      </c>
      <c r="X14" s="5" t="s">
        <v>6</v>
      </c>
      <c r="Y14" s="26" t="str">
        <f t="shared" si="9"/>
        <v>4</v>
      </c>
      <c r="Z14" s="5" t="s">
        <v>3</v>
      </c>
      <c r="AA14" s="26" t="str">
        <f t="shared" si="10"/>
        <v>1</v>
      </c>
      <c r="AB14" s="5" t="s">
        <v>5</v>
      </c>
      <c r="AC14" s="26" t="str">
        <f t="shared" si="11"/>
        <v>3</v>
      </c>
      <c r="AD14" s="5" t="s">
        <v>4</v>
      </c>
      <c r="AE14" s="26" t="str">
        <f t="shared" si="12"/>
        <v>2</v>
      </c>
      <c r="AF14" s="15"/>
      <c r="AG14" s="139"/>
      <c r="AH14" s="134"/>
      <c r="AI14" s="5" t="s">
        <v>42</v>
      </c>
      <c r="AJ14" s="4">
        <v>0</v>
      </c>
      <c r="AK14" s="20">
        <f t="shared" si="20"/>
        <v>0</v>
      </c>
      <c r="AL14" s="14"/>
    </row>
    <row r="15" spans="1:79" ht="26.4">
      <c r="A15" s="118" t="s">
        <v>17</v>
      </c>
      <c r="B15" s="10" t="s">
        <v>78</v>
      </c>
      <c r="C15" s="15"/>
      <c r="J15" s="29"/>
      <c r="K15" s="5" t="s">
        <v>141</v>
      </c>
      <c r="L15" s="5" t="s">
        <v>5</v>
      </c>
      <c r="M15" s="35" t="str">
        <f t="shared" si="3"/>
        <v>3</v>
      </c>
      <c r="N15" s="5" t="s">
        <v>6</v>
      </c>
      <c r="O15" s="26" t="str">
        <f t="shared" si="4"/>
        <v>4</v>
      </c>
      <c r="P15" s="5" t="s">
        <v>5</v>
      </c>
      <c r="Q15" s="26" t="str">
        <f t="shared" si="5"/>
        <v>3</v>
      </c>
      <c r="R15" s="5" t="s">
        <v>6</v>
      </c>
      <c r="S15" s="26" t="str">
        <f t="shared" si="6"/>
        <v>4</v>
      </c>
      <c r="T15" s="5" t="s">
        <v>6</v>
      </c>
      <c r="U15" s="26" t="str">
        <f t="shared" si="7"/>
        <v>4</v>
      </c>
      <c r="V15" s="5" t="s">
        <v>6</v>
      </c>
      <c r="W15" s="26" t="str">
        <f t="shared" si="8"/>
        <v>4</v>
      </c>
      <c r="X15" s="5" t="s">
        <v>6</v>
      </c>
      <c r="Y15" s="26" t="str">
        <f t="shared" si="9"/>
        <v>4</v>
      </c>
      <c r="Z15" s="5" t="s">
        <v>5</v>
      </c>
      <c r="AA15" s="26" t="str">
        <f t="shared" si="10"/>
        <v>3</v>
      </c>
      <c r="AB15" s="5" t="s">
        <v>6</v>
      </c>
      <c r="AC15" s="26" t="str">
        <f t="shared" si="11"/>
        <v>4</v>
      </c>
      <c r="AD15" s="5" t="s">
        <v>6</v>
      </c>
      <c r="AE15" s="26" t="str">
        <f t="shared" si="12"/>
        <v>4</v>
      </c>
      <c r="AF15" s="15"/>
      <c r="AG15" s="139"/>
      <c r="AH15" s="134"/>
      <c r="AI15" s="5" t="s">
        <v>43</v>
      </c>
      <c r="AJ15" s="4">
        <v>0</v>
      </c>
      <c r="AK15" s="20">
        <f t="shared" si="20"/>
        <v>0</v>
      </c>
      <c r="AL15" s="14"/>
    </row>
    <row r="16" spans="1:79" ht="26.4">
      <c r="A16" s="119"/>
      <c r="B16" s="8" t="s">
        <v>172</v>
      </c>
      <c r="C16" s="15"/>
      <c r="J16" s="29"/>
      <c r="K16" s="5" t="s">
        <v>142</v>
      </c>
      <c r="L16" s="5" t="s">
        <v>5</v>
      </c>
      <c r="M16" s="35" t="str">
        <f t="shared" si="3"/>
        <v>3</v>
      </c>
      <c r="N16" s="5" t="s">
        <v>7</v>
      </c>
      <c r="O16" s="26" t="str">
        <f t="shared" si="4"/>
        <v>5</v>
      </c>
      <c r="P16" s="5" t="s">
        <v>7</v>
      </c>
      <c r="Q16" s="26" t="str">
        <f t="shared" si="5"/>
        <v>5</v>
      </c>
      <c r="R16" s="5" t="s">
        <v>7</v>
      </c>
      <c r="S16" s="26" t="str">
        <f t="shared" si="6"/>
        <v>5</v>
      </c>
      <c r="T16" s="5" t="s">
        <v>7</v>
      </c>
      <c r="U16" s="26" t="str">
        <f t="shared" si="7"/>
        <v>5</v>
      </c>
      <c r="V16" s="5" t="s">
        <v>5</v>
      </c>
      <c r="W16" s="26" t="str">
        <f t="shared" si="8"/>
        <v>3</v>
      </c>
      <c r="X16" s="5" t="s">
        <v>5</v>
      </c>
      <c r="Y16" s="26" t="str">
        <f t="shared" si="9"/>
        <v>3</v>
      </c>
      <c r="Z16" s="5" t="s">
        <v>7</v>
      </c>
      <c r="AA16" s="26" t="str">
        <f t="shared" si="10"/>
        <v>5</v>
      </c>
      <c r="AB16" s="5" t="s">
        <v>7</v>
      </c>
      <c r="AC16" s="26" t="str">
        <f t="shared" si="11"/>
        <v>5</v>
      </c>
      <c r="AD16" s="5" t="s">
        <v>7</v>
      </c>
      <c r="AE16" s="26" t="str">
        <f t="shared" si="12"/>
        <v>5</v>
      </c>
      <c r="AF16" s="15"/>
      <c r="AG16" s="139"/>
      <c r="AH16" s="134"/>
      <c r="AI16" s="5" t="s">
        <v>44</v>
      </c>
      <c r="AJ16" s="4">
        <v>0</v>
      </c>
      <c r="AK16" s="20">
        <f t="shared" si="20"/>
        <v>0</v>
      </c>
      <c r="AL16" s="14"/>
    </row>
    <row r="17" spans="1:38">
      <c r="A17" s="119"/>
      <c r="B17" s="8" t="s">
        <v>173</v>
      </c>
      <c r="C17" s="15"/>
      <c r="J17" s="29"/>
      <c r="K17" s="5" t="s">
        <v>143</v>
      </c>
      <c r="L17" s="5" t="s">
        <v>5</v>
      </c>
      <c r="M17" s="35" t="str">
        <f t="shared" si="3"/>
        <v>3</v>
      </c>
      <c r="N17" s="5" t="s">
        <v>5</v>
      </c>
      <c r="O17" s="26" t="str">
        <f t="shared" si="4"/>
        <v>3</v>
      </c>
      <c r="P17" s="5" t="s">
        <v>4</v>
      </c>
      <c r="Q17" s="26" t="str">
        <f t="shared" si="5"/>
        <v>2</v>
      </c>
      <c r="R17" s="5" t="s">
        <v>5</v>
      </c>
      <c r="S17" s="26" t="str">
        <f t="shared" si="6"/>
        <v>3</v>
      </c>
      <c r="T17" s="5" t="s">
        <v>6</v>
      </c>
      <c r="U17" s="26" t="str">
        <f t="shared" si="7"/>
        <v>4</v>
      </c>
      <c r="V17" s="5" t="s">
        <v>5</v>
      </c>
      <c r="W17" s="26" t="str">
        <f t="shared" si="8"/>
        <v>3</v>
      </c>
      <c r="X17" s="5" t="s">
        <v>6</v>
      </c>
      <c r="Y17" s="26" t="str">
        <f t="shared" si="9"/>
        <v>4</v>
      </c>
      <c r="Z17" s="5" t="s">
        <v>6</v>
      </c>
      <c r="AA17" s="26" t="str">
        <f t="shared" si="10"/>
        <v>4</v>
      </c>
      <c r="AB17" s="5" t="s">
        <v>6</v>
      </c>
      <c r="AC17" s="26" t="str">
        <f t="shared" si="11"/>
        <v>4</v>
      </c>
      <c r="AD17" s="5" t="s">
        <v>6</v>
      </c>
      <c r="AE17" s="26" t="str">
        <f t="shared" si="12"/>
        <v>4</v>
      </c>
      <c r="AF17" s="15"/>
      <c r="AG17" s="139"/>
      <c r="AH17" s="134"/>
      <c r="AI17" s="5" t="s">
        <v>45</v>
      </c>
      <c r="AJ17" s="4">
        <v>0</v>
      </c>
      <c r="AK17" s="20">
        <f t="shared" si="20"/>
        <v>0</v>
      </c>
      <c r="AL17" s="14"/>
    </row>
    <row r="18" spans="1:38" ht="26.4">
      <c r="A18" s="119"/>
      <c r="B18" s="8" t="s">
        <v>174</v>
      </c>
      <c r="C18" s="15"/>
      <c r="J18" s="29"/>
      <c r="K18" s="5" t="s">
        <v>144</v>
      </c>
      <c r="L18" s="5" t="s">
        <v>5</v>
      </c>
      <c r="M18" s="35" t="str">
        <f t="shared" si="3"/>
        <v>3</v>
      </c>
      <c r="N18" s="5" t="s">
        <v>6</v>
      </c>
      <c r="O18" s="26" t="str">
        <f t="shared" si="4"/>
        <v>4</v>
      </c>
      <c r="P18" s="5" t="s">
        <v>6</v>
      </c>
      <c r="Q18" s="26" t="str">
        <f t="shared" si="5"/>
        <v>4</v>
      </c>
      <c r="R18" s="5" t="s">
        <v>6</v>
      </c>
      <c r="S18" s="26" t="str">
        <f t="shared" si="6"/>
        <v>4</v>
      </c>
      <c r="T18" s="5" t="s">
        <v>6</v>
      </c>
      <c r="U18" s="26" t="str">
        <f t="shared" si="7"/>
        <v>4</v>
      </c>
      <c r="V18" s="5" t="s">
        <v>6</v>
      </c>
      <c r="W18" s="26" t="str">
        <f t="shared" si="8"/>
        <v>4</v>
      </c>
      <c r="X18" s="5" t="s">
        <v>5</v>
      </c>
      <c r="Y18" s="26" t="str">
        <f t="shared" si="9"/>
        <v>3</v>
      </c>
      <c r="Z18" s="5" t="s">
        <v>5</v>
      </c>
      <c r="AA18" s="26" t="str">
        <f t="shared" si="10"/>
        <v>3</v>
      </c>
      <c r="AB18" s="5" t="s">
        <v>6</v>
      </c>
      <c r="AC18" s="26" t="str">
        <f t="shared" si="11"/>
        <v>4</v>
      </c>
      <c r="AD18" s="5" t="s">
        <v>6</v>
      </c>
      <c r="AE18" s="26" t="str">
        <f t="shared" si="12"/>
        <v>4</v>
      </c>
      <c r="AF18" s="15"/>
      <c r="AG18" s="139"/>
      <c r="AH18" s="134"/>
      <c r="AI18" s="5" t="s">
        <v>46</v>
      </c>
      <c r="AJ18" s="4">
        <v>0</v>
      </c>
      <c r="AK18" s="20">
        <f t="shared" si="20"/>
        <v>0</v>
      </c>
      <c r="AL18" s="14"/>
    </row>
    <row r="19" spans="1:38" ht="52.8">
      <c r="A19" s="119"/>
      <c r="B19" s="8" t="s">
        <v>175</v>
      </c>
      <c r="C19" s="15"/>
      <c r="J19" s="29"/>
      <c r="K19" s="5" t="s">
        <v>145</v>
      </c>
      <c r="L19" s="5" t="s">
        <v>5</v>
      </c>
      <c r="M19" s="35" t="str">
        <f t="shared" si="3"/>
        <v>3</v>
      </c>
      <c r="N19" s="5" t="s">
        <v>6</v>
      </c>
      <c r="O19" s="26" t="str">
        <f t="shared" si="4"/>
        <v>4</v>
      </c>
      <c r="P19" s="5" t="s">
        <v>5</v>
      </c>
      <c r="Q19" s="26" t="str">
        <f t="shared" si="5"/>
        <v>3</v>
      </c>
      <c r="R19" s="5" t="s">
        <v>6</v>
      </c>
      <c r="S19" s="26" t="str">
        <f t="shared" si="6"/>
        <v>4</v>
      </c>
      <c r="T19" s="5" t="s">
        <v>6</v>
      </c>
      <c r="U19" s="26" t="str">
        <f t="shared" si="7"/>
        <v>4</v>
      </c>
      <c r="V19" s="5" t="s">
        <v>5</v>
      </c>
      <c r="W19" s="26" t="str">
        <f t="shared" si="8"/>
        <v>3</v>
      </c>
      <c r="X19" s="5" t="s">
        <v>6</v>
      </c>
      <c r="Y19" s="26" t="str">
        <f t="shared" si="9"/>
        <v>4</v>
      </c>
      <c r="Z19" s="5" t="s">
        <v>5</v>
      </c>
      <c r="AA19" s="26" t="str">
        <f t="shared" si="10"/>
        <v>3</v>
      </c>
      <c r="AB19" s="5" t="s">
        <v>6</v>
      </c>
      <c r="AC19" s="26" t="str">
        <f t="shared" si="11"/>
        <v>4</v>
      </c>
      <c r="AD19" s="5" t="s">
        <v>6</v>
      </c>
      <c r="AE19" s="26" t="str">
        <f t="shared" si="12"/>
        <v>4</v>
      </c>
      <c r="AF19" s="15"/>
      <c r="AG19" s="139"/>
      <c r="AH19" s="135"/>
      <c r="AI19" s="5" t="s">
        <v>47</v>
      </c>
      <c r="AJ19" s="4">
        <v>3</v>
      </c>
      <c r="AK19" s="20">
        <f t="shared" si="20"/>
        <v>8.3333333333333329E-2</v>
      </c>
      <c r="AL19" s="14"/>
    </row>
    <row r="20" spans="1:38" ht="26.4">
      <c r="A20" s="119"/>
      <c r="B20" s="8" t="s">
        <v>176</v>
      </c>
      <c r="C20" s="15"/>
      <c r="J20" s="29"/>
      <c r="K20" s="5" t="s">
        <v>146</v>
      </c>
      <c r="L20" s="5" t="s">
        <v>6</v>
      </c>
      <c r="M20" s="35" t="str">
        <f t="shared" si="3"/>
        <v>4</v>
      </c>
      <c r="N20" s="5" t="s">
        <v>6</v>
      </c>
      <c r="O20" s="26" t="str">
        <f t="shared" si="4"/>
        <v>4</v>
      </c>
      <c r="P20" s="5" t="s">
        <v>6</v>
      </c>
      <c r="Q20" s="26" t="str">
        <f t="shared" si="5"/>
        <v>4</v>
      </c>
      <c r="R20" s="5" t="s">
        <v>6</v>
      </c>
      <c r="S20" s="26" t="str">
        <f t="shared" si="6"/>
        <v>4</v>
      </c>
      <c r="T20" s="5" t="s">
        <v>5</v>
      </c>
      <c r="U20" s="26" t="str">
        <f t="shared" si="7"/>
        <v>3</v>
      </c>
      <c r="V20" s="5" t="s">
        <v>5</v>
      </c>
      <c r="W20" s="26" t="str">
        <f t="shared" si="8"/>
        <v>3</v>
      </c>
      <c r="X20" s="5" t="s">
        <v>6</v>
      </c>
      <c r="Y20" s="26" t="str">
        <f t="shared" si="9"/>
        <v>4</v>
      </c>
      <c r="Z20" s="5" t="s">
        <v>6</v>
      </c>
      <c r="AA20" s="26" t="str">
        <f t="shared" si="10"/>
        <v>4</v>
      </c>
      <c r="AB20" s="5" t="s">
        <v>6</v>
      </c>
      <c r="AC20" s="26" t="str">
        <f t="shared" si="11"/>
        <v>4</v>
      </c>
      <c r="AD20" s="5" t="s">
        <v>6</v>
      </c>
      <c r="AE20" s="26" t="str">
        <f t="shared" si="12"/>
        <v>4</v>
      </c>
      <c r="AF20" s="15"/>
      <c r="AG20" s="139">
        <v>1.04</v>
      </c>
      <c r="AH20" s="136" t="s">
        <v>86</v>
      </c>
      <c r="AI20" s="5" t="s">
        <v>48</v>
      </c>
      <c r="AJ20" s="4">
        <v>10</v>
      </c>
      <c r="AK20" s="20">
        <f>AJ20/(SUM($AJ$20:$AJ$24))</f>
        <v>0.27777777777777779</v>
      </c>
      <c r="AL20" s="14"/>
    </row>
    <row r="21" spans="1:38" ht="26.4">
      <c r="A21" s="119"/>
      <c r="B21" s="13"/>
      <c r="C21" s="15"/>
      <c r="J21" s="29"/>
      <c r="K21" s="5" t="s">
        <v>147</v>
      </c>
      <c r="L21" s="5" t="s">
        <v>6</v>
      </c>
      <c r="M21" s="35" t="str">
        <f t="shared" si="3"/>
        <v>4</v>
      </c>
      <c r="N21" s="5" t="s">
        <v>7</v>
      </c>
      <c r="O21" s="26" t="str">
        <f t="shared" si="4"/>
        <v>5</v>
      </c>
      <c r="P21" s="5" t="s">
        <v>6</v>
      </c>
      <c r="Q21" s="26" t="str">
        <f t="shared" si="5"/>
        <v>4</v>
      </c>
      <c r="R21" s="5" t="s">
        <v>7</v>
      </c>
      <c r="S21" s="26" t="str">
        <f t="shared" si="6"/>
        <v>5</v>
      </c>
      <c r="T21" s="5" t="s">
        <v>6</v>
      </c>
      <c r="U21" s="26" t="str">
        <f t="shared" si="7"/>
        <v>4</v>
      </c>
      <c r="V21" s="5" t="s">
        <v>5</v>
      </c>
      <c r="W21" s="26" t="str">
        <f t="shared" si="8"/>
        <v>3</v>
      </c>
      <c r="X21" s="5" t="s">
        <v>7</v>
      </c>
      <c r="Y21" s="26" t="str">
        <f t="shared" si="9"/>
        <v>5</v>
      </c>
      <c r="Z21" s="5" t="s">
        <v>7</v>
      </c>
      <c r="AA21" s="26" t="str">
        <f t="shared" si="10"/>
        <v>5</v>
      </c>
      <c r="AB21" s="5" t="s">
        <v>7</v>
      </c>
      <c r="AC21" s="26" t="str">
        <f t="shared" si="11"/>
        <v>5</v>
      </c>
      <c r="AD21" s="5" t="s">
        <v>7</v>
      </c>
      <c r="AE21" s="26" t="str">
        <f t="shared" si="12"/>
        <v>5</v>
      </c>
      <c r="AF21" s="15"/>
      <c r="AG21" s="139"/>
      <c r="AH21" s="137"/>
      <c r="AI21" s="5" t="s">
        <v>49</v>
      </c>
      <c r="AJ21" s="4">
        <v>14</v>
      </c>
      <c r="AK21" s="20">
        <f>AJ21/(SUM($AJ$20:$AJ$24))</f>
        <v>0.3888888888888889</v>
      </c>
      <c r="AL21" s="14"/>
    </row>
    <row r="22" spans="1:38" ht="26.4">
      <c r="A22" s="119"/>
      <c r="B22" s="10" t="s">
        <v>77</v>
      </c>
      <c r="C22" s="15"/>
      <c r="J22" s="29"/>
      <c r="K22" s="5" t="s">
        <v>148</v>
      </c>
      <c r="L22" s="5" t="s">
        <v>5</v>
      </c>
      <c r="M22" s="35" t="str">
        <f t="shared" si="3"/>
        <v>3</v>
      </c>
      <c r="N22" s="5" t="s">
        <v>6</v>
      </c>
      <c r="O22" s="26" t="str">
        <f t="shared" si="4"/>
        <v>4</v>
      </c>
      <c r="P22" s="5" t="s">
        <v>5</v>
      </c>
      <c r="Q22" s="26" t="str">
        <f t="shared" si="5"/>
        <v>3</v>
      </c>
      <c r="R22" s="5" t="s">
        <v>5</v>
      </c>
      <c r="S22" s="26" t="str">
        <f t="shared" si="6"/>
        <v>3</v>
      </c>
      <c r="T22" s="5" t="s">
        <v>5</v>
      </c>
      <c r="U22" s="26" t="str">
        <f t="shared" si="7"/>
        <v>3</v>
      </c>
      <c r="V22" s="5" t="s">
        <v>6</v>
      </c>
      <c r="W22" s="26" t="str">
        <f t="shared" si="8"/>
        <v>4</v>
      </c>
      <c r="X22" s="5" t="s">
        <v>6</v>
      </c>
      <c r="Y22" s="26" t="str">
        <f t="shared" si="9"/>
        <v>4</v>
      </c>
      <c r="Z22" s="5" t="s">
        <v>7</v>
      </c>
      <c r="AA22" s="26" t="str">
        <f t="shared" si="10"/>
        <v>5</v>
      </c>
      <c r="AB22" s="5" t="s">
        <v>5</v>
      </c>
      <c r="AC22" s="26" t="str">
        <f t="shared" si="11"/>
        <v>3</v>
      </c>
      <c r="AD22" s="5" t="s">
        <v>6</v>
      </c>
      <c r="AE22" s="26" t="str">
        <f t="shared" si="12"/>
        <v>4</v>
      </c>
      <c r="AF22" s="15"/>
      <c r="AG22" s="139"/>
      <c r="AH22" s="137"/>
      <c r="AI22" s="5" t="s">
        <v>50</v>
      </c>
      <c r="AJ22" s="4">
        <v>8</v>
      </c>
      <c r="AK22" s="20">
        <f>AJ22/(SUM($AJ$20:$AJ$24))</f>
        <v>0.22222222222222221</v>
      </c>
      <c r="AL22" s="14"/>
    </row>
    <row r="23" spans="1:38" ht="66">
      <c r="A23" s="119"/>
      <c r="B23" s="8" t="s">
        <v>19</v>
      </c>
      <c r="C23" s="15"/>
      <c r="J23" s="29"/>
      <c r="K23" s="5" t="s">
        <v>149</v>
      </c>
      <c r="L23" s="5" t="s">
        <v>5</v>
      </c>
      <c r="M23" s="35" t="str">
        <f t="shared" si="3"/>
        <v>3</v>
      </c>
      <c r="N23" s="5" t="s">
        <v>7</v>
      </c>
      <c r="O23" s="26" t="str">
        <f t="shared" si="4"/>
        <v>5</v>
      </c>
      <c r="P23" s="5" t="s">
        <v>5</v>
      </c>
      <c r="Q23" s="26" t="str">
        <f t="shared" si="5"/>
        <v>3</v>
      </c>
      <c r="R23" s="5" t="s">
        <v>6</v>
      </c>
      <c r="S23" s="26" t="str">
        <f t="shared" si="6"/>
        <v>4</v>
      </c>
      <c r="T23" s="5" t="s">
        <v>6</v>
      </c>
      <c r="U23" s="26" t="str">
        <f t="shared" si="7"/>
        <v>4</v>
      </c>
      <c r="V23" s="5" t="s">
        <v>6</v>
      </c>
      <c r="W23" s="26" t="str">
        <f t="shared" si="8"/>
        <v>4</v>
      </c>
      <c r="X23" s="5" t="s">
        <v>7</v>
      </c>
      <c r="Y23" s="26" t="str">
        <f t="shared" si="9"/>
        <v>5</v>
      </c>
      <c r="Z23" s="5" t="s">
        <v>6</v>
      </c>
      <c r="AA23" s="26" t="str">
        <f t="shared" si="10"/>
        <v>4</v>
      </c>
      <c r="AB23" s="5" t="s">
        <v>6</v>
      </c>
      <c r="AC23" s="26" t="str">
        <f t="shared" si="11"/>
        <v>4</v>
      </c>
      <c r="AD23" s="5" t="s">
        <v>6</v>
      </c>
      <c r="AE23" s="26" t="str">
        <f t="shared" si="12"/>
        <v>4</v>
      </c>
      <c r="AF23" s="15"/>
      <c r="AG23" s="139"/>
      <c r="AH23" s="137"/>
      <c r="AI23" s="5" t="s">
        <v>51</v>
      </c>
      <c r="AJ23" s="4">
        <v>4</v>
      </c>
      <c r="AK23" s="20">
        <f>AJ23/(SUM($AJ$20:$AJ$24))</f>
        <v>0.1111111111111111</v>
      </c>
      <c r="AL23" s="14"/>
    </row>
    <row r="24" spans="1:38" ht="26.4">
      <c r="A24" s="119"/>
      <c r="B24" s="8" t="s">
        <v>177</v>
      </c>
      <c r="C24" s="15"/>
      <c r="J24" s="29"/>
      <c r="K24" s="5" t="s">
        <v>150</v>
      </c>
      <c r="L24" s="5" t="s">
        <v>6</v>
      </c>
      <c r="M24" s="35" t="str">
        <f t="shared" si="3"/>
        <v>4</v>
      </c>
      <c r="N24" s="5" t="s">
        <v>7</v>
      </c>
      <c r="O24" s="26" t="str">
        <f t="shared" si="4"/>
        <v>5</v>
      </c>
      <c r="P24" s="5" t="s">
        <v>6</v>
      </c>
      <c r="Q24" s="26" t="str">
        <f t="shared" si="5"/>
        <v>4</v>
      </c>
      <c r="R24" s="5" t="s">
        <v>6</v>
      </c>
      <c r="S24" s="26" t="str">
        <f t="shared" si="6"/>
        <v>4</v>
      </c>
      <c r="T24" s="5" t="s">
        <v>6</v>
      </c>
      <c r="U24" s="26" t="str">
        <f t="shared" si="7"/>
        <v>4</v>
      </c>
      <c r="V24" s="5" t="s">
        <v>5</v>
      </c>
      <c r="W24" s="26" t="str">
        <f t="shared" si="8"/>
        <v>3</v>
      </c>
      <c r="X24" s="5" t="s">
        <v>7</v>
      </c>
      <c r="Y24" s="26" t="str">
        <f t="shared" si="9"/>
        <v>5</v>
      </c>
      <c r="Z24" s="5" t="s">
        <v>7</v>
      </c>
      <c r="AA24" s="26" t="str">
        <f t="shared" si="10"/>
        <v>5</v>
      </c>
      <c r="AB24" s="5" t="s">
        <v>5</v>
      </c>
      <c r="AC24" s="26" t="str">
        <f t="shared" si="11"/>
        <v>3</v>
      </c>
      <c r="AD24" s="5" t="s">
        <v>6</v>
      </c>
      <c r="AE24" s="26" t="str">
        <f t="shared" si="12"/>
        <v>4</v>
      </c>
      <c r="AF24" s="15"/>
      <c r="AG24" s="139"/>
      <c r="AH24" s="138"/>
      <c r="AI24" s="5" t="s">
        <v>52</v>
      </c>
      <c r="AJ24" s="4">
        <v>0</v>
      </c>
      <c r="AK24" s="20">
        <f>AJ24/(SUM($AJ$20:$AJ$24))</f>
        <v>0</v>
      </c>
      <c r="AL24" s="14"/>
    </row>
    <row r="25" spans="1:38">
      <c r="A25" s="119"/>
      <c r="B25" s="8" t="s">
        <v>178</v>
      </c>
      <c r="C25" s="15"/>
      <c r="J25" s="29"/>
      <c r="K25" s="5" t="s">
        <v>151</v>
      </c>
      <c r="L25" s="5" t="s">
        <v>5</v>
      </c>
      <c r="M25" s="35" t="str">
        <f t="shared" si="3"/>
        <v>3</v>
      </c>
      <c r="N25" s="5" t="s">
        <v>6</v>
      </c>
      <c r="O25" s="26" t="str">
        <f t="shared" si="4"/>
        <v>4</v>
      </c>
      <c r="P25" s="5" t="s">
        <v>5</v>
      </c>
      <c r="Q25" s="26" t="str">
        <f t="shared" si="5"/>
        <v>3</v>
      </c>
      <c r="R25" s="5" t="s">
        <v>6</v>
      </c>
      <c r="S25" s="26" t="str">
        <f t="shared" si="6"/>
        <v>4</v>
      </c>
      <c r="T25" s="5" t="s">
        <v>6</v>
      </c>
      <c r="U25" s="26" t="str">
        <f t="shared" si="7"/>
        <v>4</v>
      </c>
      <c r="V25" s="5" t="s">
        <v>6</v>
      </c>
      <c r="W25" s="26" t="str">
        <f t="shared" si="8"/>
        <v>4</v>
      </c>
      <c r="X25" s="5" t="s">
        <v>6</v>
      </c>
      <c r="Y25" s="26" t="str">
        <f t="shared" si="9"/>
        <v>4</v>
      </c>
      <c r="Z25" s="5" t="s">
        <v>5</v>
      </c>
      <c r="AA25" s="26" t="str">
        <f t="shared" si="10"/>
        <v>3</v>
      </c>
      <c r="AB25" s="5" t="s">
        <v>5</v>
      </c>
      <c r="AC25" s="26" t="str">
        <f t="shared" si="11"/>
        <v>3</v>
      </c>
      <c r="AD25" s="5" t="s">
        <v>5</v>
      </c>
      <c r="AE25" s="26" t="str">
        <f t="shared" si="12"/>
        <v>3</v>
      </c>
      <c r="AF25" s="15"/>
      <c r="AG25" s="15"/>
      <c r="AH25" s="14"/>
      <c r="AI25" s="15"/>
      <c r="AJ25" s="14"/>
      <c r="AK25" s="14"/>
      <c r="AL25" s="14"/>
    </row>
    <row r="26" spans="1:38" ht="26.4">
      <c r="A26" s="119"/>
      <c r="B26" s="8" t="s">
        <v>179</v>
      </c>
      <c r="C26" s="15"/>
      <c r="J26" s="29"/>
      <c r="K26" s="5" t="s">
        <v>152</v>
      </c>
      <c r="L26" s="5" t="s">
        <v>5</v>
      </c>
      <c r="M26" s="35" t="str">
        <f t="shared" si="3"/>
        <v>3</v>
      </c>
      <c r="N26" s="5" t="s">
        <v>7</v>
      </c>
      <c r="O26" s="26" t="str">
        <f t="shared" si="4"/>
        <v>5</v>
      </c>
      <c r="P26" s="5" t="s">
        <v>7</v>
      </c>
      <c r="Q26" s="26" t="str">
        <f t="shared" si="5"/>
        <v>5</v>
      </c>
      <c r="R26" s="5" t="s">
        <v>7</v>
      </c>
      <c r="S26" s="26" t="str">
        <f t="shared" si="6"/>
        <v>5</v>
      </c>
      <c r="T26" s="5" t="s">
        <v>7</v>
      </c>
      <c r="U26" s="26" t="str">
        <f t="shared" si="7"/>
        <v>5</v>
      </c>
      <c r="V26" s="5" t="s">
        <v>6</v>
      </c>
      <c r="W26" s="26" t="str">
        <f t="shared" si="8"/>
        <v>4</v>
      </c>
      <c r="X26" s="5" t="s">
        <v>7</v>
      </c>
      <c r="Y26" s="26" t="str">
        <f t="shared" si="9"/>
        <v>5</v>
      </c>
      <c r="Z26" s="5" t="s">
        <v>7</v>
      </c>
      <c r="AA26" s="26" t="str">
        <f t="shared" si="10"/>
        <v>5</v>
      </c>
      <c r="AB26" s="5" t="s">
        <v>5</v>
      </c>
      <c r="AC26" s="26" t="str">
        <f t="shared" si="11"/>
        <v>3</v>
      </c>
      <c r="AD26" s="5" t="s">
        <v>5</v>
      </c>
      <c r="AE26" s="26" t="str">
        <f t="shared" si="12"/>
        <v>3</v>
      </c>
      <c r="AF26" s="15"/>
    </row>
    <row r="27" spans="1:38" ht="26.4">
      <c r="A27" s="119"/>
      <c r="B27" s="8" t="s">
        <v>180</v>
      </c>
      <c r="C27" s="15"/>
      <c r="J27" s="29"/>
      <c r="K27" s="5" t="s">
        <v>153</v>
      </c>
      <c r="L27" s="5" t="s">
        <v>5</v>
      </c>
      <c r="M27" s="35" t="str">
        <f t="shared" si="3"/>
        <v>3</v>
      </c>
      <c r="N27" s="5" t="s">
        <v>7</v>
      </c>
      <c r="O27" s="26" t="str">
        <f t="shared" si="4"/>
        <v>5</v>
      </c>
      <c r="P27" s="5" t="s">
        <v>5</v>
      </c>
      <c r="Q27" s="26" t="str">
        <f t="shared" si="5"/>
        <v>3</v>
      </c>
      <c r="R27" s="5" t="s">
        <v>6</v>
      </c>
      <c r="S27" s="26" t="str">
        <f t="shared" si="6"/>
        <v>4</v>
      </c>
      <c r="T27" s="5" t="s">
        <v>6</v>
      </c>
      <c r="U27" s="26" t="str">
        <f t="shared" si="7"/>
        <v>4</v>
      </c>
      <c r="V27" s="5" t="s">
        <v>3</v>
      </c>
      <c r="W27" s="26" t="str">
        <f t="shared" si="8"/>
        <v>1</v>
      </c>
      <c r="X27" s="5" t="s">
        <v>5</v>
      </c>
      <c r="Y27" s="26" t="str">
        <f t="shared" si="9"/>
        <v>3</v>
      </c>
      <c r="Z27" s="5" t="s">
        <v>6</v>
      </c>
      <c r="AA27" s="26" t="str">
        <f t="shared" si="10"/>
        <v>4</v>
      </c>
      <c r="AB27" s="5" t="s">
        <v>6</v>
      </c>
      <c r="AC27" s="26" t="str">
        <f t="shared" si="11"/>
        <v>4</v>
      </c>
      <c r="AD27" s="5" t="s">
        <v>4</v>
      </c>
      <c r="AE27" s="26" t="str">
        <f t="shared" si="12"/>
        <v>2</v>
      </c>
      <c r="AF27" s="15"/>
    </row>
    <row r="28" spans="1:38" ht="26.4">
      <c r="A28" s="119"/>
      <c r="B28" s="8" t="s">
        <v>181</v>
      </c>
      <c r="C28" s="15"/>
      <c r="J28" s="29"/>
      <c r="K28" s="5" t="s">
        <v>154</v>
      </c>
      <c r="L28" s="5" t="s">
        <v>5</v>
      </c>
      <c r="M28" s="35" t="str">
        <f t="shared" si="3"/>
        <v>3</v>
      </c>
      <c r="N28" s="5" t="s">
        <v>6</v>
      </c>
      <c r="O28" s="26" t="str">
        <f t="shared" si="4"/>
        <v>4</v>
      </c>
      <c r="P28" s="5" t="s">
        <v>5</v>
      </c>
      <c r="Q28" s="26" t="str">
        <f t="shared" si="5"/>
        <v>3</v>
      </c>
      <c r="R28" s="5" t="s">
        <v>6</v>
      </c>
      <c r="S28" s="26" t="str">
        <f t="shared" si="6"/>
        <v>4</v>
      </c>
      <c r="T28" s="5" t="s">
        <v>5</v>
      </c>
      <c r="U28" s="26" t="str">
        <f t="shared" si="7"/>
        <v>3</v>
      </c>
      <c r="V28" s="5" t="s">
        <v>3</v>
      </c>
      <c r="W28" s="26" t="str">
        <f t="shared" si="8"/>
        <v>1</v>
      </c>
      <c r="X28" s="5" t="s">
        <v>5</v>
      </c>
      <c r="Y28" s="26" t="str">
        <f t="shared" si="9"/>
        <v>3</v>
      </c>
      <c r="Z28" s="5" t="s">
        <v>5</v>
      </c>
      <c r="AA28" s="26" t="str">
        <f t="shared" si="10"/>
        <v>3</v>
      </c>
      <c r="AB28" s="5" t="s">
        <v>5</v>
      </c>
      <c r="AC28" s="26" t="str">
        <f t="shared" si="11"/>
        <v>3</v>
      </c>
      <c r="AD28" s="5" t="s">
        <v>5</v>
      </c>
      <c r="AE28" s="26" t="str">
        <f t="shared" si="12"/>
        <v>3</v>
      </c>
      <c r="AF28" s="15"/>
    </row>
    <row r="29" spans="1:38">
      <c r="A29" s="119"/>
      <c r="B29" s="8" t="s">
        <v>182</v>
      </c>
      <c r="C29" s="15"/>
      <c r="J29" s="29"/>
      <c r="K29" s="5" t="s">
        <v>155</v>
      </c>
      <c r="L29" s="5" t="s">
        <v>5</v>
      </c>
      <c r="M29" s="35" t="str">
        <f t="shared" si="3"/>
        <v>3</v>
      </c>
      <c r="N29" s="5" t="s">
        <v>6</v>
      </c>
      <c r="O29" s="26" t="str">
        <f t="shared" si="4"/>
        <v>4</v>
      </c>
      <c r="P29" s="5" t="s">
        <v>6</v>
      </c>
      <c r="Q29" s="26" t="str">
        <f t="shared" si="5"/>
        <v>4</v>
      </c>
      <c r="R29" s="5" t="s">
        <v>5</v>
      </c>
      <c r="S29" s="26" t="str">
        <f t="shared" si="6"/>
        <v>3</v>
      </c>
      <c r="T29" s="5" t="s">
        <v>5</v>
      </c>
      <c r="U29" s="26" t="str">
        <f t="shared" si="7"/>
        <v>3</v>
      </c>
      <c r="V29" s="5" t="s">
        <v>5</v>
      </c>
      <c r="W29" s="26" t="str">
        <f t="shared" si="8"/>
        <v>3</v>
      </c>
      <c r="X29" s="5" t="s">
        <v>6</v>
      </c>
      <c r="Y29" s="26" t="str">
        <f t="shared" si="9"/>
        <v>4</v>
      </c>
      <c r="Z29" s="5" t="s">
        <v>6</v>
      </c>
      <c r="AA29" s="26" t="str">
        <f t="shared" si="10"/>
        <v>4</v>
      </c>
      <c r="AB29" s="5" t="s">
        <v>5</v>
      </c>
      <c r="AC29" s="26" t="str">
        <f t="shared" si="11"/>
        <v>3</v>
      </c>
      <c r="AD29" s="5" t="s">
        <v>5</v>
      </c>
      <c r="AE29" s="26" t="str">
        <f t="shared" si="12"/>
        <v>3</v>
      </c>
      <c r="AF29" s="15"/>
    </row>
    <row r="30" spans="1:38" ht="26.4">
      <c r="A30" s="119"/>
      <c r="B30" s="8" t="s">
        <v>183</v>
      </c>
      <c r="C30" s="15"/>
      <c r="J30" s="29"/>
      <c r="K30" s="5" t="s">
        <v>156</v>
      </c>
      <c r="L30" s="5" t="s">
        <v>6</v>
      </c>
      <c r="M30" s="35" t="str">
        <f t="shared" si="3"/>
        <v>4</v>
      </c>
      <c r="N30" s="5" t="s">
        <v>5</v>
      </c>
      <c r="O30" s="26" t="str">
        <f t="shared" si="4"/>
        <v>3</v>
      </c>
      <c r="P30" s="5" t="s">
        <v>6</v>
      </c>
      <c r="Q30" s="26" t="str">
        <f t="shared" si="5"/>
        <v>4</v>
      </c>
      <c r="R30" s="5" t="s">
        <v>5</v>
      </c>
      <c r="S30" s="26" t="str">
        <f t="shared" si="6"/>
        <v>3</v>
      </c>
      <c r="T30" s="5" t="s">
        <v>6</v>
      </c>
      <c r="U30" s="26" t="str">
        <f t="shared" si="7"/>
        <v>4</v>
      </c>
      <c r="V30" s="5" t="s">
        <v>5</v>
      </c>
      <c r="W30" s="26" t="str">
        <f t="shared" si="8"/>
        <v>3</v>
      </c>
      <c r="X30" s="5" t="s">
        <v>6</v>
      </c>
      <c r="Y30" s="26" t="str">
        <f t="shared" si="9"/>
        <v>4</v>
      </c>
      <c r="Z30" s="5" t="s">
        <v>7</v>
      </c>
      <c r="AA30" s="26" t="str">
        <f t="shared" si="10"/>
        <v>5</v>
      </c>
      <c r="AB30" s="5" t="s">
        <v>6</v>
      </c>
      <c r="AC30" s="26" t="str">
        <f t="shared" si="11"/>
        <v>4</v>
      </c>
      <c r="AD30" s="5" t="s">
        <v>6</v>
      </c>
      <c r="AE30" s="26" t="str">
        <f t="shared" si="12"/>
        <v>4</v>
      </c>
      <c r="AF30" s="15"/>
    </row>
    <row r="31" spans="1:38">
      <c r="A31" s="119"/>
      <c r="B31" s="8" t="s">
        <v>184</v>
      </c>
      <c r="C31" s="15"/>
      <c r="J31" s="29"/>
      <c r="K31" s="5" t="s">
        <v>157</v>
      </c>
      <c r="L31" s="5" t="s">
        <v>4</v>
      </c>
      <c r="M31" s="35" t="str">
        <f t="shared" si="3"/>
        <v>2</v>
      </c>
      <c r="N31" s="5" t="s">
        <v>5</v>
      </c>
      <c r="O31" s="26" t="str">
        <f t="shared" si="4"/>
        <v>3</v>
      </c>
      <c r="P31" s="5" t="s">
        <v>5</v>
      </c>
      <c r="Q31" s="26" t="str">
        <f t="shared" si="5"/>
        <v>3</v>
      </c>
      <c r="R31" s="5" t="s">
        <v>4</v>
      </c>
      <c r="S31" s="26" t="str">
        <f t="shared" si="6"/>
        <v>2</v>
      </c>
      <c r="T31" s="5" t="s">
        <v>5</v>
      </c>
      <c r="U31" s="26" t="str">
        <f t="shared" si="7"/>
        <v>3</v>
      </c>
      <c r="V31" s="5" t="s">
        <v>6</v>
      </c>
      <c r="W31" s="26" t="str">
        <f t="shared" si="8"/>
        <v>4</v>
      </c>
      <c r="X31" s="5" t="s">
        <v>6</v>
      </c>
      <c r="Y31" s="26" t="str">
        <f t="shared" si="9"/>
        <v>4</v>
      </c>
      <c r="Z31" s="5" t="s">
        <v>6</v>
      </c>
      <c r="AA31" s="26" t="str">
        <f t="shared" si="10"/>
        <v>4</v>
      </c>
      <c r="AB31" s="5" t="s">
        <v>5</v>
      </c>
      <c r="AC31" s="26" t="str">
        <f t="shared" si="11"/>
        <v>3</v>
      </c>
      <c r="AD31" s="5" t="s">
        <v>6</v>
      </c>
      <c r="AE31" s="26" t="str">
        <f t="shared" si="12"/>
        <v>4</v>
      </c>
      <c r="AF31" s="15"/>
    </row>
    <row r="32" spans="1:38" ht="26.4">
      <c r="A32" s="119"/>
      <c r="B32" s="8" t="s">
        <v>185</v>
      </c>
      <c r="C32" s="15"/>
      <c r="J32" s="29"/>
      <c r="K32" s="5" t="s">
        <v>158</v>
      </c>
      <c r="L32" s="5" t="s">
        <v>6</v>
      </c>
      <c r="M32" s="35" t="str">
        <f t="shared" si="3"/>
        <v>4</v>
      </c>
      <c r="N32" s="5" t="s">
        <v>7</v>
      </c>
      <c r="O32" s="26" t="str">
        <f t="shared" si="4"/>
        <v>5</v>
      </c>
      <c r="P32" s="5" t="s">
        <v>6</v>
      </c>
      <c r="Q32" s="26" t="str">
        <f t="shared" si="5"/>
        <v>4</v>
      </c>
      <c r="R32" s="5" t="s">
        <v>7</v>
      </c>
      <c r="S32" s="26" t="str">
        <f t="shared" si="6"/>
        <v>5</v>
      </c>
      <c r="T32" s="5" t="s">
        <v>6</v>
      </c>
      <c r="U32" s="26" t="str">
        <f t="shared" si="7"/>
        <v>4</v>
      </c>
      <c r="V32" s="5" t="s">
        <v>6</v>
      </c>
      <c r="W32" s="26" t="str">
        <f t="shared" si="8"/>
        <v>4</v>
      </c>
      <c r="X32" s="5" t="s">
        <v>7</v>
      </c>
      <c r="Y32" s="26" t="str">
        <f t="shared" si="9"/>
        <v>5</v>
      </c>
      <c r="Z32" s="5" t="s">
        <v>5</v>
      </c>
      <c r="AA32" s="26" t="str">
        <f t="shared" si="10"/>
        <v>3</v>
      </c>
      <c r="AB32" s="5" t="s">
        <v>5</v>
      </c>
      <c r="AC32" s="26" t="str">
        <f t="shared" si="11"/>
        <v>3</v>
      </c>
      <c r="AD32" s="5" t="s">
        <v>6</v>
      </c>
      <c r="AE32" s="26" t="str">
        <f t="shared" si="12"/>
        <v>4</v>
      </c>
      <c r="AF32" s="15"/>
    </row>
    <row r="33" spans="1:32">
      <c r="A33" s="119"/>
      <c r="B33" s="8" t="s">
        <v>101</v>
      </c>
      <c r="C33" s="15"/>
      <c r="J33" s="29"/>
      <c r="K33" s="5" t="s">
        <v>159</v>
      </c>
      <c r="L33" s="5" t="s">
        <v>4</v>
      </c>
      <c r="M33" s="35" t="str">
        <f t="shared" si="3"/>
        <v>2</v>
      </c>
      <c r="N33" s="5" t="s">
        <v>6</v>
      </c>
      <c r="O33" s="26" t="str">
        <f t="shared" si="4"/>
        <v>4</v>
      </c>
      <c r="P33" s="5" t="s">
        <v>6</v>
      </c>
      <c r="Q33" s="26" t="str">
        <f t="shared" si="5"/>
        <v>4</v>
      </c>
      <c r="R33" s="5" t="s">
        <v>6</v>
      </c>
      <c r="S33" s="26" t="str">
        <f t="shared" si="6"/>
        <v>4</v>
      </c>
      <c r="T33" s="5" t="s">
        <v>6</v>
      </c>
      <c r="U33" s="26" t="str">
        <f t="shared" si="7"/>
        <v>4</v>
      </c>
      <c r="V33" s="5" t="s">
        <v>6</v>
      </c>
      <c r="W33" s="26" t="str">
        <f t="shared" si="8"/>
        <v>4</v>
      </c>
      <c r="X33" s="5" t="s">
        <v>6</v>
      </c>
      <c r="Y33" s="26" t="str">
        <f t="shared" si="9"/>
        <v>4</v>
      </c>
      <c r="Z33" s="5" t="s">
        <v>6</v>
      </c>
      <c r="AA33" s="26" t="str">
        <f t="shared" si="10"/>
        <v>4</v>
      </c>
      <c r="AB33" s="5" t="s">
        <v>5</v>
      </c>
      <c r="AC33" s="26" t="str">
        <f t="shared" si="11"/>
        <v>3</v>
      </c>
      <c r="AD33" s="5" t="s">
        <v>6</v>
      </c>
      <c r="AE33" s="26" t="str">
        <f t="shared" si="12"/>
        <v>4</v>
      </c>
      <c r="AF33" s="15"/>
    </row>
    <row r="34" spans="1:32" ht="13.2" customHeight="1">
      <c r="A34" s="119"/>
      <c r="B34" s="13"/>
      <c r="C34" s="15"/>
      <c r="J34" s="29"/>
      <c r="K34" s="5" t="s">
        <v>160</v>
      </c>
      <c r="L34" s="5" t="s">
        <v>3</v>
      </c>
      <c r="M34" s="35" t="str">
        <f t="shared" si="3"/>
        <v>1</v>
      </c>
      <c r="N34" s="5" t="s">
        <v>7</v>
      </c>
      <c r="O34" s="26" t="str">
        <f t="shared" si="4"/>
        <v>5</v>
      </c>
      <c r="P34" s="5" t="s">
        <v>5</v>
      </c>
      <c r="Q34" s="26" t="str">
        <f t="shared" si="5"/>
        <v>3</v>
      </c>
      <c r="R34" s="5" t="s">
        <v>6</v>
      </c>
      <c r="S34" s="26" t="str">
        <f t="shared" si="6"/>
        <v>4</v>
      </c>
      <c r="T34" s="5" t="s">
        <v>5</v>
      </c>
      <c r="U34" s="26" t="str">
        <f t="shared" si="7"/>
        <v>3</v>
      </c>
      <c r="V34" s="5" t="s">
        <v>5</v>
      </c>
      <c r="W34" s="26" t="str">
        <f t="shared" si="8"/>
        <v>3</v>
      </c>
      <c r="X34" s="5" t="s">
        <v>5</v>
      </c>
      <c r="Y34" s="26" t="str">
        <f t="shared" si="9"/>
        <v>3</v>
      </c>
      <c r="Z34" s="5" t="s">
        <v>5</v>
      </c>
      <c r="AA34" s="26" t="str">
        <f t="shared" si="10"/>
        <v>3</v>
      </c>
      <c r="AB34" s="5" t="s">
        <v>6</v>
      </c>
      <c r="AC34" s="26" t="str">
        <f t="shared" si="11"/>
        <v>4</v>
      </c>
      <c r="AD34" s="5" t="s">
        <v>6</v>
      </c>
      <c r="AE34" s="26" t="str">
        <f t="shared" si="12"/>
        <v>4</v>
      </c>
      <c r="AF34" s="15"/>
    </row>
    <row r="35" spans="1:32" ht="26.4">
      <c r="A35" s="119"/>
      <c r="B35" s="10" t="s">
        <v>76</v>
      </c>
      <c r="C35" s="15"/>
      <c r="J35" s="29"/>
      <c r="K35" s="5" t="s">
        <v>161</v>
      </c>
      <c r="L35" s="5" t="s">
        <v>5</v>
      </c>
      <c r="M35" s="35" t="str">
        <f t="shared" si="3"/>
        <v>3</v>
      </c>
      <c r="N35" s="5" t="s">
        <v>7</v>
      </c>
      <c r="O35" s="26" t="str">
        <f t="shared" si="4"/>
        <v>5</v>
      </c>
      <c r="P35" s="5" t="s">
        <v>7</v>
      </c>
      <c r="Q35" s="26" t="str">
        <f t="shared" si="5"/>
        <v>5</v>
      </c>
      <c r="R35" s="5" t="s">
        <v>7</v>
      </c>
      <c r="S35" s="26" t="str">
        <f t="shared" si="6"/>
        <v>5</v>
      </c>
      <c r="T35" s="5" t="s">
        <v>6</v>
      </c>
      <c r="U35" s="26" t="str">
        <f t="shared" si="7"/>
        <v>4</v>
      </c>
      <c r="V35" s="5" t="s">
        <v>6</v>
      </c>
      <c r="W35" s="26" t="str">
        <f t="shared" si="8"/>
        <v>4</v>
      </c>
      <c r="X35" s="5" t="s">
        <v>6</v>
      </c>
      <c r="Y35" s="26" t="str">
        <f t="shared" si="9"/>
        <v>4</v>
      </c>
      <c r="Z35" s="5" t="s">
        <v>6</v>
      </c>
      <c r="AA35" s="26" t="str">
        <f t="shared" si="10"/>
        <v>4</v>
      </c>
      <c r="AB35" s="5" t="s">
        <v>6</v>
      </c>
      <c r="AC35" s="26" t="str">
        <f t="shared" si="11"/>
        <v>4</v>
      </c>
      <c r="AD35" s="5" t="s">
        <v>6</v>
      </c>
      <c r="AE35" s="26" t="str">
        <f t="shared" si="12"/>
        <v>4</v>
      </c>
      <c r="AF35" s="15"/>
    </row>
    <row r="36" spans="1:32" ht="26.4">
      <c r="A36" s="119"/>
      <c r="B36" s="8" t="s">
        <v>8</v>
      </c>
      <c r="C36" s="15"/>
      <c r="J36" s="29"/>
      <c r="K36" s="5" t="s">
        <v>162</v>
      </c>
      <c r="L36" s="5" t="s">
        <v>5</v>
      </c>
      <c r="M36" s="35" t="str">
        <f t="shared" si="3"/>
        <v>3</v>
      </c>
      <c r="N36" s="5" t="s">
        <v>5</v>
      </c>
      <c r="O36" s="26" t="str">
        <f t="shared" si="4"/>
        <v>3</v>
      </c>
      <c r="P36" s="5" t="s">
        <v>5</v>
      </c>
      <c r="Q36" s="26" t="str">
        <f t="shared" si="5"/>
        <v>3</v>
      </c>
      <c r="R36" s="5" t="s">
        <v>5</v>
      </c>
      <c r="S36" s="26" t="str">
        <f t="shared" si="6"/>
        <v>3</v>
      </c>
      <c r="T36" s="5" t="s">
        <v>7</v>
      </c>
      <c r="U36" s="26" t="str">
        <f t="shared" si="7"/>
        <v>5</v>
      </c>
      <c r="V36" s="5" t="s">
        <v>6</v>
      </c>
      <c r="W36" s="26" t="str">
        <f t="shared" si="8"/>
        <v>4</v>
      </c>
      <c r="X36" s="5" t="s">
        <v>7</v>
      </c>
      <c r="Y36" s="26" t="str">
        <f t="shared" si="9"/>
        <v>5</v>
      </c>
      <c r="Z36" s="5" t="s">
        <v>5</v>
      </c>
      <c r="AA36" s="26" t="str">
        <f t="shared" si="10"/>
        <v>3</v>
      </c>
      <c r="AB36" s="5" t="s">
        <v>5</v>
      </c>
      <c r="AC36" s="26" t="str">
        <f t="shared" si="11"/>
        <v>3</v>
      </c>
      <c r="AD36" s="5" t="s">
        <v>6</v>
      </c>
      <c r="AE36" s="26" t="str">
        <f t="shared" si="12"/>
        <v>4</v>
      </c>
      <c r="AF36" s="15"/>
    </row>
    <row r="37" spans="1:32" ht="26.4">
      <c r="A37" s="119"/>
      <c r="B37" s="8" t="s">
        <v>3</v>
      </c>
      <c r="C37" s="15"/>
      <c r="J37" s="29"/>
      <c r="K37" s="5" t="s">
        <v>163</v>
      </c>
      <c r="L37" s="5" t="s">
        <v>5</v>
      </c>
      <c r="M37" s="35" t="str">
        <f t="shared" si="3"/>
        <v>3</v>
      </c>
      <c r="N37" s="5" t="s">
        <v>7</v>
      </c>
      <c r="O37" s="26" t="str">
        <f t="shared" si="4"/>
        <v>5</v>
      </c>
      <c r="P37" s="5" t="s">
        <v>5</v>
      </c>
      <c r="Q37" s="26" t="str">
        <f t="shared" si="5"/>
        <v>3</v>
      </c>
      <c r="R37" s="5" t="s">
        <v>7</v>
      </c>
      <c r="S37" s="26" t="str">
        <f t="shared" si="6"/>
        <v>5</v>
      </c>
      <c r="T37" s="5" t="s">
        <v>6</v>
      </c>
      <c r="U37" s="26" t="str">
        <f t="shared" si="7"/>
        <v>4</v>
      </c>
      <c r="V37" s="5" t="s">
        <v>5</v>
      </c>
      <c r="W37" s="26" t="str">
        <f t="shared" si="8"/>
        <v>3</v>
      </c>
      <c r="X37" s="5" t="s">
        <v>7</v>
      </c>
      <c r="Y37" s="26" t="str">
        <f t="shared" si="9"/>
        <v>5</v>
      </c>
      <c r="Z37" s="5" t="s">
        <v>5</v>
      </c>
      <c r="AA37" s="26" t="str">
        <f t="shared" si="10"/>
        <v>3</v>
      </c>
      <c r="AB37" s="5" t="s">
        <v>7</v>
      </c>
      <c r="AC37" s="26" t="str">
        <f t="shared" si="11"/>
        <v>5</v>
      </c>
      <c r="AD37" s="5" t="s">
        <v>7</v>
      </c>
      <c r="AE37" s="26" t="str">
        <f t="shared" si="12"/>
        <v>5</v>
      </c>
      <c r="AF37" s="15"/>
    </row>
    <row r="38" spans="1:32">
      <c r="A38" s="119"/>
      <c r="B38" s="8" t="s">
        <v>4</v>
      </c>
      <c r="C38" s="15"/>
      <c r="J38" s="29"/>
      <c r="K38" s="6" t="s">
        <v>171</v>
      </c>
      <c r="L38" s="33" t="str">
        <f>LEFT(M1,5)</f>
        <v>Q3.01</v>
      </c>
      <c r="M38" s="27">
        <f>((M2+M3+M4+M5+M6)+(M7+M8+M9+M10+M11+M12+M13+M14+M15+M16+M17+M18+M19+M20+M21+M22+M23+M24+M25+M26+M27+M28+M29+M30+M31+M32+M33+M34+M35+M36+M37))/$F$8</f>
        <v>3.0555555555555554</v>
      </c>
      <c r="N38" s="33" t="str">
        <f>LEFT(O1,5)</f>
        <v>Q3.02</v>
      </c>
      <c r="O38" s="27">
        <f>((O2+O3+O4+O5+O6)+(O7+O8+O9+O10+O11+O12+O13+O14+O15+O16+O17+O18+O19+O20+O21+O22+O23+O24+O25+O26+O27+O28+O29+O30+O31+O32+O33+O34+O35+O36+O37))/$F$8</f>
        <v>4.3055555555555554</v>
      </c>
      <c r="P38" s="33" t="str">
        <f>LEFT(Q1,5)</f>
        <v>Q3.03</v>
      </c>
      <c r="Q38" s="27">
        <f>((Q2+Q3+Q4+Q5+Q6)+(Q7+Q8+Q9+Q10+Q11+Q12+Q13+Q14+Q15+Q16+Q17+Q18+Q19+Q20+Q21+Q22+Q23+Q24+Q25+Q26+Q27+Q28+Q29+Q30+Q31+Q32+Q33+Q34+Q35+Q36+Q37))/$F$8</f>
        <v>3.6666666666666665</v>
      </c>
      <c r="R38" s="33" t="str">
        <f>LEFT(S1,5)</f>
        <v>Q3.04</v>
      </c>
      <c r="S38" s="27">
        <f>((S2+S3+S4+S5+S6)+(S7+S8+S9+S10+S11+S12+S13+S14+S15+S16+S17+S18+S19+S20+S21+S22+S23+S24+S25+S26+S27+S28+S29+S30+S31+S32+S33+S34+S35+S36+S37))/$F$8</f>
        <v>3.9444444444444446</v>
      </c>
      <c r="T38" s="33" t="str">
        <f>LEFT(U1,5)</f>
        <v>Q3.05</v>
      </c>
      <c r="U38" s="27">
        <f>((U2+U3+U4+U5+U6)+(U7+U8+U9+U10+U11+U12+U13+U14+U15+U16+U17+U18+U19+U20+U21+U22+U23+U24+U25+U26+U27+U28+U29+U30+U31+U32+U33+U34+U35+U36+U37))/$F$8</f>
        <v>3.9722222222222223</v>
      </c>
      <c r="V38" s="33" t="str">
        <f>LEFT(W1,5)</f>
        <v>Q3.06</v>
      </c>
      <c r="W38" s="27">
        <f>((W2+W3+W4+W5+W6)+(W7+W8+W9+W10+W11+W12+W13+W14+W15+W16+W17+W18+W19+W20+W21+W22+W23+W24+W25+W26+W27+W28+W29+W30+W31+W32+W33+W34+W35+W36+W37))/$F$8</f>
        <v>3.3333333333333335</v>
      </c>
      <c r="X38" s="33" t="str">
        <f>LEFT(Y1,5)</f>
        <v>Q3.07</v>
      </c>
      <c r="Y38" s="27">
        <f>((Y2+Y3+Y4+Y5+Y6)+(Y7+Y8+Y9+Y10+Y11+Y12+Y13+Y14+Y15+Y16+Y17+Y18+Y19+Y20+Y21+Y22+Y23+Y24+Y25+Y26+Y27+Y28+Y29+Y30+Y31+Y32+Y33+Y34+Y35+Y36+Y37))/$F$8</f>
        <v>4.0277777777777777</v>
      </c>
      <c r="Z38" s="33" t="str">
        <f>LEFT(AA1,5)</f>
        <v>Q3.08</v>
      </c>
      <c r="AA38" s="27">
        <f>((AA2+AA3+AA4+AA5+AA6)+(AA7+AA8+AA9+AA10+AA11+AA12+AA13+AA14+AA15+AA16+AA17+AA18+AA19+AA20+AA21+AA22+AA23+AA24+AA25+AA26+AA27+AA28+AA29+AA30+AA31+AA32+AA33+AA34+AA35+AA36+AA37))/$F$8</f>
        <v>3.6388888888888888</v>
      </c>
      <c r="AB38" s="33" t="str">
        <f>LEFT(AC1,5)</f>
        <v>Q3.09</v>
      </c>
      <c r="AC38" s="27">
        <f>((AC2+AC3+AC4+AC5+AC6)+(AC7+AC8+AC9+AC10+AC11+AC12+AC13+AC14+AC15+AC16+AC17+AC18+AC19+AC20+AC21+AC22+AC23+AC24+AC25+AC26+AC27+AC28+AC29+AC30+AC31+AC32+AC33+AC34+AC35+AC36+AC37))/$F$8</f>
        <v>3.7777777777777777</v>
      </c>
      <c r="AD38" s="33" t="str">
        <f>LEFT(AE1,5)</f>
        <v>Q3.10</v>
      </c>
      <c r="AE38" s="27">
        <f>((AE2+AE3+AE4+AE5+AE6)+(AE7+AE8+AE9+AE10+AE11+AE12+AE13+AE14+AE15+AE16+AE17+AE18+AE19+AE20+AE21+AE22+AE23+AE24+AE25+AE26+AE27+AE28+AE29+AE30+AE31+AE32+AE33+AE34+AE35+AE36+AE37))/$F$8</f>
        <v>3.7777777777777777</v>
      </c>
      <c r="AF38" s="15"/>
    </row>
    <row r="39" spans="1:32">
      <c r="A39" s="119"/>
      <c r="B39" s="8" t="s">
        <v>5</v>
      </c>
      <c r="C39" s="15"/>
      <c r="J39" s="15"/>
      <c r="K39" s="15"/>
      <c r="L39" s="15"/>
      <c r="M39" s="15"/>
      <c r="N39" s="15"/>
      <c r="O39" s="15"/>
      <c r="P39" s="15"/>
      <c r="Q39" s="15"/>
      <c r="R39" s="15"/>
      <c r="S39" s="15"/>
      <c r="T39" s="15"/>
      <c r="U39" s="15"/>
      <c r="V39" s="15"/>
      <c r="W39" s="15"/>
      <c r="X39" s="15"/>
      <c r="Y39" s="15"/>
      <c r="Z39" s="15"/>
      <c r="AA39" s="15"/>
      <c r="AB39" s="15"/>
      <c r="AC39" s="15"/>
      <c r="AD39" s="15"/>
      <c r="AE39" s="15"/>
      <c r="AF39" s="15"/>
    </row>
    <row r="40" spans="1:32">
      <c r="A40" s="119"/>
      <c r="B40" s="8" t="s">
        <v>6</v>
      </c>
      <c r="C40" s="15"/>
    </row>
    <row r="41" spans="1:32">
      <c r="A41" s="119"/>
      <c r="B41" s="8" t="s">
        <v>7</v>
      </c>
      <c r="C41" s="15"/>
    </row>
    <row r="42" spans="1:32">
      <c r="A42" s="119"/>
      <c r="B42" s="8" t="s">
        <v>186</v>
      </c>
      <c r="C42" s="15"/>
    </row>
    <row r="43" spans="1:32" ht="26.4">
      <c r="A43" s="119"/>
      <c r="B43" s="8" t="s">
        <v>187</v>
      </c>
      <c r="C43" s="15"/>
      <c r="L43" s="28"/>
      <c r="M43" s="28"/>
    </row>
    <row r="44" spans="1:32">
      <c r="A44" s="119"/>
      <c r="B44" s="8" t="s">
        <v>188</v>
      </c>
      <c r="C44" s="15"/>
      <c r="M44" s="28"/>
    </row>
    <row r="45" spans="1:32" ht="26.4">
      <c r="A45" s="119"/>
      <c r="B45" s="8" t="s">
        <v>189</v>
      </c>
      <c r="C45" s="15"/>
      <c r="M45" s="28"/>
    </row>
    <row r="46" spans="1:32" ht="26.4">
      <c r="A46" s="119"/>
      <c r="B46" s="8" t="s">
        <v>190</v>
      </c>
      <c r="C46" s="15"/>
      <c r="M46" s="28"/>
    </row>
    <row r="47" spans="1:32" ht="26.4">
      <c r="A47" s="119"/>
      <c r="B47" s="8" t="s">
        <v>191</v>
      </c>
      <c r="C47" s="15"/>
      <c r="M47" s="28"/>
    </row>
    <row r="48" spans="1:32" ht="26.4">
      <c r="A48" s="119"/>
      <c r="B48" s="8" t="s">
        <v>192</v>
      </c>
      <c r="C48" s="15"/>
      <c r="M48" s="28"/>
    </row>
    <row r="49" spans="1:13" ht="26.4">
      <c r="A49" s="119"/>
      <c r="B49" s="8" t="s">
        <v>193</v>
      </c>
      <c r="C49" s="15"/>
      <c r="M49" s="28"/>
    </row>
    <row r="50" spans="1:13" ht="26.4">
      <c r="A50" s="119"/>
      <c r="B50" s="8" t="s">
        <v>194</v>
      </c>
      <c r="C50" s="15"/>
      <c r="M50" s="28"/>
    </row>
    <row r="51" spans="1:13" ht="26.4">
      <c r="A51" s="119"/>
      <c r="B51" s="8" t="s">
        <v>111</v>
      </c>
      <c r="C51" s="15"/>
      <c r="M51" s="28"/>
    </row>
    <row r="52" spans="1:13">
      <c r="A52" s="119"/>
      <c r="B52" s="13"/>
      <c r="C52" s="15"/>
      <c r="M52" s="28"/>
    </row>
    <row r="53" spans="1:13">
      <c r="A53" s="119"/>
      <c r="B53" s="11" t="s">
        <v>20</v>
      </c>
      <c r="C53" s="15"/>
      <c r="M53" s="28"/>
    </row>
    <row r="54" spans="1:13" ht="79.2">
      <c r="A54" s="119"/>
      <c r="B54" s="8" t="s">
        <v>21</v>
      </c>
      <c r="C54" s="15"/>
      <c r="M54" s="28"/>
    </row>
    <row r="55" spans="1:13" ht="26.4">
      <c r="A55" s="119"/>
      <c r="B55" s="8" t="s">
        <v>22</v>
      </c>
      <c r="C55" s="15"/>
      <c r="M55" s="28"/>
    </row>
    <row r="56" spans="1:13">
      <c r="A56" s="119"/>
      <c r="B56" s="8" t="s">
        <v>112</v>
      </c>
      <c r="C56" s="15"/>
      <c r="M56" s="28"/>
    </row>
    <row r="57" spans="1:13">
      <c r="A57" s="119"/>
      <c r="B57" s="8" t="s">
        <v>113</v>
      </c>
      <c r="C57" s="15"/>
      <c r="M57" s="28"/>
    </row>
    <row r="58" spans="1:13">
      <c r="A58" s="119"/>
      <c r="B58" s="12"/>
      <c r="C58" s="15"/>
      <c r="M58" s="28"/>
    </row>
    <row r="59" spans="1:13" ht="39" customHeight="1">
      <c r="A59" s="120"/>
      <c r="B59" s="8" t="s">
        <v>14</v>
      </c>
      <c r="C59" s="15"/>
      <c r="M59" s="28"/>
    </row>
    <row r="60" spans="1:13">
      <c r="A60" s="14"/>
      <c r="B60" s="16"/>
      <c r="C60" s="15"/>
      <c r="M60" s="28"/>
    </row>
    <row r="61" spans="1:13">
      <c r="M61" s="28"/>
    </row>
    <row r="62" spans="1:13">
      <c r="M62" s="28"/>
    </row>
    <row r="63" spans="1:13">
      <c r="M63" s="28"/>
    </row>
    <row r="64" spans="1:13">
      <c r="M64" s="28"/>
    </row>
    <row r="65" spans="13:13">
      <c r="M65" s="28"/>
    </row>
    <row r="66" spans="13:13">
      <c r="M66" s="28"/>
    </row>
    <row r="67" spans="13:13">
      <c r="M67" s="28"/>
    </row>
    <row r="68" spans="13:13">
      <c r="M68" s="28"/>
    </row>
    <row r="69" spans="13:13">
      <c r="M69" s="28"/>
    </row>
    <row r="70" spans="13:13">
      <c r="M70" s="28"/>
    </row>
    <row r="71" spans="13:13">
      <c r="M71" s="28"/>
    </row>
    <row r="72" spans="13:13">
      <c r="M72" s="28"/>
    </row>
    <row r="73" spans="13:13">
      <c r="M73" s="28"/>
    </row>
    <row r="74" spans="13:13">
      <c r="M74" s="28"/>
    </row>
    <row r="75" spans="13:13">
      <c r="M75" s="28"/>
    </row>
    <row r="76" spans="13:13">
      <c r="M76" s="28"/>
    </row>
    <row r="77" spans="13:13">
      <c r="M77" s="28"/>
    </row>
    <row r="78" spans="13:13">
      <c r="M78" s="28"/>
    </row>
  </sheetData>
  <autoFilter ref="D1:BZ60" xr:uid="{A3AC49DB-DDB9-4E29-9854-17F60E0A14EB}"/>
  <mergeCells count="12">
    <mergeCell ref="AG2:AG4"/>
    <mergeCell ref="AH2:AH4"/>
    <mergeCell ref="A3:A12"/>
    <mergeCell ref="AG5:AG9"/>
    <mergeCell ref="AH5:AH9"/>
    <mergeCell ref="AG10:AG19"/>
    <mergeCell ref="AH10:AH19"/>
    <mergeCell ref="A15:A59"/>
    <mergeCell ref="AG20:AG24"/>
    <mergeCell ref="AH20:AH24"/>
    <mergeCell ref="D8:E8"/>
    <mergeCell ref="D9:E9"/>
  </mergeCells>
  <phoneticPr fontId="9" type="noConversion"/>
  <conditionalFormatting sqref="AJ2:AJ4">
    <cfRule type="dataBar" priority="25">
      <dataBar>
        <cfvo type="min"/>
        <cfvo type="max"/>
        <color rgb="FFFFB628"/>
      </dataBar>
      <extLst>
        <ext xmlns:x14="http://schemas.microsoft.com/office/spreadsheetml/2009/9/main" uri="{B025F937-C7B1-47D3-B67F-A62EFF666E3E}">
          <x14:id>{C371E9A2-D56E-471D-8319-A0A96C0D3509}</x14:id>
        </ext>
      </extLst>
    </cfRule>
  </conditionalFormatting>
  <conditionalFormatting sqref="AJ5:AJ9">
    <cfRule type="dataBar" priority="24">
      <dataBar>
        <cfvo type="min"/>
        <cfvo type="max"/>
        <color rgb="FF638EC6"/>
      </dataBar>
      <extLst>
        <ext xmlns:x14="http://schemas.microsoft.com/office/spreadsheetml/2009/9/main" uri="{B025F937-C7B1-47D3-B67F-A62EFF666E3E}">
          <x14:id>{778EEA9E-B1FC-4153-87FF-B302409DF397}</x14:id>
        </ext>
      </extLst>
    </cfRule>
  </conditionalFormatting>
  <conditionalFormatting sqref="AJ10:AJ19">
    <cfRule type="dataBar" priority="23">
      <dataBar>
        <cfvo type="min"/>
        <cfvo type="max"/>
        <color rgb="FFFF555A"/>
      </dataBar>
      <extLst>
        <ext xmlns:x14="http://schemas.microsoft.com/office/spreadsheetml/2009/9/main" uri="{B025F937-C7B1-47D3-B67F-A62EFF666E3E}">
          <x14:id>{2C9CC3E3-5FDB-462F-8F64-0BDB2DE98675}</x14:id>
        </ext>
      </extLst>
    </cfRule>
  </conditionalFormatting>
  <conditionalFormatting sqref="AJ20:AJ24">
    <cfRule type="dataBar" priority="22">
      <dataBar>
        <cfvo type="min"/>
        <cfvo type="max"/>
        <color rgb="FF63C384"/>
      </dataBar>
      <extLst>
        <ext xmlns:x14="http://schemas.microsoft.com/office/spreadsheetml/2009/9/main" uri="{B025F937-C7B1-47D3-B67F-A62EFF666E3E}">
          <x14:id>{8F18A0BF-39EA-41A0-9054-8371D984D95F}</x14:id>
        </ext>
      </extLst>
    </cfRule>
  </conditionalFormatting>
  <conditionalFormatting sqref="AP2:AQ11">
    <cfRule type="dataBar" priority="21">
      <dataBar>
        <cfvo type="min"/>
        <cfvo type="max"/>
        <color rgb="FF63C384"/>
      </dataBar>
      <extLst>
        <ext xmlns:x14="http://schemas.microsoft.com/office/spreadsheetml/2009/9/main" uri="{B025F937-C7B1-47D3-B67F-A62EFF666E3E}">
          <x14:id>{922337BB-BD04-443B-BEE8-71F45BAF1813}</x14:id>
        </ext>
      </extLst>
    </cfRule>
  </conditionalFormatting>
  <conditionalFormatting sqref="AU2:AU6">
    <cfRule type="dataBar" priority="19">
      <dataBar>
        <cfvo type="min"/>
        <cfvo type="max"/>
        <color rgb="FFFFB628"/>
      </dataBar>
      <extLst>
        <ext xmlns:x14="http://schemas.microsoft.com/office/spreadsheetml/2009/9/main" uri="{B025F937-C7B1-47D3-B67F-A62EFF666E3E}">
          <x14:id>{FBD5C9EE-37CB-4A05-9953-CE0CCB8DF2D0}</x14:id>
        </ext>
      </extLst>
    </cfRule>
  </conditionalFormatting>
  <conditionalFormatting sqref="AW2:AW6">
    <cfRule type="dataBar" priority="18">
      <dataBar>
        <cfvo type="min"/>
        <cfvo type="max"/>
        <color rgb="FFFFB628"/>
      </dataBar>
      <extLst>
        <ext xmlns:x14="http://schemas.microsoft.com/office/spreadsheetml/2009/9/main" uri="{B025F937-C7B1-47D3-B67F-A62EFF666E3E}">
          <x14:id>{697CC7A1-3836-4D6F-B91C-BC58BD07AAA5}</x14:id>
        </ext>
      </extLst>
    </cfRule>
  </conditionalFormatting>
  <conditionalFormatting sqref="AY2:AY6">
    <cfRule type="dataBar" priority="17">
      <dataBar>
        <cfvo type="min"/>
        <cfvo type="max"/>
        <color rgb="FFFFB628"/>
      </dataBar>
      <extLst>
        <ext xmlns:x14="http://schemas.microsoft.com/office/spreadsheetml/2009/9/main" uri="{B025F937-C7B1-47D3-B67F-A62EFF666E3E}">
          <x14:id>{14B2D5B1-4494-4B43-ABE3-59B73A35DE27}</x14:id>
        </ext>
      </extLst>
    </cfRule>
  </conditionalFormatting>
  <conditionalFormatting sqref="BA2:BA6">
    <cfRule type="dataBar" priority="16">
      <dataBar>
        <cfvo type="min"/>
        <cfvo type="max"/>
        <color rgb="FFFFB628"/>
      </dataBar>
      <extLst>
        <ext xmlns:x14="http://schemas.microsoft.com/office/spreadsheetml/2009/9/main" uri="{B025F937-C7B1-47D3-B67F-A62EFF666E3E}">
          <x14:id>{4C2C58E6-F338-4C9E-A9F7-CEBD251C5927}</x14:id>
        </ext>
      </extLst>
    </cfRule>
  </conditionalFormatting>
  <conditionalFormatting sqref="BC2:BC6">
    <cfRule type="dataBar" priority="15">
      <dataBar>
        <cfvo type="min"/>
        <cfvo type="max"/>
        <color rgb="FFFFB628"/>
      </dataBar>
      <extLst>
        <ext xmlns:x14="http://schemas.microsoft.com/office/spreadsheetml/2009/9/main" uri="{B025F937-C7B1-47D3-B67F-A62EFF666E3E}">
          <x14:id>{16AA6A2D-9559-4658-B41F-92FD7EB88B5D}</x14:id>
        </ext>
      </extLst>
    </cfRule>
  </conditionalFormatting>
  <conditionalFormatting sqref="BE2:BE6">
    <cfRule type="dataBar" priority="14">
      <dataBar>
        <cfvo type="min"/>
        <cfvo type="max"/>
        <color rgb="FFFFB628"/>
      </dataBar>
      <extLst>
        <ext xmlns:x14="http://schemas.microsoft.com/office/spreadsheetml/2009/9/main" uri="{B025F937-C7B1-47D3-B67F-A62EFF666E3E}">
          <x14:id>{466C0502-85AB-4994-8270-6FDF6012DD21}</x14:id>
        </ext>
      </extLst>
    </cfRule>
  </conditionalFormatting>
  <conditionalFormatting sqref="BG2:BG6">
    <cfRule type="dataBar" priority="13">
      <dataBar>
        <cfvo type="min"/>
        <cfvo type="max"/>
        <color rgb="FFFFB628"/>
      </dataBar>
      <extLst>
        <ext xmlns:x14="http://schemas.microsoft.com/office/spreadsheetml/2009/9/main" uri="{B025F937-C7B1-47D3-B67F-A62EFF666E3E}">
          <x14:id>{6C71F21C-C9E7-466F-85FC-F7E13EE63CDF}</x14:id>
        </ext>
      </extLst>
    </cfRule>
  </conditionalFormatting>
  <conditionalFormatting sqref="BI2:BI6">
    <cfRule type="dataBar" priority="12">
      <dataBar>
        <cfvo type="min"/>
        <cfvo type="max"/>
        <color rgb="FFFFB628"/>
      </dataBar>
      <extLst>
        <ext xmlns:x14="http://schemas.microsoft.com/office/spreadsheetml/2009/9/main" uri="{B025F937-C7B1-47D3-B67F-A62EFF666E3E}">
          <x14:id>{84239C1E-C51F-425D-A3C9-2A08482F7963}</x14:id>
        </ext>
      </extLst>
    </cfRule>
  </conditionalFormatting>
  <conditionalFormatting sqref="BK2:BK6">
    <cfRule type="dataBar" priority="11">
      <dataBar>
        <cfvo type="min"/>
        <cfvo type="max"/>
        <color rgb="FFFFB628"/>
      </dataBar>
      <extLst>
        <ext xmlns:x14="http://schemas.microsoft.com/office/spreadsheetml/2009/9/main" uri="{B025F937-C7B1-47D3-B67F-A62EFF666E3E}">
          <x14:id>{C44D17E4-27AB-4BF0-8333-91555F088CF3}</x14:id>
        </ext>
      </extLst>
    </cfRule>
  </conditionalFormatting>
  <conditionalFormatting sqref="BM2:BM6">
    <cfRule type="dataBar" priority="10">
      <dataBar>
        <cfvo type="min"/>
        <cfvo type="max"/>
        <color rgb="FFFFB628"/>
      </dataBar>
      <extLst>
        <ext xmlns:x14="http://schemas.microsoft.com/office/spreadsheetml/2009/9/main" uri="{B025F937-C7B1-47D3-B67F-A62EFF666E3E}">
          <x14:id>{3D378CB4-7FD4-484C-BEC9-0409DF005FBB}</x14:id>
        </ext>
      </extLst>
    </cfRule>
  </conditionalFormatting>
  <conditionalFormatting sqref="BQ2 BS2 BU2 BW2 BY2">
    <cfRule type="dataBar" priority="20">
      <dataBar>
        <cfvo type="min"/>
        <cfvo type="max"/>
        <color rgb="FF63C384"/>
      </dataBar>
      <extLst>
        <ext xmlns:x14="http://schemas.microsoft.com/office/spreadsheetml/2009/9/main" uri="{B025F937-C7B1-47D3-B67F-A62EFF666E3E}">
          <x14:id>{42373F83-E083-4316-84FB-DE5EAD9222F2}</x14:id>
        </ext>
      </extLst>
    </cfRule>
  </conditionalFormatting>
  <conditionalFormatting sqref="BQ3 BS3 BU3 BW3 BY3">
    <cfRule type="dataBar" priority="9">
      <dataBar>
        <cfvo type="min"/>
        <cfvo type="max"/>
        <color rgb="FF63C384"/>
      </dataBar>
      <extLst>
        <ext xmlns:x14="http://schemas.microsoft.com/office/spreadsheetml/2009/9/main" uri="{B025F937-C7B1-47D3-B67F-A62EFF666E3E}">
          <x14:id>{E2BFC19B-F89B-4DCA-94DD-CCAC7593FF1D}</x14:id>
        </ext>
      </extLst>
    </cfRule>
  </conditionalFormatting>
  <conditionalFormatting sqref="BQ4 BS4 BU4 BW4 BY4">
    <cfRule type="dataBar" priority="8">
      <dataBar>
        <cfvo type="min"/>
        <cfvo type="max"/>
        <color rgb="FF63C384"/>
      </dataBar>
      <extLst>
        <ext xmlns:x14="http://schemas.microsoft.com/office/spreadsheetml/2009/9/main" uri="{B025F937-C7B1-47D3-B67F-A62EFF666E3E}">
          <x14:id>{4CFF7036-2591-4C6B-BDEA-B7A97F6D621B}</x14:id>
        </ext>
      </extLst>
    </cfRule>
  </conditionalFormatting>
  <conditionalFormatting sqref="BQ6 BS6 BU6 BW6 BY6">
    <cfRule type="dataBar" priority="6">
      <dataBar>
        <cfvo type="min"/>
        <cfvo type="max"/>
        <color rgb="FF63C384"/>
      </dataBar>
      <extLst>
        <ext xmlns:x14="http://schemas.microsoft.com/office/spreadsheetml/2009/9/main" uri="{B025F937-C7B1-47D3-B67F-A62EFF666E3E}">
          <x14:id>{FD691641-2630-4B94-9453-045F6423EF37}</x14:id>
        </ext>
      </extLst>
    </cfRule>
  </conditionalFormatting>
  <conditionalFormatting sqref="BQ7 BS7 BU7 BW7 BY7">
    <cfRule type="dataBar" priority="5">
      <dataBar>
        <cfvo type="min"/>
        <cfvo type="max"/>
        <color rgb="FF63C384"/>
      </dataBar>
      <extLst>
        <ext xmlns:x14="http://schemas.microsoft.com/office/spreadsheetml/2009/9/main" uri="{B025F937-C7B1-47D3-B67F-A62EFF666E3E}">
          <x14:id>{D6F7EA0B-1DA8-4CCB-99CC-376606CD1940}</x14:id>
        </ext>
      </extLst>
    </cfRule>
  </conditionalFormatting>
  <conditionalFormatting sqref="BQ8 BS8 BU8 BW8 BY8">
    <cfRule type="dataBar" priority="4">
      <dataBar>
        <cfvo type="min"/>
        <cfvo type="max"/>
        <color rgb="FF63C384"/>
      </dataBar>
      <extLst>
        <ext xmlns:x14="http://schemas.microsoft.com/office/spreadsheetml/2009/9/main" uri="{B025F937-C7B1-47D3-B67F-A62EFF666E3E}">
          <x14:id>{9BAC519B-1B6A-4499-9DB0-0A690B9D1AB7}</x14:id>
        </ext>
      </extLst>
    </cfRule>
  </conditionalFormatting>
  <conditionalFormatting sqref="BQ10 BS10 BU10 BW10 BY10">
    <cfRule type="dataBar" priority="2">
      <dataBar>
        <cfvo type="min"/>
        <cfvo type="max"/>
        <color rgb="FF63C384"/>
      </dataBar>
      <extLst>
        <ext xmlns:x14="http://schemas.microsoft.com/office/spreadsheetml/2009/9/main" uri="{B025F937-C7B1-47D3-B67F-A62EFF666E3E}">
          <x14:id>{C45E7713-C252-4575-8153-4CF261B9F5A0}</x14:id>
        </ext>
      </extLst>
    </cfRule>
  </conditionalFormatting>
  <conditionalFormatting sqref="BS5 BQ5 BU5 BW5 BY5">
    <cfRule type="dataBar" priority="7">
      <dataBar>
        <cfvo type="min"/>
        <cfvo type="max"/>
        <color rgb="FF63C384"/>
      </dataBar>
      <extLst>
        <ext xmlns:x14="http://schemas.microsoft.com/office/spreadsheetml/2009/9/main" uri="{B025F937-C7B1-47D3-B67F-A62EFF666E3E}">
          <x14:id>{7D84BE29-23C1-472D-A44B-BE75745DA481}</x14:id>
        </ext>
      </extLst>
    </cfRule>
  </conditionalFormatting>
  <conditionalFormatting sqref="BS9 BQ9 BU9 BW9 BY9">
    <cfRule type="dataBar" priority="3">
      <dataBar>
        <cfvo type="min"/>
        <cfvo type="max"/>
        <color rgb="FF63C384"/>
      </dataBar>
      <extLst>
        <ext xmlns:x14="http://schemas.microsoft.com/office/spreadsheetml/2009/9/main" uri="{B025F937-C7B1-47D3-B67F-A62EFF666E3E}">
          <x14:id>{ECCD8FCB-A404-4F6F-A9AC-73B65FE94DC3}</x14:id>
        </ext>
      </extLst>
    </cfRule>
  </conditionalFormatting>
  <conditionalFormatting sqref="BS11 BQ11 BU11 BW11 BY11">
    <cfRule type="dataBar" priority="1">
      <dataBar>
        <cfvo type="min"/>
        <cfvo type="max"/>
        <color rgb="FF63C384"/>
      </dataBar>
      <extLst>
        <ext xmlns:x14="http://schemas.microsoft.com/office/spreadsheetml/2009/9/main" uri="{B025F937-C7B1-47D3-B67F-A62EFF666E3E}">
          <x14:id>{998EDAE6-733B-4056-AC1B-C20B67BF25B7}</x14:id>
        </ext>
      </extLst>
    </cfRule>
  </conditionalFormatting>
  <dataValidations count="1">
    <dataValidation type="whole" allowBlank="1" showInputMessage="1" showErrorMessage="1" sqref="M2:M37" xr:uid="{EF15EA22-2D31-4A83-B8B5-58072D73D42A}">
      <formula1>1</formula1>
      <formula2>5</formula2>
    </dataValidation>
  </dataValidations>
  <hyperlinks>
    <hyperlink ref="B14" r:id="rId1" location="gid=1891099184" xr:uid="{27951EEA-1D9B-4EE0-8088-556561A88D61}"/>
    <hyperlink ref="B13" r:id="rId2" xr:uid="{CF1E1FC6-17E1-4CA3-BDD1-330ADF0764FC}"/>
  </hyperlinks>
  <pageMargins left="0.7" right="0.7" top="0.75" bottom="0.75" header="0.3" footer="0.3"/>
  <pageSetup orientation="portrait" r:id="rId3"/>
  <extLst>
    <ext xmlns:x14="http://schemas.microsoft.com/office/spreadsheetml/2009/9/main" uri="{78C0D931-6437-407d-A8EE-F0AAD7539E65}">
      <x14:conditionalFormattings>
        <x14:conditionalFormatting xmlns:xm="http://schemas.microsoft.com/office/excel/2006/main">
          <x14:cfRule type="dataBar" id="{C371E9A2-D56E-471D-8319-A0A96C0D3509}">
            <x14:dataBar minLength="0" maxLength="100" border="1" negativeBarBorderColorSameAsPositive="0">
              <x14:cfvo type="autoMin"/>
              <x14:cfvo type="autoMax"/>
              <x14:borderColor rgb="FFFFB628"/>
              <x14:negativeFillColor rgb="FFFF0000"/>
              <x14:negativeBorderColor rgb="FFFF0000"/>
              <x14:axisColor rgb="FF000000"/>
            </x14:dataBar>
          </x14:cfRule>
          <xm:sqref>AJ2:AJ4</xm:sqref>
        </x14:conditionalFormatting>
        <x14:conditionalFormatting xmlns:xm="http://schemas.microsoft.com/office/excel/2006/main">
          <x14:cfRule type="dataBar" id="{778EEA9E-B1FC-4153-87FF-B302409DF397}">
            <x14:dataBar minLength="0" maxLength="100" border="1" negativeBarBorderColorSameAsPositive="0">
              <x14:cfvo type="autoMin"/>
              <x14:cfvo type="autoMax"/>
              <x14:borderColor rgb="FF638EC6"/>
              <x14:negativeFillColor rgb="FFFF0000"/>
              <x14:negativeBorderColor rgb="FFFF0000"/>
              <x14:axisColor rgb="FF000000"/>
            </x14:dataBar>
          </x14:cfRule>
          <xm:sqref>AJ5:AJ9</xm:sqref>
        </x14:conditionalFormatting>
        <x14:conditionalFormatting xmlns:xm="http://schemas.microsoft.com/office/excel/2006/main">
          <x14:cfRule type="dataBar" id="{2C9CC3E3-5FDB-462F-8F64-0BDB2DE98675}">
            <x14:dataBar minLength="0" maxLength="100" border="1" negativeBarBorderColorSameAsPositive="0">
              <x14:cfvo type="autoMin"/>
              <x14:cfvo type="autoMax"/>
              <x14:borderColor rgb="FFFF555A"/>
              <x14:negativeFillColor rgb="FFFF0000"/>
              <x14:negativeBorderColor rgb="FFFF0000"/>
              <x14:axisColor rgb="FF000000"/>
            </x14:dataBar>
          </x14:cfRule>
          <xm:sqref>AJ10:AJ19</xm:sqref>
        </x14:conditionalFormatting>
        <x14:conditionalFormatting xmlns:xm="http://schemas.microsoft.com/office/excel/2006/main">
          <x14:cfRule type="dataBar" id="{8F18A0BF-39EA-41A0-9054-8371D984D95F}">
            <x14:dataBar minLength="0" maxLength="100" border="1" negativeBarBorderColorSameAsPositive="0">
              <x14:cfvo type="autoMin"/>
              <x14:cfvo type="autoMax"/>
              <x14:borderColor rgb="FF63C384"/>
              <x14:negativeFillColor rgb="FFFF0000"/>
              <x14:negativeBorderColor rgb="FFFF0000"/>
              <x14:axisColor rgb="FF000000"/>
            </x14:dataBar>
          </x14:cfRule>
          <xm:sqref>AJ20:AJ24</xm:sqref>
        </x14:conditionalFormatting>
        <x14:conditionalFormatting xmlns:xm="http://schemas.microsoft.com/office/excel/2006/main">
          <x14:cfRule type="dataBar" id="{922337BB-BD04-443B-BEE8-71F45BAF1813}">
            <x14:dataBar minLength="0" maxLength="100" border="1" negativeBarBorderColorSameAsPositive="0">
              <x14:cfvo type="autoMin"/>
              <x14:cfvo type="autoMax"/>
              <x14:borderColor rgb="FF63C384"/>
              <x14:negativeFillColor rgb="FFFF0000"/>
              <x14:negativeBorderColor rgb="FFFF0000"/>
              <x14:axisColor rgb="FF000000"/>
            </x14:dataBar>
          </x14:cfRule>
          <xm:sqref>AP2:AQ11</xm:sqref>
        </x14:conditionalFormatting>
        <x14:conditionalFormatting xmlns:xm="http://schemas.microsoft.com/office/excel/2006/main">
          <x14:cfRule type="dataBar" id="{FBD5C9EE-37CB-4A05-9953-CE0CCB8DF2D0}">
            <x14:dataBar minLength="0" maxLength="100" border="1" negativeBarBorderColorSameAsPositive="0">
              <x14:cfvo type="autoMin"/>
              <x14:cfvo type="autoMax"/>
              <x14:borderColor rgb="FFFFB628"/>
              <x14:negativeFillColor rgb="FFFF0000"/>
              <x14:negativeBorderColor rgb="FFFF0000"/>
              <x14:axisColor rgb="FF000000"/>
            </x14:dataBar>
          </x14:cfRule>
          <xm:sqref>AU2:AU6</xm:sqref>
        </x14:conditionalFormatting>
        <x14:conditionalFormatting xmlns:xm="http://schemas.microsoft.com/office/excel/2006/main">
          <x14:cfRule type="dataBar" id="{697CC7A1-3836-4D6F-B91C-BC58BD07AAA5}">
            <x14:dataBar minLength="0" maxLength="100" border="1" negativeBarBorderColorSameAsPositive="0">
              <x14:cfvo type="autoMin"/>
              <x14:cfvo type="autoMax"/>
              <x14:borderColor rgb="FFFFB628"/>
              <x14:negativeFillColor rgb="FFFF0000"/>
              <x14:negativeBorderColor rgb="FFFF0000"/>
              <x14:axisColor rgb="FF000000"/>
            </x14:dataBar>
          </x14:cfRule>
          <xm:sqref>AW2:AW6</xm:sqref>
        </x14:conditionalFormatting>
        <x14:conditionalFormatting xmlns:xm="http://schemas.microsoft.com/office/excel/2006/main">
          <x14:cfRule type="dataBar" id="{14B2D5B1-4494-4B43-ABE3-59B73A35DE27}">
            <x14:dataBar minLength="0" maxLength="100" border="1" negativeBarBorderColorSameAsPositive="0">
              <x14:cfvo type="autoMin"/>
              <x14:cfvo type="autoMax"/>
              <x14:borderColor rgb="FFFFB628"/>
              <x14:negativeFillColor rgb="FFFF0000"/>
              <x14:negativeBorderColor rgb="FFFF0000"/>
              <x14:axisColor rgb="FF000000"/>
            </x14:dataBar>
          </x14:cfRule>
          <xm:sqref>AY2:AY6</xm:sqref>
        </x14:conditionalFormatting>
        <x14:conditionalFormatting xmlns:xm="http://schemas.microsoft.com/office/excel/2006/main">
          <x14:cfRule type="dataBar" id="{4C2C58E6-F338-4C9E-A9F7-CEBD251C5927}">
            <x14:dataBar minLength="0" maxLength="100" border="1" negativeBarBorderColorSameAsPositive="0">
              <x14:cfvo type="autoMin"/>
              <x14:cfvo type="autoMax"/>
              <x14:borderColor rgb="FFFFB628"/>
              <x14:negativeFillColor rgb="FFFF0000"/>
              <x14:negativeBorderColor rgb="FFFF0000"/>
              <x14:axisColor rgb="FF000000"/>
            </x14:dataBar>
          </x14:cfRule>
          <xm:sqref>BA2:BA6</xm:sqref>
        </x14:conditionalFormatting>
        <x14:conditionalFormatting xmlns:xm="http://schemas.microsoft.com/office/excel/2006/main">
          <x14:cfRule type="dataBar" id="{16AA6A2D-9559-4658-B41F-92FD7EB88B5D}">
            <x14:dataBar minLength="0" maxLength="100" border="1" negativeBarBorderColorSameAsPositive="0">
              <x14:cfvo type="autoMin"/>
              <x14:cfvo type="autoMax"/>
              <x14:borderColor rgb="FFFFB628"/>
              <x14:negativeFillColor rgb="FFFF0000"/>
              <x14:negativeBorderColor rgb="FFFF0000"/>
              <x14:axisColor rgb="FF000000"/>
            </x14:dataBar>
          </x14:cfRule>
          <xm:sqref>BC2:BC6</xm:sqref>
        </x14:conditionalFormatting>
        <x14:conditionalFormatting xmlns:xm="http://schemas.microsoft.com/office/excel/2006/main">
          <x14:cfRule type="dataBar" id="{466C0502-85AB-4994-8270-6FDF6012DD21}">
            <x14:dataBar minLength="0" maxLength="100" border="1" negativeBarBorderColorSameAsPositive="0">
              <x14:cfvo type="autoMin"/>
              <x14:cfvo type="autoMax"/>
              <x14:borderColor rgb="FFFFB628"/>
              <x14:negativeFillColor rgb="FFFF0000"/>
              <x14:negativeBorderColor rgb="FFFF0000"/>
              <x14:axisColor rgb="FF000000"/>
            </x14:dataBar>
          </x14:cfRule>
          <xm:sqref>BE2:BE6</xm:sqref>
        </x14:conditionalFormatting>
        <x14:conditionalFormatting xmlns:xm="http://schemas.microsoft.com/office/excel/2006/main">
          <x14:cfRule type="dataBar" id="{6C71F21C-C9E7-466F-85FC-F7E13EE63CDF}">
            <x14:dataBar minLength="0" maxLength="100" border="1" negativeBarBorderColorSameAsPositive="0">
              <x14:cfvo type="autoMin"/>
              <x14:cfvo type="autoMax"/>
              <x14:borderColor rgb="FFFFB628"/>
              <x14:negativeFillColor rgb="FFFF0000"/>
              <x14:negativeBorderColor rgb="FFFF0000"/>
              <x14:axisColor rgb="FF000000"/>
            </x14:dataBar>
          </x14:cfRule>
          <xm:sqref>BG2:BG6</xm:sqref>
        </x14:conditionalFormatting>
        <x14:conditionalFormatting xmlns:xm="http://schemas.microsoft.com/office/excel/2006/main">
          <x14:cfRule type="dataBar" id="{84239C1E-C51F-425D-A3C9-2A08482F7963}">
            <x14:dataBar minLength="0" maxLength="100" border="1" negativeBarBorderColorSameAsPositive="0">
              <x14:cfvo type="autoMin"/>
              <x14:cfvo type="autoMax"/>
              <x14:borderColor rgb="FFFFB628"/>
              <x14:negativeFillColor rgb="FFFF0000"/>
              <x14:negativeBorderColor rgb="FFFF0000"/>
              <x14:axisColor rgb="FF000000"/>
            </x14:dataBar>
          </x14:cfRule>
          <xm:sqref>BI2:BI6</xm:sqref>
        </x14:conditionalFormatting>
        <x14:conditionalFormatting xmlns:xm="http://schemas.microsoft.com/office/excel/2006/main">
          <x14:cfRule type="dataBar" id="{C44D17E4-27AB-4BF0-8333-91555F088CF3}">
            <x14:dataBar minLength="0" maxLength="100" border="1" negativeBarBorderColorSameAsPositive="0">
              <x14:cfvo type="autoMin"/>
              <x14:cfvo type="autoMax"/>
              <x14:borderColor rgb="FFFFB628"/>
              <x14:negativeFillColor rgb="FFFF0000"/>
              <x14:negativeBorderColor rgb="FFFF0000"/>
              <x14:axisColor rgb="FF000000"/>
            </x14:dataBar>
          </x14:cfRule>
          <xm:sqref>BK2:BK6</xm:sqref>
        </x14:conditionalFormatting>
        <x14:conditionalFormatting xmlns:xm="http://schemas.microsoft.com/office/excel/2006/main">
          <x14:cfRule type="dataBar" id="{3D378CB4-7FD4-484C-BEC9-0409DF005FBB}">
            <x14:dataBar minLength="0" maxLength="100" border="1" negativeBarBorderColorSameAsPositive="0">
              <x14:cfvo type="autoMin"/>
              <x14:cfvo type="autoMax"/>
              <x14:borderColor rgb="FFFFB628"/>
              <x14:negativeFillColor rgb="FFFF0000"/>
              <x14:negativeBorderColor rgb="FFFF0000"/>
              <x14:axisColor rgb="FF000000"/>
            </x14:dataBar>
          </x14:cfRule>
          <xm:sqref>BM2:BM6</xm:sqref>
        </x14:conditionalFormatting>
        <x14:conditionalFormatting xmlns:xm="http://schemas.microsoft.com/office/excel/2006/main">
          <x14:cfRule type="dataBar" id="{42373F83-E083-4316-84FB-DE5EAD9222F2}">
            <x14:dataBar minLength="0" maxLength="100" border="1" negativeBarBorderColorSameAsPositive="0">
              <x14:cfvo type="autoMin"/>
              <x14:cfvo type="autoMax"/>
              <x14:borderColor rgb="FF63C384"/>
              <x14:negativeFillColor rgb="FFFF0000"/>
              <x14:negativeBorderColor rgb="FFFF0000"/>
              <x14:axisColor rgb="FF000000"/>
            </x14:dataBar>
          </x14:cfRule>
          <xm:sqref>BQ2 BS2 BU2 BW2 BY2</xm:sqref>
        </x14:conditionalFormatting>
        <x14:conditionalFormatting xmlns:xm="http://schemas.microsoft.com/office/excel/2006/main">
          <x14:cfRule type="dataBar" id="{E2BFC19B-F89B-4DCA-94DD-CCAC7593FF1D}">
            <x14:dataBar minLength="0" maxLength="100" border="1" negativeBarBorderColorSameAsPositive="0">
              <x14:cfvo type="autoMin"/>
              <x14:cfvo type="autoMax"/>
              <x14:borderColor rgb="FF63C384"/>
              <x14:negativeFillColor rgb="FFFF0000"/>
              <x14:negativeBorderColor rgb="FFFF0000"/>
              <x14:axisColor rgb="FF000000"/>
            </x14:dataBar>
          </x14:cfRule>
          <xm:sqref>BQ3 BS3 BU3 BW3 BY3</xm:sqref>
        </x14:conditionalFormatting>
        <x14:conditionalFormatting xmlns:xm="http://schemas.microsoft.com/office/excel/2006/main">
          <x14:cfRule type="dataBar" id="{4CFF7036-2591-4C6B-BDEA-B7A97F6D621B}">
            <x14:dataBar minLength="0" maxLength="100" border="1" negativeBarBorderColorSameAsPositive="0">
              <x14:cfvo type="autoMin"/>
              <x14:cfvo type="autoMax"/>
              <x14:borderColor rgb="FF63C384"/>
              <x14:negativeFillColor rgb="FFFF0000"/>
              <x14:negativeBorderColor rgb="FFFF0000"/>
              <x14:axisColor rgb="FF000000"/>
            </x14:dataBar>
          </x14:cfRule>
          <xm:sqref>BQ4 BS4 BU4 BW4 BY4</xm:sqref>
        </x14:conditionalFormatting>
        <x14:conditionalFormatting xmlns:xm="http://schemas.microsoft.com/office/excel/2006/main">
          <x14:cfRule type="dataBar" id="{FD691641-2630-4B94-9453-045F6423EF37}">
            <x14:dataBar minLength="0" maxLength="100" border="1" negativeBarBorderColorSameAsPositive="0">
              <x14:cfvo type="autoMin"/>
              <x14:cfvo type="autoMax"/>
              <x14:borderColor rgb="FF63C384"/>
              <x14:negativeFillColor rgb="FFFF0000"/>
              <x14:negativeBorderColor rgb="FFFF0000"/>
              <x14:axisColor rgb="FF000000"/>
            </x14:dataBar>
          </x14:cfRule>
          <xm:sqref>BQ6 BS6 BU6 BW6 BY6</xm:sqref>
        </x14:conditionalFormatting>
        <x14:conditionalFormatting xmlns:xm="http://schemas.microsoft.com/office/excel/2006/main">
          <x14:cfRule type="dataBar" id="{D6F7EA0B-1DA8-4CCB-99CC-376606CD1940}">
            <x14:dataBar minLength="0" maxLength="100" border="1" negativeBarBorderColorSameAsPositive="0">
              <x14:cfvo type="autoMin"/>
              <x14:cfvo type="autoMax"/>
              <x14:borderColor rgb="FF63C384"/>
              <x14:negativeFillColor rgb="FFFF0000"/>
              <x14:negativeBorderColor rgb="FFFF0000"/>
              <x14:axisColor rgb="FF000000"/>
            </x14:dataBar>
          </x14:cfRule>
          <xm:sqref>BQ7 BS7 BU7 BW7 BY7</xm:sqref>
        </x14:conditionalFormatting>
        <x14:conditionalFormatting xmlns:xm="http://schemas.microsoft.com/office/excel/2006/main">
          <x14:cfRule type="dataBar" id="{9BAC519B-1B6A-4499-9DB0-0A690B9D1AB7}">
            <x14:dataBar minLength="0" maxLength="100" border="1" negativeBarBorderColorSameAsPositive="0">
              <x14:cfvo type="autoMin"/>
              <x14:cfvo type="autoMax"/>
              <x14:borderColor rgb="FF63C384"/>
              <x14:negativeFillColor rgb="FFFF0000"/>
              <x14:negativeBorderColor rgb="FFFF0000"/>
              <x14:axisColor rgb="FF000000"/>
            </x14:dataBar>
          </x14:cfRule>
          <xm:sqref>BQ8 BS8 BU8 BW8 BY8</xm:sqref>
        </x14:conditionalFormatting>
        <x14:conditionalFormatting xmlns:xm="http://schemas.microsoft.com/office/excel/2006/main">
          <x14:cfRule type="dataBar" id="{C45E7713-C252-4575-8153-4CF261B9F5A0}">
            <x14:dataBar minLength="0" maxLength="100" border="1" negativeBarBorderColorSameAsPositive="0">
              <x14:cfvo type="autoMin"/>
              <x14:cfvo type="autoMax"/>
              <x14:borderColor rgb="FF63C384"/>
              <x14:negativeFillColor rgb="FFFF0000"/>
              <x14:negativeBorderColor rgb="FFFF0000"/>
              <x14:axisColor rgb="FF000000"/>
            </x14:dataBar>
          </x14:cfRule>
          <xm:sqref>BQ10 BS10 BU10 BW10 BY10</xm:sqref>
        </x14:conditionalFormatting>
        <x14:conditionalFormatting xmlns:xm="http://schemas.microsoft.com/office/excel/2006/main">
          <x14:cfRule type="dataBar" id="{7D84BE29-23C1-472D-A44B-BE75745DA481}">
            <x14:dataBar minLength="0" maxLength="100" border="1" negativeBarBorderColorSameAsPositive="0">
              <x14:cfvo type="autoMin"/>
              <x14:cfvo type="autoMax"/>
              <x14:borderColor rgb="FF63C384"/>
              <x14:negativeFillColor rgb="FFFF0000"/>
              <x14:negativeBorderColor rgb="FFFF0000"/>
              <x14:axisColor rgb="FF000000"/>
            </x14:dataBar>
          </x14:cfRule>
          <xm:sqref>BS5 BQ5 BU5 BW5 BY5</xm:sqref>
        </x14:conditionalFormatting>
        <x14:conditionalFormatting xmlns:xm="http://schemas.microsoft.com/office/excel/2006/main">
          <x14:cfRule type="dataBar" id="{ECCD8FCB-A404-4F6F-A9AC-73B65FE94DC3}">
            <x14:dataBar minLength="0" maxLength="100" border="1" negativeBarBorderColorSameAsPositive="0">
              <x14:cfvo type="autoMin"/>
              <x14:cfvo type="autoMax"/>
              <x14:borderColor rgb="FF63C384"/>
              <x14:negativeFillColor rgb="FFFF0000"/>
              <x14:negativeBorderColor rgb="FFFF0000"/>
              <x14:axisColor rgb="FF000000"/>
            </x14:dataBar>
          </x14:cfRule>
          <xm:sqref>BS9 BQ9 BU9 BW9 BY9</xm:sqref>
        </x14:conditionalFormatting>
        <x14:conditionalFormatting xmlns:xm="http://schemas.microsoft.com/office/excel/2006/main">
          <x14:cfRule type="dataBar" id="{998EDAE6-733B-4056-AC1B-C20B67BF25B7}">
            <x14:dataBar minLength="0" maxLength="100" border="1" negativeBarBorderColorSameAsPositive="0">
              <x14:cfvo type="autoMin"/>
              <x14:cfvo type="autoMax"/>
              <x14:borderColor rgb="FF63C384"/>
              <x14:negativeFillColor rgb="FFFF0000"/>
              <x14:negativeBorderColor rgb="FFFF0000"/>
              <x14:axisColor rgb="FF000000"/>
            </x14:dataBar>
          </x14:cfRule>
          <xm:sqref>BS11 BQ11 BU11 BW11 BY11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AC530-B584-48BB-B807-9851FFFBBB9D}">
  <dimension ref="A1:CI78"/>
  <sheetViews>
    <sheetView zoomScale="70" zoomScaleNormal="70" workbookViewId="0">
      <pane xSplit="2" ySplit="1" topLeftCell="C22" activePane="bottomRight" state="frozen"/>
      <selection pane="topRight" activeCell="D1" sqref="D1"/>
      <selection pane="bottomLeft" activeCell="A4" sqref="A4"/>
      <selection pane="bottomRight" activeCell="B28" sqref="B28"/>
    </sheetView>
  </sheetViews>
  <sheetFormatPr defaultRowHeight="13.2"/>
  <cols>
    <col min="1" max="1" width="17.5546875" style="2" bestFit="1" customWidth="1"/>
    <col min="2" max="2" width="67.44140625" style="3" customWidth="1"/>
    <col min="3" max="3" width="2.77734375" style="1" customWidth="1"/>
    <col min="4" max="4" width="12.33203125" style="1" customWidth="1"/>
    <col min="5" max="5" width="15.109375" style="1" customWidth="1"/>
    <col min="6" max="6" width="16.109375" style="1" bestFit="1" customWidth="1"/>
    <col min="7" max="7" width="10" style="1" customWidth="1"/>
    <col min="8" max="8" width="13.21875" style="1" bestFit="1" customWidth="1"/>
    <col min="9" max="9" width="13.5546875" style="1" customWidth="1"/>
    <col min="10" max="10" width="2.88671875" style="1" customWidth="1"/>
    <col min="11" max="11" width="33.33203125" style="1" customWidth="1"/>
    <col min="12" max="12" width="14.77734375" style="1" customWidth="1"/>
    <col min="13" max="13" width="18.6640625" style="1" customWidth="1"/>
    <col min="14" max="14" width="2.77734375" style="1" customWidth="1"/>
    <col min="15" max="15" width="20.44140625" style="1" customWidth="1"/>
    <col min="16" max="35" width="14.5546875" style="1" customWidth="1"/>
    <col min="36" max="36" width="2.77734375" style="1" customWidth="1"/>
    <col min="37" max="37" width="15.33203125" style="1" bestFit="1" customWidth="1"/>
    <col min="38" max="38" width="23" style="2" customWidth="1"/>
    <col min="39" max="39" width="17.44140625" style="1" bestFit="1" customWidth="1"/>
    <col min="40" max="40" width="10.6640625" style="2" bestFit="1" customWidth="1"/>
    <col min="41" max="41" width="11.88671875" style="2" customWidth="1"/>
    <col min="42" max="42" width="2.88671875" style="2" customWidth="1"/>
    <col min="43" max="43" width="15.33203125" style="2" customWidth="1"/>
    <col min="44" max="44" width="25" style="1" customWidth="1"/>
    <col min="45" max="45" width="14.6640625" style="1" bestFit="1" customWidth="1"/>
    <col min="46" max="47" width="12.77734375" style="2" customWidth="1"/>
    <col min="48" max="48" width="11.6640625" style="2" customWidth="1"/>
    <col min="49" max="49" width="2.88671875" style="2" customWidth="1"/>
    <col min="50" max="51" width="22.33203125" style="2" customWidth="1"/>
    <col min="52" max="52" width="17.88671875" style="2" bestFit="1" customWidth="1"/>
    <col min="53" max="53" width="22.33203125" style="2" customWidth="1"/>
    <col min="54" max="54" width="17.88671875" style="2" bestFit="1" customWidth="1"/>
    <col min="55" max="55" width="22.33203125" style="2" customWidth="1"/>
    <col min="56" max="56" width="17.88671875" style="2" bestFit="1" customWidth="1"/>
    <col min="57" max="57" width="22.33203125" style="2" customWidth="1"/>
    <col min="58" max="58" width="17.88671875" style="2" bestFit="1" customWidth="1"/>
    <col min="59" max="59" width="22.33203125" style="2" customWidth="1"/>
    <col min="60" max="60" width="17.88671875" style="2" bestFit="1" customWidth="1"/>
    <col min="61" max="61" width="22.33203125" style="2" customWidth="1"/>
    <col min="62" max="62" width="17.88671875" style="2" bestFit="1" customWidth="1"/>
    <col min="63" max="63" width="22.33203125" style="2" customWidth="1"/>
    <col min="64" max="64" width="17.88671875" style="2" bestFit="1" customWidth="1"/>
    <col min="65" max="65" width="22.33203125" style="2" customWidth="1"/>
    <col min="66" max="66" width="17.88671875" style="2" bestFit="1" customWidth="1"/>
    <col min="67" max="67" width="22.33203125" style="2" customWidth="1"/>
    <col min="68" max="68" width="17.88671875" style="2" bestFit="1" customWidth="1"/>
    <col min="69" max="69" width="22.33203125" style="2" customWidth="1"/>
    <col min="70" max="70" width="17.88671875" style="2" bestFit="1" customWidth="1"/>
    <col min="71" max="71" width="2.88671875" style="2" customWidth="1"/>
    <col min="72" max="72" width="35.5546875" style="1" customWidth="1"/>
    <col min="73" max="73" width="18" style="1" bestFit="1" customWidth="1"/>
    <col min="74" max="74" width="14.88671875" style="1" customWidth="1"/>
    <col min="75" max="75" width="15.5546875" style="1" bestFit="1" customWidth="1"/>
    <col min="76" max="76" width="16.77734375" style="1" bestFit="1" customWidth="1"/>
    <col min="77" max="77" width="17.109375" style="1" bestFit="1" customWidth="1"/>
    <col min="78" max="78" width="16.77734375" style="1" bestFit="1" customWidth="1"/>
    <col min="79" max="79" width="16" style="1" bestFit="1" customWidth="1"/>
    <col min="80" max="80" width="16.77734375" style="1" bestFit="1" customWidth="1"/>
    <col min="81" max="81" width="18" style="1" bestFit="1" customWidth="1"/>
    <col min="82" max="82" width="16.77734375" style="1" bestFit="1" customWidth="1"/>
    <col min="83" max="83" width="2.88671875" style="1" customWidth="1"/>
    <col min="84" max="87" width="8.88671875" style="1"/>
    <col min="88" max="16384" width="8.88671875" style="2"/>
  </cols>
  <sheetData>
    <row r="1" spans="1:83" ht="89.4" customHeight="1">
      <c r="A1" s="7" t="s">
        <v>0</v>
      </c>
      <c r="B1" s="8" t="s">
        <v>1</v>
      </c>
      <c r="C1" s="15"/>
      <c r="D1" s="6" t="s">
        <v>128</v>
      </c>
      <c r="E1" s="6" t="s">
        <v>126</v>
      </c>
      <c r="F1" s="6" t="s">
        <v>127</v>
      </c>
      <c r="G1" s="6" t="s">
        <v>129</v>
      </c>
      <c r="H1" s="6" t="s">
        <v>130</v>
      </c>
      <c r="I1" s="6" t="s">
        <v>131</v>
      </c>
      <c r="J1" s="37"/>
      <c r="K1" s="6" t="s">
        <v>234</v>
      </c>
      <c r="L1" s="6" t="s">
        <v>233</v>
      </c>
      <c r="M1" s="6" t="s">
        <v>232</v>
      </c>
      <c r="N1" s="15"/>
      <c r="O1" s="6" t="s">
        <v>164</v>
      </c>
      <c r="P1" s="5" t="s">
        <v>195</v>
      </c>
      <c r="Q1" s="32" t="s">
        <v>198</v>
      </c>
      <c r="R1" s="5" t="s">
        <v>196</v>
      </c>
      <c r="S1" s="32" t="s">
        <v>197</v>
      </c>
      <c r="T1" s="5" t="s">
        <v>199</v>
      </c>
      <c r="U1" s="32" t="s">
        <v>200</v>
      </c>
      <c r="V1" s="5" t="s">
        <v>201</v>
      </c>
      <c r="W1" s="32" t="s">
        <v>202</v>
      </c>
      <c r="X1" s="5" t="s">
        <v>203</v>
      </c>
      <c r="Y1" s="32" t="s">
        <v>204</v>
      </c>
      <c r="Z1" s="5" t="s">
        <v>205</v>
      </c>
      <c r="AA1" s="32" t="s">
        <v>206</v>
      </c>
      <c r="AB1" s="5" t="s">
        <v>207</v>
      </c>
      <c r="AC1" s="32" t="s">
        <v>208</v>
      </c>
      <c r="AD1" s="5" t="s">
        <v>209</v>
      </c>
      <c r="AE1" s="32" t="s">
        <v>210</v>
      </c>
      <c r="AF1" s="5" t="s">
        <v>211</v>
      </c>
      <c r="AG1" s="32" t="s">
        <v>212</v>
      </c>
      <c r="AH1" s="5" t="s">
        <v>170</v>
      </c>
      <c r="AI1" s="32" t="s">
        <v>169</v>
      </c>
      <c r="AJ1" s="15"/>
      <c r="AK1" s="6" t="s">
        <v>117</v>
      </c>
      <c r="AL1" s="6" t="s">
        <v>78</v>
      </c>
      <c r="AM1" s="6" t="s">
        <v>34</v>
      </c>
      <c r="AN1" s="7" t="s">
        <v>30</v>
      </c>
      <c r="AO1" s="7" t="s">
        <v>31</v>
      </c>
      <c r="AP1" s="14"/>
      <c r="AQ1" s="22" t="s">
        <v>117</v>
      </c>
      <c r="AR1" s="6" t="s">
        <v>77</v>
      </c>
      <c r="AS1" s="6" t="s">
        <v>115</v>
      </c>
      <c r="AT1" s="7" t="s">
        <v>114</v>
      </c>
      <c r="AU1" s="7" t="s">
        <v>31</v>
      </c>
      <c r="AV1" s="6" t="s">
        <v>116</v>
      </c>
      <c r="AW1" s="14"/>
      <c r="AX1" s="6" t="s">
        <v>118</v>
      </c>
      <c r="AY1" s="5" t="s">
        <v>186</v>
      </c>
      <c r="AZ1" s="32" t="s">
        <v>219</v>
      </c>
      <c r="BA1" s="5" t="s">
        <v>215</v>
      </c>
      <c r="BB1" s="32" t="s">
        <v>220</v>
      </c>
      <c r="BC1" s="5" t="s">
        <v>188</v>
      </c>
      <c r="BD1" s="32" t="s">
        <v>221</v>
      </c>
      <c r="BE1" s="5" t="s">
        <v>216</v>
      </c>
      <c r="BF1" s="32" t="s">
        <v>222</v>
      </c>
      <c r="BG1" s="5" t="s">
        <v>190</v>
      </c>
      <c r="BH1" s="32" t="s">
        <v>223</v>
      </c>
      <c r="BI1" s="5" t="s">
        <v>217</v>
      </c>
      <c r="BJ1" s="32" t="s">
        <v>224</v>
      </c>
      <c r="BK1" s="5" t="s">
        <v>192</v>
      </c>
      <c r="BL1" s="32" t="s">
        <v>225</v>
      </c>
      <c r="BM1" s="5" t="s">
        <v>193</v>
      </c>
      <c r="BN1" s="32" t="s">
        <v>226</v>
      </c>
      <c r="BO1" s="5" t="s">
        <v>218</v>
      </c>
      <c r="BP1" s="32" t="s">
        <v>227</v>
      </c>
      <c r="BQ1" s="5" t="s">
        <v>123</v>
      </c>
      <c r="BR1" s="32" t="s">
        <v>228</v>
      </c>
      <c r="BS1" s="24"/>
      <c r="BT1" s="6" t="s">
        <v>229</v>
      </c>
      <c r="BU1" s="6" t="s">
        <v>3</v>
      </c>
      <c r="BV1" s="32" t="s">
        <v>31</v>
      </c>
      <c r="BW1" s="6" t="s">
        <v>4</v>
      </c>
      <c r="BX1" s="32" t="s">
        <v>31</v>
      </c>
      <c r="BY1" s="6" t="s">
        <v>5</v>
      </c>
      <c r="BZ1" s="32" t="s">
        <v>31</v>
      </c>
      <c r="CA1" s="6" t="s">
        <v>6</v>
      </c>
      <c r="CB1" s="32" t="s">
        <v>31</v>
      </c>
      <c r="CC1" s="6" t="s">
        <v>7</v>
      </c>
      <c r="CD1" s="32" t="s">
        <v>31</v>
      </c>
      <c r="CE1" s="15"/>
    </row>
    <row r="2" spans="1:83" ht="79.2">
      <c r="A2" s="7" t="s">
        <v>15</v>
      </c>
      <c r="B2" s="8" t="s">
        <v>18</v>
      </c>
      <c r="C2" s="15"/>
      <c r="D2" s="5" t="str">
        <f>LEFT(B37,1)</f>
        <v>1</v>
      </c>
      <c r="E2" s="6" t="str">
        <f>RIGHT(B37,((LEN(B37)-4)))</f>
        <v>Strongly Disagree</v>
      </c>
      <c r="F2" s="5">
        <f>D6-D2</f>
        <v>4</v>
      </c>
      <c r="G2" s="27">
        <f>F2/D6</f>
        <v>0.8</v>
      </c>
      <c r="H2" s="27" t="str">
        <f>D2</f>
        <v>1</v>
      </c>
      <c r="I2" s="27">
        <f>H2+G2</f>
        <v>1.8</v>
      </c>
      <c r="J2" s="38"/>
      <c r="K2" s="27" t="str">
        <f>AY1</f>
        <v xml:space="preserve">3.01 I get enough restful sleep on a regular basis. </v>
      </c>
      <c r="L2" s="39">
        <f>Q43</f>
        <v>3.1463414634146343</v>
      </c>
      <c r="M2" s="27" t="str" cm="1">
        <f t="array" ref="M2">_xlfn.IFS(L2&lt;$H$3,$E$2,L2&lt;$H$4,$E$3,L2&lt;$H$5,$E$4,L2&lt;$H$6,$E$5,L2&gt;=$H$6,$E$6)</f>
        <v>Neutral</v>
      </c>
      <c r="N2" s="15"/>
      <c r="O2" s="5" t="s">
        <v>165</v>
      </c>
      <c r="P2" s="5" t="s">
        <v>5</v>
      </c>
      <c r="Q2" s="35" t="str">
        <f>LEFT(P2,1)</f>
        <v>3</v>
      </c>
      <c r="R2" s="5" t="s">
        <v>6</v>
      </c>
      <c r="S2" s="26" t="str">
        <f>LEFT(R2,1)</f>
        <v>4</v>
      </c>
      <c r="T2" s="5" t="s">
        <v>6</v>
      </c>
      <c r="U2" s="26" t="str">
        <f>LEFT(T2,1)</f>
        <v>4</v>
      </c>
      <c r="V2" s="5" t="s">
        <v>5</v>
      </c>
      <c r="W2" s="26" t="str">
        <f>LEFT(V2,1)</f>
        <v>3</v>
      </c>
      <c r="X2" s="5" t="s">
        <v>6</v>
      </c>
      <c r="Y2" s="26" t="str">
        <f>LEFT(X2,1)</f>
        <v>4</v>
      </c>
      <c r="Z2" s="5" t="s">
        <v>5</v>
      </c>
      <c r="AA2" s="26" t="str">
        <f>LEFT(Z2,1)</f>
        <v>3</v>
      </c>
      <c r="AB2" s="5" t="s">
        <v>5</v>
      </c>
      <c r="AC2" s="26" t="str">
        <f>LEFT(AB2,1)</f>
        <v>3</v>
      </c>
      <c r="AD2" s="5" t="s">
        <v>5</v>
      </c>
      <c r="AE2" s="26" t="str">
        <f>LEFT(AD2,1)</f>
        <v>3</v>
      </c>
      <c r="AF2" s="5" t="s">
        <v>5</v>
      </c>
      <c r="AG2" s="26" t="str">
        <f>LEFT(AF2,1)</f>
        <v>3</v>
      </c>
      <c r="AH2" s="5" t="s">
        <v>6</v>
      </c>
      <c r="AI2" s="26" t="str">
        <f>LEFT(AH2,1)</f>
        <v>4</v>
      </c>
      <c r="AJ2" s="15"/>
      <c r="AK2" s="139">
        <v>1.01</v>
      </c>
      <c r="AL2" s="127" t="s">
        <v>83</v>
      </c>
      <c r="AM2" s="5" t="s">
        <v>27</v>
      </c>
      <c r="AN2" s="4">
        <v>31</v>
      </c>
      <c r="AO2" s="20">
        <f>AN2/(SUM($AN$2:$AN$4))</f>
        <v>0.75609756097560976</v>
      </c>
      <c r="AP2" s="14"/>
      <c r="AQ2" s="7">
        <v>2.0099999999999998</v>
      </c>
      <c r="AR2" s="6" t="s">
        <v>53</v>
      </c>
      <c r="AS2" s="19">
        <f t="shared" ref="AS2:AS11" si="0">RANK(AT2,$AT$2:$AT$11,0)</f>
        <v>1</v>
      </c>
      <c r="AT2" s="4">
        <v>278</v>
      </c>
      <c r="AU2" s="36">
        <f>AT2/(SUM($AT$2:$AT$11))</f>
        <v>0.19172413793103449</v>
      </c>
      <c r="AV2" s="17">
        <f>AT2/$F$8</f>
        <v>6.7804878048780486</v>
      </c>
      <c r="AW2" s="14"/>
      <c r="AX2" s="6" t="s">
        <v>3</v>
      </c>
      <c r="AY2" s="5">
        <v>2</v>
      </c>
      <c r="AZ2" s="25">
        <f>AY2/(SUM($AY$2:$AY$6))</f>
        <v>4.878048780487805E-2</v>
      </c>
      <c r="BA2" s="5">
        <v>0</v>
      </c>
      <c r="BB2" s="25">
        <f>BA2/(SUM($BA$2:$BA$6))</f>
        <v>0</v>
      </c>
      <c r="BC2" s="5">
        <v>0</v>
      </c>
      <c r="BD2" s="25">
        <f>BC2/(SUM($BC$2:$BC$6))</f>
        <v>0</v>
      </c>
      <c r="BE2" s="5">
        <v>0</v>
      </c>
      <c r="BF2" s="25">
        <f>BE2/(SUM($BE$2:$BE$6))</f>
        <v>0</v>
      </c>
      <c r="BG2" s="5">
        <v>1</v>
      </c>
      <c r="BH2" s="25">
        <f>BG2/(SUM($BG$2:$BG$6))</f>
        <v>2.4390243902439025E-2</v>
      </c>
      <c r="BI2" s="5">
        <v>4</v>
      </c>
      <c r="BJ2" s="25">
        <f>BI2/(SUM($BI$2:$BI$6))</f>
        <v>9.7560975609756101E-2</v>
      </c>
      <c r="BK2" s="5">
        <v>0</v>
      </c>
      <c r="BL2" s="25">
        <f>BK2/(SUM($BK$2:$BK$6))</f>
        <v>0</v>
      </c>
      <c r="BM2" s="5">
        <v>2</v>
      </c>
      <c r="BN2" s="25">
        <f>BM2/(SUM($BM$2:$BM$6))</f>
        <v>4.878048780487805E-2</v>
      </c>
      <c r="BO2" s="5">
        <v>1</v>
      </c>
      <c r="BP2" s="25">
        <f>BO2/(SUM($BO$2:$BO$6))</f>
        <v>2.4390243902439025E-2</v>
      </c>
      <c r="BQ2" s="5">
        <v>0</v>
      </c>
      <c r="BR2" s="25">
        <f>BQ2/(SUM($BQ$2:$BQ$6))</f>
        <v>0</v>
      </c>
      <c r="BS2" s="24"/>
      <c r="BT2" s="5" t="s">
        <v>13</v>
      </c>
      <c r="BU2" s="6">
        <v>2</v>
      </c>
      <c r="BV2" s="18">
        <f>BU2/(SUM($BU$2,$BW$2,$BY$2,$CA$2,$CC$2))</f>
        <v>4.878048780487805E-2</v>
      </c>
      <c r="BW2" s="6">
        <v>4</v>
      </c>
      <c r="BX2" s="18">
        <f>BW2/(SUM($BU$2,$BW$2,$BY$2,$CA$2,$CC$2))</f>
        <v>9.7560975609756101E-2</v>
      </c>
      <c r="BY2" s="6">
        <v>22</v>
      </c>
      <c r="BZ2" s="18">
        <f>BY2/(SUM($BU$2,$BW$2,$BY$2,$CA$2,$CC$2))</f>
        <v>0.53658536585365857</v>
      </c>
      <c r="CA2" s="6">
        <v>12</v>
      </c>
      <c r="CB2" s="18">
        <f>CA2/(SUM($BU$2,$BW$2,$BY$2,$CA$2,$CC$2))</f>
        <v>0.29268292682926828</v>
      </c>
      <c r="CC2" s="6">
        <v>1</v>
      </c>
      <c r="CD2" s="18">
        <f>CC2/(SUM($BU$2,$BW$2,$BY$2,$CA$2,$CC$2))</f>
        <v>2.4390243902439025E-2</v>
      </c>
      <c r="CE2" s="15"/>
    </row>
    <row r="3" spans="1:83" ht="55.2" customHeight="1">
      <c r="A3" s="118" t="s">
        <v>23</v>
      </c>
      <c r="B3" s="8" t="s">
        <v>67</v>
      </c>
      <c r="C3" s="15"/>
      <c r="D3" s="5" t="str">
        <f t="shared" ref="D3:D6" si="1">LEFT(B38,1)</f>
        <v>2</v>
      </c>
      <c r="E3" s="6" t="str">
        <f t="shared" ref="E3:E6" si="2">RIGHT(B38,((LEN(B38)-4)))</f>
        <v>Disagree</v>
      </c>
      <c r="F3" s="5">
        <f>F2</f>
        <v>4</v>
      </c>
      <c r="G3" s="27">
        <f>G2</f>
        <v>0.8</v>
      </c>
      <c r="H3" s="27">
        <f>I2+0.01</f>
        <v>1.81</v>
      </c>
      <c r="I3" s="27">
        <f>I2+G3</f>
        <v>2.6</v>
      </c>
      <c r="J3" s="38"/>
      <c r="K3" s="27" t="str">
        <f>BA1</f>
        <v>3.02 I attend classes regularly and actively participate in lectures, seminars, and lab sessions.</v>
      </c>
      <c r="L3" s="39">
        <f>S43</f>
        <v>4.3414634146341466</v>
      </c>
      <c r="M3" s="27" t="str" cm="1">
        <f t="array" ref="M3">_xlfn.IFS(L3&lt;$H$3,$E$2,L3&lt;$H$4,$E$3,L3&lt;$H$5,$E$4,L3&lt;$H$6,$E$5,L3&gt;=$H$6,$E$6)</f>
        <v>Strongly Agree</v>
      </c>
      <c r="N3" s="15"/>
      <c r="O3" s="5" t="s">
        <v>166</v>
      </c>
      <c r="P3" s="5" t="s">
        <v>4</v>
      </c>
      <c r="Q3" s="35" t="str">
        <f t="shared" ref="Q3:Q42" si="3">LEFT(P3,1)</f>
        <v>2</v>
      </c>
      <c r="R3" s="5" t="s">
        <v>7</v>
      </c>
      <c r="S3" s="26" t="str">
        <f t="shared" ref="S3:S42" si="4">LEFT(R3,1)</f>
        <v>5</v>
      </c>
      <c r="T3" s="5" t="s">
        <v>6</v>
      </c>
      <c r="U3" s="26" t="str">
        <f t="shared" ref="U3:U42" si="5">LEFT(T3,1)</f>
        <v>4</v>
      </c>
      <c r="V3" s="5" t="s">
        <v>6</v>
      </c>
      <c r="W3" s="26" t="str">
        <f t="shared" ref="W3:W42" si="6">LEFT(V3,1)</f>
        <v>4</v>
      </c>
      <c r="X3" s="5" t="s">
        <v>6</v>
      </c>
      <c r="Y3" s="26" t="str">
        <f t="shared" ref="Y3:Y42" si="7">LEFT(X3,1)</f>
        <v>4</v>
      </c>
      <c r="Z3" s="5" t="s">
        <v>6</v>
      </c>
      <c r="AA3" s="26" t="str">
        <f t="shared" ref="AA3:AA42" si="8">LEFT(Z3,1)</f>
        <v>4</v>
      </c>
      <c r="AB3" s="5" t="s">
        <v>5</v>
      </c>
      <c r="AC3" s="26" t="str">
        <f t="shared" ref="AC3:AC42" si="9">LEFT(AB3,1)</f>
        <v>3</v>
      </c>
      <c r="AD3" s="5" t="s">
        <v>3</v>
      </c>
      <c r="AE3" s="26" t="str">
        <f t="shared" ref="AE3:AE42" si="10">LEFT(AD3,1)</f>
        <v>1</v>
      </c>
      <c r="AF3" s="5" t="s">
        <v>5</v>
      </c>
      <c r="AG3" s="26" t="str">
        <f t="shared" ref="AG3:AG42" si="11">LEFT(AF3,1)</f>
        <v>3</v>
      </c>
      <c r="AH3" s="5" t="s">
        <v>4</v>
      </c>
      <c r="AI3" s="26" t="str">
        <f t="shared" ref="AI3:AI42" si="12">LEFT(AH3,1)</f>
        <v>2</v>
      </c>
      <c r="AJ3" s="15"/>
      <c r="AK3" s="139"/>
      <c r="AL3" s="128"/>
      <c r="AM3" s="5" t="s">
        <v>28</v>
      </c>
      <c r="AN3" s="4">
        <v>8</v>
      </c>
      <c r="AO3" s="20">
        <f>AN3/(SUM($AN$2:$AN$4))</f>
        <v>0.1951219512195122</v>
      </c>
      <c r="AP3" s="14"/>
      <c r="AQ3" s="7">
        <v>2.02</v>
      </c>
      <c r="AR3" s="6" t="s">
        <v>2</v>
      </c>
      <c r="AS3" s="19">
        <f>RANK(AT3,$AT$2:$AT$11,0)</f>
        <v>2</v>
      </c>
      <c r="AT3" s="4">
        <v>265</v>
      </c>
      <c r="AU3" s="36">
        <f t="shared" ref="AU3:AU11" si="13">AT3/(SUM($AT$2:$AT$11))</f>
        <v>0.18275862068965518</v>
      </c>
      <c r="AV3" s="17">
        <f t="shared" ref="AV3:AV10" si="14">AT3/$F$8</f>
        <v>6.4634146341463419</v>
      </c>
      <c r="AW3" s="14"/>
      <c r="AX3" s="6" t="s">
        <v>4</v>
      </c>
      <c r="AY3" s="5">
        <v>4</v>
      </c>
      <c r="AZ3" s="25">
        <f t="shared" ref="AZ3:AZ6" si="15">AY3/(SUM($AY$2:$AY$6))</f>
        <v>9.7560975609756101E-2</v>
      </c>
      <c r="BA3" s="5">
        <v>0</v>
      </c>
      <c r="BB3" s="25">
        <f>BA3/(SUM($BA$2:$BA$6))</f>
        <v>0</v>
      </c>
      <c r="BC3" s="5">
        <v>2</v>
      </c>
      <c r="BD3" s="25">
        <f>BC3/(SUM($BC$2:$BC$6))</f>
        <v>4.878048780487805E-2</v>
      </c>
      <c r="BE3" s="5">
        <v>3</v>
      </c>
      <c r="BF3" s="25">
        <f>BE3/(SUM($BE$2:$BE$6))</f>
        <v>7.3170731707317069E-2</v>
      </c>
      <c r="BG3" s="5">
        <v>0</v>
      </c>
      <c r="BH3" s="25">
        <f>BG3/(SUM($BG$2:$BG$6))</f>
        <v>0</v>
      </c>
      <c r="BI3" s="5">
        <v>2</v>
      </c>
      <c r="BJ3" s="25">
        <f>BI3/(SUM($BI$2:$BI$6))</f>
        <v>4.878048780487805E-2</v>
      </c>
      <c r="BK3" s="5">
        <v>1</v>
      </c>
      <c r="BL3" s="25">
        <f>BK3/(SUM($BK$2:$BK$6))</f>
        <v>2.4390243902439025E-2</v>
      </c>
      <c r="BM3" s="5">
        <v>2</v>
      </c>
      <c r="BN3" s="25">
        <f>BM3/(SUM($BM$2:$BM$6))</f>
        <v>4.878048780487805E-2</v>
      </c>
      <c r="BO3" s="5">
        <v>0</v>
      </c>
      <c r="BP3" s="25">
        <f>BO3/(SUM($BO$2:$BO$6))</f>
        <v>0</v>
      </c>
      <c r="BQ3" s="5">
        <v>4</v>
      </c>
      <c r="BR3" s="25">
        <f>BQ3/(SUM($BQ$2:$BQ$6))</f>
        <v>9.7560975609756101E-2</v>
      </c>
      <c r="BS3" s="24"/>
      <c r="BT3" s="5" t="s">
        <v>62</v>
      </c>
      <c r="BU3" s="6">
        <v>0</v>
      </c>
      <c r="BV3" s="18">
        <f>BU3/(SUM($BU$3,$BW$3,$BY$3,$CA$3,$CC$3))</f>
        <v>0</v>
      </c>
      <c r="BW3" s="6">
        <v>0</v>
      </c>
      <c r="BX3" s="18">
        <f>BW3/(SUM($BU$3,$BW$3,$BY$3,$CA$3,$CC$3))</f>
        <v>0</v>
      </c>
      <c r="BY3" s="6">
        <v>5</v>
      </c>
      <c r="BZ3" s="18">
        <f>BY3/(SUM($BU$3,$BW$3,$BY$3,$CA$3,$CC$3))</f>
        <v>0.12195121951219512</v>
      </c>
      <c r="CA3" s="6">
        <v>17</v>
      </c>
      <c r="CB3" s="18">
        <f>CA3/(SUM($BU$3,$BW$3,$BY$3,$CA$3,$CC$3))</f>
        <v>0.41463414634146339</v>
      </c>
      <c r="CC3" s="6">
        <v>19</v>
      </c>
      <c r="CD3" s="18">
        <f>CC3/(SUM($BU$3,$BW$3,$BY$3,$CA$3,$CC$3))</f>
        <v>0.46341463414634149</v>
      </c>
      <c r="CE3" s="15"/>
    </row>
    <row r="4" spans="1:83" ht="55.2" customHeight="1">
      <c r="A4" s="119"/>
      <c r="B4" s="8" t="s">
        <v>68</v>
      </c>
      <c r="C4" s="15"/>
      <c r="D4" s="5" t="str">
        <f t="shared" si="1"/>
        <v>3</v>
      </c>
      <c r="E4" s="6" t="str">
        <f t="shared" si="2"/>
        <v>Neutral</v>
      </c>
      <c r="F4" s="5">
        <f t="shared" ref="F4:G6" si="16">F3</f>
        <v>4</v>
      </c>
      <c r="G4" s="27">
        <f t="shared" si="16"/>
        <v>0.8</v>
      </c>
      <c r="H4" s="27">
        <f>I3+0.01</f>
        <v>2.61</v>
      </c>
      <c r="I4" s="27">
        <f t="shared" ref="I4:I6" si="17">I3+G4</f>
        <v>3.4000000000000004</v>
      </c>
      <c r="J4" s="38"/>
      <c r="K4" s="27" t="str">
        <f>BC1</f>
        <v xml:space="preserve">3.03 I spend an adequate amount of time studying and completing assignments. </v>
      </c>
      <c r="L4" s="39">
        <f>U43</f>
        <v>3.6341463414634148</v>
      </c>
      <c r="M4" s="27" t="str" cm="1">
        <f t="array" ref="M4">_xlfn.IFS(L4&lt;$H$3,$E$2,L4&lt;$H$4,$E$3,L4&lt;$H$5,$E$4,L4&lt;$H$6,$E$5,L4&gt;=$H$6,$E$6)</f>
        <v>Agree</v>
      </c>
      <c r="N4" s="15"/>
      <c r="O4" s="5" t="s">
        <v>167</v>
      </c>
      <c r="P4" s="5" t="s">
        <v>7</v>
      </c>
      <c r="Q4" s="35" t="str">
        <f t="shared" si="3"/>
        <v>5</v>
      </c>
      <c r="R4" s="5" t="s">
        <v>7</v>
      </c>
      <c r="S4" s="26" t="str">
        <f t="shared" si="4"/>
        <v>5</v>
      </c>
      <c r="T4" s="5" t="s">
        <v>7</v>
      </c>
      <c r="U4" s="26" t="str">
        <f t="shared" si="5"/>
        <v>5</v>
      </c>
      <c r="V4" s="5" t="s">
        <v>7</v>
      </c>
      <c r="W4" s="26" t="str">
        <f t="shared" si="6"/>
        <v>5</v>
      </c>
      <c r="X4" s="5" t="s">
        <v>7</v>
      </c>
      <c r="Y4" s="26" t="str">
        <f t="shared" si="7"/>
        <v>5</v>
      </c>
      <c r="Z4" s="5" t="s">
        <v>7</v>
      </c>
      <c r="AA4" s="26" t="str">
        <f t="shared" si="8"/>
        <v>5</v>
      </c>
      <c r="AB4" s="5" t="s">
        <v>7</v>
      </c>
      <c r="AC4" s="26" t="str">
        <f t="shared" si="9"/>
        <v>5</v>
      </c>
      <c r="AD4" s="5" t="s">
        <v>7</v>
      </c>
      <c r="AE4" s="26" t="str">
        <f t="shared" si="10"/>
        <v>5</v>
      </c>
      <c r="AF4" s="5" t="s">
        <v>6</v>
      </c>
      <c r="AG4" s="26" t="str">
        <f t="shared" si="11"/>
        <v>4</v>
      </c>
      <c r="AH4" s="5" t="s">
        <v>5</v>
      </c>
      <c r="AI4" s="26" t="str">
        <f t="shared" si="12"/>
        <v>3</v>
      </c>
      <c r="AJ4" s="15"/>
      <c r="AK4" s="139"/>
      <c r="AL4" s="129"/>
      <c r="AM4" s="5" t="s">
        <v>29</v>
      </c>
      <c r="AN4" s="4">
        <v>2</v>
      </c>
      <c r="AO4" s="20">
        <f>AN4/(SUM($AN$2:$AN$4))</f>
        <v>4.878048780487805E-2</v>
      </c>
      <c r="AP4" s="14"/>
      <c r="AQ4" s="7">
        <v>2.0299999999999998</v>
      </c>
      <c r="AR4" s="6" t="s">
        <v>54</v>
      </c>
      <c r="AS4" s="19">
        <f t="shared" si="0"/>
        <v>4</v>
      </c>
      <c r="AT4" s="4">
        <v>132</v>
      </c>
      <c r="AU4" s="36">
        <f t="shared" si="13"/>
        <v>9.1034482758620694E-2</v>
      </c>
      <c r="AV4" s="17">
        <f t="shared" si="14"/>
        <v>3.2195121951219514</v>
      </c>
      <c r="AW4" s="14"/>
      <c r="AX4" s="6" t="s">
        <v>5</v>
      </c>
      <c r="AY4" s="5">
        <v>22</v>
      </c>
      <c r="AZ4" s="25">
        <f t="shared" si="15"/>
        <v>0.53658536585365857</v>
      </c>
      <c r="BA4" s="5">
        <v>5</v>
      </c>
      <c r="BB4" s="25">
        <f>BA4/(SUM($BA$2:$BA$6))</f>
        <v>0.12195121951219512</v>
      </c>
      <c r="BC4" s="5">
        <v>17</v>
      </c>
      <c r="BD4" s="25">
        <f>BC4/(SUM($BC$2:$BC$6))</f>
        <v>0.41463414634146339</v>
      </c>
      <c r="BE4" s="5">
        <v>9</v>
      </c>
      <c r="BF4" s="25">
        <f>BE4/(SUM($BE$2:$BE$6))</f>
        <v>0.21951219512195122</v>
      </c>
      <c r="BG4" s="5">
        <v>9</v>
      </c>
      <c r="BH4" s="25">
        <f>BG4/(SUM($BG$2:$BG$6))</f>
        <v>0.21951219512195122</v>
      </c>
      <c r="BI4" s="5">
        <v>14</v>
      </c>
      <c r="BJ4" s="25">
        <f>BI4/(SUM($BI$2:$BI$6))</f>
        <v>0.34146341463414637</v>
      </c>
      <c r="BK4" s="5">
        <v>12</v>
      </c>
      <c r="BL4" s="25">
        <f>BK4/(SUM($BK$2:$BK$6))</f>
        <v>0.29268292682926828</v>
      </c>
      <c r="BM4" s="5">
        <v>14</v>
      </c>
      <c r="BN4" s="25">
        <f>BM4/(SUM($BM$2:$BM$6))</f>
        <v>0.34146341463414637</v>
      </c>
      <c r="BO4" s="5">
        <v>17</v>
      </c>
      <c r="BP4" s="25">
        <f>BO4/(SUM($BO$2:$BO$6))</f>
        <v>0.41463414634146339</v>
      </c>
      <c r="BQ4" s="5">
        <v>8</v>
      </c>
      <c r="BR4" s="25">
        <f>BQ4/(SUM($BQ$2:$BQ$6))</f>
        <v>0.1951219512195122</v>
      </c>
      <c r="BS4" s="24"/>
      <c r="BT4" s="5" t="s">
        <v>9</v>
      </c>
      <c r="BU4" s="6">
        <v>0</v>
      </c>
      <c r="BV4" s="18">
        <f>BU4/(SUM($BU$4,$BW$4,$BY$4,$CA$4,$CC$4))</f>
        <v>0</v>
      </c>
      <c r="BW4" s="6">
        <v>2</v>
      </c>
      <c r="BX4" s="18">
        <f>BW4/(SUM($BU$4,$BW$4,$BY$4,$CA$4,$CC$4))</f>
        <v>4.878048780487805E-2</v>
      </c>
      <c r="BY4" s="6">
        <v>17</v>
      </c>
      <c r="BZ4" s="18">
        <f>BY4/(SUM($BU$4,$BW$4,$BY$4,$CA$4,$CC$4))</f>
        <v>0.41463414634146339</v>
      </c>
      <c r="CA4" s="6">
        <v>16</v>
      </c>
      <c r="CB4" s="18">
        <f>CA4/(SUM($BU$4,$BW$4,$BY$4,$CA$4,$CC$4))</f>
        <v>0.3902439024390244</v>
      </c>
      <c r="CC4" s="6">
        <v>6</v>
      </c>
      <c r="CD4" s="18">
        <f>CC4/(SUM($BU$4,$BW$4,$BY$4,$CA$4,$CC$4))</f>
        <v>0.14634146341463414</v>
      </c>
      <c r="CE4" s="15"/>
    </row>
    <row r="5" spans="1:83" ht="55.2" customHeight="1">
      <c r="A5" s="119"/>
      <c r="B5" s="8" t="s">
        <v>69</v>
      </c>
      <c r="C5" s="15"/>
      <c r="D5" s="5" t="str">
        <f t="shared" si="1"/>
        <v>4</v>
      </c>
      <c r="E5" s="6" t="str">
        <f t="shared" si="2"/>
        <v>Agree</v>
      </c>
      <c r="F5" s="5">
        <f t="shared" si="16"/>
        <v>4</v>
      </c>
      <c r="G5" s="27">
        <f t="shared" si="16"/>
        <v>0.8</v>
      </c>
      <c r="H5" s="27">
        <f>I4+0.01</f>
        <v>3.41</v>
      </c>
      <c r="I5" s="27">
        <f t="shared" si="17"/>
        <v>4.2</v>
      </c>
      <c r="J5" s="38"/>
      <c r="K5" s="27" t="str">
        <f>BE1</f>
        <v xml:space="preserve"> 3.04 I actively engage in group projects and collaborations, coordinating schedules and contributing to shared assignments. </v>
      </c>
      <c r="L5" s="39">
        <f>W43</f>
        <v>3.8780487804878048</v>
      </c>
      <c r="M5" s="27" t="str" cm="1">
        <f t="array" ref="M5">_xlfn.IFS(L5&lt;$H$3,$E$2,L5&lt;$H$4,$E$3,L5&lt;$H$5,$E$4,L5&lt;$H$6,$E$5,L5&gt;=$H$6,$E$6)</f>
        <v>Agree</v>
      </c>
      <c r="N5" s="15"/>
      <c r="O5" s="5" t="s">
        <v>168</v>
      </c>
      <c r="P5" s="5" t="s">
        <v>5</v>
      </c>
      <c r="Q5" s="35" t="str">
        <f t="shared" si="3"/>
        <v>3</v>
      </c>
      <c r="R5" s="5" t="s">
        <v>6</v>
      </c>
      <c r="S5" s="26" t="str">
        <f t="shared" si="4"/>
        <v>4</v>
      </c>
      <c r="T5" s="5" t="s">
        <v>5</v>
      </c>
      <c r="U5" s="26" t="str">
        <f t="shared" si="5"/>
        <v>3</v>
      </c>
      <c r="V5" s="5" t="s">
        <v>5</v>
      </c>
      <c r="W5" s="26" t="str">
        <f t="shared" si="6"/>
        <v>3</v>
      </c>
      <c r="X5" s="5" t="s">
        <v>5</v>
      </c>
      <c r="Y5" s="26" t="str">
        <f t="shared" si="7"/>
        <v>3</v>
      </c>
      <c r="Z5" s="5" t="s">
        <v>4</v>
      </c>
      <c r="AA5" s="26" t="str">
        <f t="shared" si="8"/>
        <v>2</v>
      </c>
      <c r="AB5" s="5" t="s">
        <v>5</v>
      </c>
      <c r="AC5" s="26" t="str">
        <f t="shared" si="9"/>
        <v>3</v>
      </c>
      <c r="AD5" s="5" t="s">
        <v>5</v>
      </c>
      <c r="AE5" s="26" t="str">
        <f t="shared" si="10"/>
        <v>3</v>
      </c>
      <c r="AF5" s="5" t="s">
        <v>5</v>
      </c>
      <c r="AG5" s="26" t="str">
        <f t="shared" si="11"/>
        <v>3</v>
      </c>
      <c r="AH5" s="5" t="s">
        <v>5</v>
      </c>
      <c r="AI5" s="26" t="str">
        <f t="shared" si="12"/>
        <v>3</v>
      </c>
      <c r="AJ5" s="15"/>
      <c r="AK5" s="139">
        <v>1.02</v>
      </c>
      <c r="AL5" s="130" t="s">
        <v>84</v>
      </c>
      <c r="AM5" s="5" t="s">
        <v>32</v>
      </c>
      <c r="AN5" s="4">
        <v>0</v>
      </c>
      <c r="AO5" s="20">
        <f>AN5/(SUM($AN$5:$AN$9))</f>
        <v>0</v>
      </c>
      <c r="AP5" s="14"/>
      <c r="AQ5" s="7">
        <v>2.04</v>
      </c>
      <c r="AR5" s="6" t="s">
        <v>55</v>
      </c>
      <c r="AS5" s="19">
        <f t="shared" si="0"/>
        <v>7</v>
      </c>
      <c r="AT5" s="4">
        <v>117</v>
      </c>
      <c r="AU5" s="36">
        <f t="shared" si="13"/>
        <v>8.0689655172413791E-2</v>
      </c>
      <c r="AV5" s="17">
        <f t="shared" si="14"/>
        <v>2.8536585365853657</v>
      </c>
      <c r="AW5" s="14"/>
      <c r="AX5" s="6" t="s">
        <v>6</v>
      </c>
      <c r="AY5" s="5">
        <v>12</v>
      </c>
      <c r="AZ5" s="25">
        <f t="shared" si="15"/>
        <v>0.29268292682926828</v>
      </c>
      <c r="BA5" s="5">
        <v>17</v>
      </c>
      <c r="BB5" s="25">
        <f>BA5/(SUM($BA$2:$BA$6))</f>
        <v>0.41463414634146339</v>
      </c>
      <c r="BC5" s="5">
        <v>16</v>
      </c>
      <c r="BD5" s="25">
        <f>BC5/(SUM($BC$2:$BC$6))</f>
        <v>0.3902439024390244</v>
      </c>
      <c r="BE5" s="5">
        <v>19</v>
      </c>
      <c r="BF5" s="25">
        <f>BE5/(SUM($BE$2:$BE$6))</f>
        <v>0.46341463414634149</v>
      </c>
      <c r="BG5" s="5">
        <v>23</v>
      </c>
      <c r="BH5" s="25">
        <f>BG5/(SUM($BG$2:$BG$6))</f>
        <v>0.56097560975609762</v>
      </c>
      <c r="BI5" s="5">
        <v>18</v>
      </c>
      <c r="BJ5" s="25">
        <f>BI5/(SUM($BI$2:$BI$6))</f>
        <v>0.43902439024390244</v>
      </c>
      <c r="BK5" s="5">
        <v>16</v>
      </c>
      <c r="BL5" s="25">
        <f>BK5/(SUM($BK$2:$BK$6))</f>
        <v>0.3902439024390244</v>
      </c>
      <c r="BM5" s="5">
        <v>12</v>
      </c>
      <c r="BN5" s="25">
        <f>BM5/(SUM($BM$2:$BM$6))</f>
        <v>0.29268292682926828</v>
      </c>
      <c r="BO5" s="5">
        <v>14</v>
      </c>
      <c r="BP5" s="25">
        <f>BO5/(SUM($BO$2:$BO$6))</f>
        <v>0.34146341463414637</v>
      </c>
      <c r="BQ5" s="5">
        <v>22</v>
      </c>
      <c r="BR5" s="25">
        <f>BQ5/(SUM($BQ$2:$BQ$6))</f>
        <v>0.53658536585365857</v>
      </c>
      <c r="BS5" s="24"/>
      <c r="BT5" s="5" t="s">
        <v>63</v>
      </c>
      <c r="BU5" s="6">
        <v>0</v>
      </c>
      <c r="BV5" s="18">
        <f>BU5/(SUM($BU$5,$BW$5,$BY$5,$CA$5,$CC$5))</f>
        <v>0</v>
      </c>
      <c r="BW5" s="6">
        <v>3</v>
      </c>
      <c r="BX5" s="18">
        <f>BW5/(SUM($BU$5,$BW$5,$BY$5,$CA$5,$CC$5))</f>
        <v>7.3170731707317069E-2</v>
      </c>
      <c r="BY5" s="6">
        <v>9</v>
      </c>
      <c r="BZ5" s="18">
        <f>BY5/(SUM($BU$5,$BW$5,$BY$5,$CA$5,$CC$5))</f>
        <v>0.21951219512195122</v>
      </c>
      <c r="CA5" s="6">
        <v>19</v>
      </c>
      <c r="CB5" s="18">
        <f>CA5/(SUM($BU$5,$BW$5,$BY$5,$CA$5,$CC$5))</f>
        <v>0.46341463414634149</v>
      </c>
      <c r="CC5" s="6">
        <v>10</v>
      </c>
      <c r="CD5" s="18">
        <f>CC5/(SUM($BU$5,$BW$5,$BY$5,$CA$5,$CC$5))</f>
        <v>0.24390243902439024</v>
      </c>
      <c r="CE5" s="15"/>
    </row>
    <row r="6" spans="1:83" ht="66">
      <c r="A6" s="119"/>
      <c r="B6" s="8" t="s">
        <v>70</v>
      </c>
      <c r="C6" s="15"/>
      <c r="D6" s="5" t="str">
        <f t="shared" si="1"/>
        <v>5</v>
      </c>
      <c r="E6" s="6" t="str">
        <f t="shared" si="2"/>
        <v>Strongly Agree</v>
      </c>
      <c r="F6" s="5">
        <f t="shared" si="16"/>
        <v>4</v>
      </c>
      <c r="G6" s="27">
        <f t="shared" si="16"/>
        <v>0.8</v>
      </c>
      <c r="H6" s="27">
        <f t="shared" ref="H6" si="18">I5+0.01</f>
        <v>4.21</v>
      </c>
      <c r="I6" s="27">
        <f t="shared" si="17"/>
        <v>5</v>
      </c>
      <c r="J6" s="38"/>
      <c r="K6" s="27" t="str">
        <f>BG1</f>
        <v xml:space="preserve">3.05 I am involved in extracurricular activities that contribute to my personal growth and development. </v>
      </c>
      <c r="L6" s="39">
        <f>Y43</f>
        <v>3.9024390243902438</v>
      </c>
      <c r="M6" s="27" t="str" cm="1">
        <f t="array" ref="M6">_xlfn.IFS(L6&lt;$H$3,$E$2,L6&lt;$H$4,$E$3,L6&lt;$H$5,$E$4,L6&lt;$H$6,$E$5,L6&gt;=$H$6,$E$6)</f>
        <v>Agree</v>
      </c>
      <c r="N6" s="15"/>
      <c r="O6" s="5" t="s">
        <v>132</v>
      </c>
      <c r="P6" s="5" t="s">
        <v>6</v>
      </c>
      <c r="Q6" s="35" t="str">
        <f t="shared" si="3"/>
        <v>4</v>
      </c>
      <c r="R6" s="5" t="s">
        <v>6</v>
      </c>
      <c r="S6" s="26" t="str">
        <f t="shared" si="4"/>
        <v>4</v>
      </c>
      <c r="T6" s="5" t="s">
        <v>6</v>
      </c>
      <c r="U6" s="26" t="str">
        <f t="shared" si="5"/>
        <v>4</v>
      </c>
      <c r="V6" s="5" t="s">
        <v>6</v>
      </c>
      <c r="W6" s="26" t="str">
        <f t="shared" si="6"/>
        <v>4</v>
      </c>
      <c r="X6" s="5" t="s">
        <v>6</v>
      </c>
      <c r="Y6" s="26" t="str">
        <f t="shared" si="7"/>
        <v>4</v>
      </c>
      <c r="Z6" s="5" t="s">
        <v>6</v>
      </c>
      <c r="AA6" s="26" t="str">
        <f t="shared" si="8"/>
        <v>4</v>
      </c>
      <c r="AB6" s="5" t="s">
        <v>6</v>
      </c>
      <c r="AC6" s="26" t="str">
        <f t="shared" si="9"/>
        <v>4</v>
      </c>
      <c r="AD6" s="5" t="s">
        <v>6</v>
      </c>
      <c r="AE6" s="26" t="str">
        <f t="shared" si="10"/>
        <v>4</v>
      </c>
      <c r="AF6" s="5" t="s">
        <v>6</v>
      </c>
      <c r="AG6" s="26" t="str">
        <f t="shared" si="11"/>
        <v>4</v>
      </c>
      <c r="AH6" s="5" t="s">
        <v>6</v>
      </c>
      <c r="AI6" s="26" t="str">
        <f t="shared" si="12"/>
        <v>4</v>
      </c>
      <c r="AJ6" s="15"/>
      <c r="AK6" s="139"/>
      <c r="AL6" s="131"/>
      <c r="AM6" s="5" t="s">
        <v>33</v>
      </c>
      <c r="AN6" s="4">
        <v>30</v>
      </c>
      <c r="AO6" s="20">
        <f>AN6/(SUM($AN$5:$AN$9))</f>
        <v>0.73170731707317072</v>
      </c>
      <c r="AP6" s="14"/>
      <c r="AQ6" s="7">
        <v>2.0499999999999998</v>
      </c>
      <c r="AR6" s="6" t="s">
        <v>56</v>
      </c>
      <c r="AS6" s="19">
        <f t="shared" si="0"/>
        <v>6</v>
      </c>
      <c r="AT6" s="4">
        <v>122</v>
      </c>
      <c r="AU6" s="36">
        <f t="shared" si="13"/>
        <v>8.4137931034482763E-2</v>
      </c>
      <c r="AV6" s="17">
        <f t="shared" si="14"/>
        <v>2.975609756097561</v>
      </c>
      <c r="AW6" s="14"/>
      <c r="AX6" s="6" t="s">
        <v>7</v>
      </c>
      <c r="AY6" s="5">
        <v>1</v>
      </c>
      <c r="AZ6" s="25">
        <f t="shared" si="15"/>
        <v>2.4390243902439025E-2</v>
      </c>
      <c r="BA6" s="5">
        <v>19</v>
      </c>
      <c r="BB6" s="25">
        <f>BA6/(SUM($BA$2:$BA$6))</f>
        <v>0.46341463414634149</v>
      </c>
      <c r="BC6" s="5">
        <v>6</v>
      </c>
      <c r="BD6" s="25">
        <f>BC6/(SUM($BC$2:$BC$6))</f>
        <v>0.14634146341463414</v>
      </c>
      <c r="BE6" s="5">
        <v>10</v>
      </c>
      <c r="BF6" s="25">
        <f>BE6/(SUM($BE$2:$BE$6))</f>
        <v>0.24390243902439024</v>
      </c>
      <c r="BG6" s="5">
        <v>8</v>
      </c>
      <c r="BH6" s="25">
        <f>BG6/(SUM($BG$2:$BG$6))</f>
        <v>0.1951219512195122</v>
      </c>
      <c r="BI6" s="5">
        <v>3</v>
      </c>
      <c r="BJ6" s="25">
        <f>BI6/(SUM($BI$2:$BI$6))</f>
        <v>7.3170731707317069E-2</v>
      </c>
      <c r="BK6" s="5">
        <v>12</v>
      </c>
      <c r="BL6" s="25">
        <f>BK6/(SUM($BK$2:$BK$6))</f>
        <v>0.29268292682926828</v>
      </c>
      <c r="BM6" s="5">
        <v>11</v>
      </c>
      <c r="BN6" s="25">
        <f>BM6/(SUM($BM$2:$BM$6))</f>
        <v>0.26829268292682928</v>
      </c>
      <c r="BO6" s="5">
        <v>9</v>
      </c>
      <c r="BP6" s="25">
        <f>BO6/(SUM($BO$2:$BO$6))</f>
        <v>0.21951219512195122</v>
      </c>
      <c r="BQ6" s="5">
        <v>7</v>
      </c>
      <c r="BR6" s="25">
        <f>BQ6/(SUM($BQ$2:$BQ$6))</f>
        <v>0.17073170731707318</v>
      </c>
      <c r="BS6" s="24"/>
      <c r="BT6" s="5" t="s">
        <v>10</v>
      </c>
      <c r="BU6" s="6">
        <v>1</v>
      </c>
      <c r="BV6" s="18">
        <f>BU6/(SUM($BU$6,$BW$6,$BY$6,$CA$6,$CC$6))</f>
        <v>2.4390243902439025E-2</v>
      </c>
      <c r="BW6" s="6">
        <v>0</v>
      </c>
      <c r="BX6" s="18">
        <f>BW6/(SUM($BU$6,$BW$6,$BY$6,$CA$6,$CC$6))</f>
        <v>0</v>
      </c>
      <c r="BY6" s="6">
        <v>9</v>
      </c>
      <c r="BZ6" s="18">
        <f>BY6/(SUM($BU$6,$BW$6,$BY$6,$CA$6,$CC$6))</f>
        <v>0.21951219512195122</v>
      </c>
      <c r="CA6" s="6">
        <v>23</v>
      </c>
      <c r="CB6" s="18">
        <f>CA6/(SUM($BU$6,$BW$6,$BY$6,$CA$6,$CC$6))</f>
        <v>0.56097560975609762</v>
      </c>
      <c r="CC6" s="6">
        <v>8</v>
      </c>
      <c r="CD6" s="18">
        <f>CC6/(SUM($BU$6,$BW$6,$BY$6,$CA$6,$CC$6))</f>
        <v>0.1951219512195122</v>
      </c>
      <c r="CE6" s="15"/>
    </row>
    <row r="7" spans="1:83" ht="55.2" customHeight="1">
      <c r="A7" s="119"/>
      <c r="B7" s="8" t="s">
        <v>71</v>
      </c>
      <c r="C7" s="15"/>
      <c r="D7" s="29"/>
      <c r="E7" s="29"/>
      <c r="F7" s="29"/>
      <c r="G7" s="30"/>
      <c r="H7" s="29"/>
      <c r="I7" s="29"/>
      <c r="J7" s="29"/>
      <c r="K7" s="27" t="str">
        <f>BI1</f>
        <v>3.06 Balancing my part-time job or internship responsibilities with my academic commitments is manageable</v>
      </c>
      <c r="L7" s="39">
        <f>AA43</f>
        <v>3.3414634146341462</v>
      </c>
      <c r="M7" s="27" t="str" cm="1">
        <f t="array" ref="M7">_xlfn.IFS(L7&lt;$H$3,$E$2,L7&lt;$H$4,$E$3,L7&lt;$H$5,$E$4,L7&lt;$H$6,$E$5,L7&gt;=$H$6,$E$6)</f>
        <v>Neutral</v>
      </c>
      <c r="N7" s="15"/>
      <c r="O7" s="5" t="s">
        <v>133</v>
      </c>
      <c r="P7" s="5" t="s">
        <v>5</v>
      </c>
      <c r="Q7" s="35" t="str">
        <f t="shared" si="3"/>
        <v>3</v>
      </c>
      <c r="R7" s="5" t="s">
        <v>6</v>
      </c>
      <c r="S7" s="26" t="str">
        <f t="shared" si="4"/>
        <v>4</v>
      </c>
      <c r="T7" s="5" t="s">
        <v>6</v>
      </c>
      <c r="U7" s="26" t="str">
        <f t="shared" si="5"/>
        <v>4</v>
      </c>
      <c r="V7" s="5" t="s">
        <v>6</v>
      </c>
      <c r="W7" s="26" t="str">
        <f t="shared" si="6"/>
        <v>4</v>
      </c>
      <c r="X7" s="5" t="s">
        <v>6</v>
      </c>
      <c r="Y7" s="26" t="str">
        <f t="shared" si="7"/>
        <v>4</v>
      </c>
      <c r="Z7" s="5" t="s">
        <v>6</v>
      </c>
      <c r="AA7" s="26" t="str">
        <f t="shared" si="8"/>
        <v>4</v>
      </c>
      <c r="AB7" s="5" t="s">
        <v>6</v>
      </c>
      <c r="AC7" s="26" t="str">
        <f t="shared" si="9"/>
        <v>4</v>
      </c>
      <c r="AD7" s="5" t="s">
        <v>5</v>
      </c>
      <c r="AE7" s="26" t="str">
        <f t="shared" si="10"/>
        <v>3</v>
      </c>
      <c r="AF7" s="5" t="s">
        <v>7</v>
      </c>
      <c r="AG7" s="26" t="str">
        <f t="shared" si="11"/>
        <v>5</v>
      </c>
      <c r="AH7" s="5" t="s">
        <v>6</v>
      </c>
      <c r="AI7" s="26" t="str">
        <f t="shared" si="12"/>
        <v>4</v>
      </c>
      <c r="AJ7" s="15"/>
      <c r="AK7" s="139"/>
      <c r="AL7" s="131"/>
      <c r="AM7" s="5" t="s">
        <v>35</v>
      </c>
      <c r="AN7" s="4">
        <v>10</v>
      </c>
      <c r="AO7" s="20">
        <f>AN7/(SUM($AN$5:$AN$9))</f>
        <v>0.24390243902439024</v>
      </c>
      <c r="AP7" s="14"/>
      <c r="AQ7" s="7">
        <v>2.06</v>
      </c>
      <c r="AR7" s="6" t="s">
        <v>57</v>
      </c>
      <c r="AS7" s="19">
        <f t="shared" si="0"/>
        <v>9</v>
      </c>
      <c r="AT7" s="4">
        <v>88</v>
      </c>
      <c r="AU7" s="36">
        <f t="shared" si="13"/>
        <v>6.0689655172413794E-2</v>
      </c>
      <c r="AV7" s="17">
        <f t="shared" si="14"/>
        <v>2.1463414634146343</v>
      </c>
      <c r="AW7" s="14"/>
      <c r="AX7" s="14"/>
      <c r="AY7" s="14"/>
      <c r="AZ7" s="14"/>
      <c r="BA7" s="14"/>
      <c r="BB7" s="14"/>
      <c r="BC7" s="14"/>
      <c r="BD7" s="14"/>
      <c r="BE7" s="14"/>
      <c r="BF7" s="14"/>
      <c r="BG7" s="14"/>
      <c r="BH7" s="14"/>
      <c r="BI7" s="14"/>
      <c r="BJ7" s="14"/>
      <c r="BK7" s="14"/>
      <c r="BL7" s="14"/>
      <c r="BM7" s="14"/>
      <c r="BN7" s="14"/>
      <c r="BO7" s="14"/>
      <c r="BP7" s="14"/>
      <c r="BQ7" s="14"/>
      <c r="BR7" s="14"/>
      <c r="BS7" s="14"/>
      <c r="BT7" s="5" t="s">
        <v>64</v>
      </c>
      <c r="BU7" s="6">
        <v>4</v>
      </c>
      <c r="BV7" s="18">
        <f>BU7/(SUM($BU$7,$BW$7,$BY$7,$CA$7,$CC$7))</f>
        <v>9.7560975609756101E-2</v>
      </c>
      <c r="BW7" s="6">
        <v>2</v>
      </c>
      <c r="BX7" s="18">
        <f>BW7/(SUM($BU$7,$BW$7,$BY$7,$CA$7,$CC$7))</f>
        <v>4.878048780487805E-2</v>
      </c>
      <c r="BY7" s="6">
        <v>14</v>
      </c>
      <c r="BZ7" s="18">
        <f>BY7/(SUM($BU$7,$BW$7,$BY$7,$CA$7,$CC$7))</f>
        <v>0.34146341463414637</v>
      </c>
      <c r="CA7" s="6">
        <v>18</v>
      </c>
      <c r="CB7" s="18">
        <f>CA7/(SUM($BU$7,$BW$7,$BY$7,$CA$7,$CC$7))</f>
        <v>0.43902439024390244</v>
      </c>
      <c r="CC7" s="6">
        <v>3</v>
      </c>
      <c r="CD7" s="18">
        <f>CC7/(SUM($BU$7,$BW$7,$BY$7,$CA$7,$CC$7))</f>
        <v>7.3170731707317069E-2</v>
      </c>
      <c r="CE7" s="15"/>
    </row>
    <row r="8" spans="1:83" ht="55.2" customHeight="1">
      <c r="A8" s="119"/>
      <c r="B8" s="8" t="s">
        <v>72</v>
      </c>
      <c r="C8" s="15"/>
      <c r="D8" s="142" t="s">
        <v>213</v>
      </c>
      <c r="E8" s="143"/>
      <c r="F8" s="5">
        <v>41</v>
      </c>
      <c r="G8" s="142" t="s">
        <v>231</v>
      </c>
      <c r="H8" s="143"/>
      <c r="I8" s="34" t="s">
        <v>252</v>
      </c>
      <c r="J8" s="15"/>
      <c r="K8" s="5" t="str">
        <f>BK1</f>
        <v xml:space="preserve">3.07 I dedicate enough time to socializing and maintaining relationships with friends, family, and significant others. </v>
      </c>
      <c r="L8" s="39">
        <f>AC43</f>
        <v>3.9512195121951219</v>
      </c>
      <c r="M8" s="27" t="str" cm="1">
        <f t="array" ref="M8">_xlfn.IFS(L8&lt;$H$3,$E$2,L8&lt;$H$4,$E$3,L8&lt;$H$5,$E$4,L8&lt;$H$6,$E$5,L8&gt;=$H$6,$E$6)</f>
        <v>Agree</v>
      </c>
      <c r="N8" s="29"/>
      <c r="O8" s="5" t="s">
        <v>134</v>
      </c>
      <c r="P8" s="5" t="s">
        <v>5</v>
      </c>
      <c r="Q8" s="35" t="str">
        <f t="shared" si="3"/>
        <v>3</v>
      </c>
      <c r="R8" s="5" t="s">
        <v>6</v>
      </c>
      <c r="S8" s="26" t="str">
        <f t="shared" si="4"/>
        <v>4</v>
      </c>
      <c r="T8" s="5" t="s">
        <v>7</v>
      </c>
      <c r="U8" s="26" t="str">
        <f t="shared" si="5"/>
        <v>5</v>
      </c>
      <c r="V8" s="5" t="s">
        <v>7</v>
      </c>
      <c r="W8" s="26" t="str">
        <f t="shared" si="6"/>
        <v>5</v>
      </c>
      <c r="X8" s="5" t="s">
        <v>7</v>
      </c>
      <c r="Y8" s="26" t="str">
        <f t="shared" si="7"/>
        <v>5</v>
      </c>
      <c r="Z8" s="5" t="s">
        <v>7</v>
      </c>
      <c r="AA8" s="26" t="str">
        <f t="shared" si="8"/>
        <v>5</v>
      </c>
      <c r="AB8" s="5" t="s">
        <v>7</v>
      </c>
      <c r="AC8" s="26" t="str">
        <f t="shared" si="9"/>
        <v>5</v>
      </c>
      <c r="AD8" s="5" t="s">
        <v>7</v>
      </c>
      <c r="AE8" s="26" t="str">
        <f t="shared" si="10"/>
        <v>5</v>
      </c>
      <c r="AF8" s="5" t="s">
        <v>7</v>
      </c>
      <c r="AG8" s="26" t="str">
        <f t="shared" si="11"/>
        <v>5</v>
      </c>
      <c r="AH8" s="5" t="s">
        <v>5</v>
      </c>
      <c r="AI8" s="26" t="str">
        <f t="shared" si="12"/>
        <v>3</v>
      </c>
      <c r="AJ8" s="15"/>
      <c r="AK8" s="139"/>
      <c r="AL8" s="131"/>
      <c r="AM8" s="5" t="s">
        <v>36</v>
      </c>
      <c r="AN8" s="4">
        <v>0</v>
      </c>
      <c r="AO8" s="20">
        <f>AN8/(SUM($AN$5:$AN$9))</f>
        <v>0</v>
      </c>
      <c r="AP8" s="14"/>
      <c r="AQ8" s="7">
        <v>2.0699999999999998</v>
      </c>
      <c r="AR8" s="6" t="s">
        <v>58</v>
      </c>
      <c r="AS8" s="19">
        <f t="shared" si="0"/>
        <v>3</v>
      </c>
      <c r="AT8" s="4">
        <v>139</v>
      </c>
      <c r="AU8" s="36">
        <f t="shared" si="13"/>
        <v>9.5862068965517244E-2</v>
      </c>
      <c r="AV8" s="17">
        <f t="shared" si="14"/>
        <v>3.3902439024390243</v>
      </c>
      <c r="AW8" s="14"/>
      <c r="BS8" s="14"/>
      <c r="BT8" s="5" t="s">
        <v>11</v>
      </c>
      <c r="BU8" s="6">
        <v>0</v>
      </c>
      <c r="BV8" s="18">
        <f>BU8/(SUM($BU$8,$BW$8,$BY$8,$CA$8,$CC$8))</f>
        <v>0</v>
      </c>
      <c r="BW8" s="6">
        <v>1</v>
      </c>
      <c r="BX8" s="18">
        <f>BW8/(SUM($BU$8,$BW$8,$BY$8,$CA$8,$CC$8))</f>
        <v>2.4390243902439025E-2</v>
      </c>
      <c r="BY8" s="6">
        <v>12</v>
      </c>
      <c r="BZ8" s="18">
        <f>BY8/(SUM($BU$8,$BW$8,$BY$8,$CA$8,$CC$8))</f>
        <v>0.29268292682926828</v>
      </c>
      <c r="CA8" s="6">
        <v>16</v>
      </c>
      <c r="CB8" s="18">
        <f>CA8/(SUM($BU$8,$BW$8,$BY$8,$CA$8,$CC$8))</f>
        <v>0.3902439024390244</v>
      </c>
      <c r="CC8" s="6">
        <v>12</v>
      </c>
      <c r="CD8" s="18">
        <f>CC8/(SUM($BU$8,$BW$8,$BY$8,$CA$8,$CC$8))</f>
        <v>0.29268292682926828</v>
      </c>
      <c r="CE8" s="15"/>
    </row>
    <row r="9" spans="1:83" ht="68.400000000000006" customHeight="1">
      <c r="A9" s="119"/>
      <c r="B9" s="8" t="s">
        <v>73</v>
      </c>
      <c r="C9" s="15"/>
      <c r="D9" s="142" t="s">
        <v>239</v>
      </c>
      <c r="E9" s="143"/>
      <c r="F9" s="27">
        <f>QUARTILE(L2:L11,0)</f>
        <v>3.1463414634146343</v>
      </c>
      <c r="G9" s="139" t="s">
        <v>235</v>
      </c>
      <c r="H9" s="139"/>
      <c r="I9" s="27">
        <f>MEDIAN(L11,L10,L9,L8,L7,L6,L5,L4,L3,L2)</f>
        <v>3.7560975609756095</v>
      </c>
      <c r="J9" s="15"/>
      <c r="K9" s="5" t="str">
        <f>BM1</f>
        <v>3.08 My commute to and from campus is reasonable and does not significantly impact my time.</v>
      </c>
      <c r="L9" s="39">
        <f>AE43</f>
        <v>3.6829268292682928</v>
      </c>
      <c r="M9" s="27" t="str" cm="1">
        <f t="array" ref="M9">_xlfn.IFS(L9&lt;$H$3,$E$2,L9&lt;$H$4,$E$3,L9&lt;$H$5,$E$4,L9&lt;$H$6,$E$5,L9&gt;=$H$6,$E$6)</f>
        <v>Agree</v>
      </c>
      <c r="N9" s="29"/>
      <c r="O9" s="5" t="s">
        <v>135</v>
      </c>
      <c r="P9" s="5" t="s">
        <v>3</v>
      </c>
      <c r="Q9" s="35" t="str">
        <f t="shared" si="3"/>
        <v>1</v>
      </c>
      <c r="R9" s="5" t="s">
        <v>7</v>
      </c>
      <c r="S9" s="26" t="str">
        <f t="shared" si="4"/>
        <v>5</v>
      </c>
      <c r="T9" s="5" t="s">
        <v>5</v>
      </c>
      <c r="U9" s="26" t="str">
        <f t="shared" si="5"/>
        <v>3</v>
      </c>
      <c r="V9" s="5" t="s">
        <v>6</v>
      </c>
      <c r="W9" s="26" t="str">
        <f t="shared" si="6"/>
        <v>4</v>
      </c>
      <c r="X9" s="5" t="s">
        <v>7</v>
      </c>
      <c r="Y9" s="26" t="str">
        <f t="shared" si="7"/>
        <v>5</v>
      </c>
      <c r="Z9" s="5" t="s">
        <v>3</v>
      </c>
      <c r="AA9" s="26" t="str">
        <f t="shared" si="8"/>
        <v>1</v>
      </c>
      <c r="AB9" s="5" t="s">
        <v>7</v>
      </c>
      <c r="AC9" s="26" t="str">
        <f t="shared" si="9"/>
        <v>5</v>
      </c>
      <c r="AD9" s="5" t="s">
        <v>6</v>
      </c>
      <c r="AE9" s="26" t="str">
        <f t="shared" si="10"/>
        <v>4</v>
      </c>
      <c r="AF9" s="5" t="s">
        <v>7</v>
      </c>
      <c r="AG9" s="26" t="str">
        <f t="shared" si="11"/>
        <v>5</v>
      </c>
      <c r="AH9" s="5" t="s">
        <v>7</v>
      </c>
      <c r="AI9" s="26" t="str">
        <f t="shared" si="12"/>
        <v>5</v>
      </c>
      <c r="AJ9" s="15"/>
      <c r="AK9" s="139"/>
      <c r="AL9" s="132"/>
      <c r="AM9" s="5" t="s">
        <v>37</v>
      </c>
      <c r="AN9" s="4">
        <v>1</v>
      </c>
      <c r="AO9" s="20">
        <f>AN9/(SUM($AN$5:$AN$9))</f>
        <v>2.4390243902439025E-2</v>
      </c>
      <c r="AP9" s="14"/>
      <c r="AQ9" s="7">
        <v>2.08</v>
      </c>
      <c r="AR9" s="6" t="s">
        <v>59</v>
      </c>
      <c r="AS9" s="19">
        <f t="shared" si="0"/>
        <v>10</v>
      </c>
      <c r="AT9" s="4">
        <v>78</v>
      </c>
      <c r="AU9" s="36">
        <f t="shared" si="13"/>
        <v>5.3793103448275863E-2</v>
      </c>
      <c r="AV9" s="17">
        <f t="shared" si="14"/>
        <v>1.9024390243902438</v>
      </c>
      <c r="AW9" s="14"/>
      <c r="BS9" s="14"/>
      <c r="BT9" s="5" t="s">
        <v>12</v>
      </c>
      <c r="BU9" s="6">
        <v>2</v>
      </c>
      <c r="BV9" s="18">
        <f>BU9/(SUM($BU$9,$BW$9,$BY$9,$CA$9,$CC$9))</f>
        <v>4.878048780487805E-2</v>
      </c>
      <c r="BW9" s="6">
        <v>2</v>
      </c>
      <c r="BX9" s="18">
        <f>BW9/(SUM($BU$9,$BW$9,$BY$9,$CA$9,$CC$9))</f>
        <v>4.878048780487805E-2</v>
      </c>
      <c r="BY9" s="6">
        <v>14</v>
      </c>
      <c r="BZ9" s="18">
        <f>BY9/(SUM($BU$9,$BW$9,$BY$9,$CA$9,$CC$9))</f>
        <v>0.34146341463414637</v>
      </c>
      <c r="CA9" s="6">
        <v>12</v>
      </c>
      <c r="CB9" s="18">
        <f>CA9/(SUM($BU$9,$BW$9,$BY$9,$CA$9,$CC$9))</f>
        <v>0.29268292682926828</v>
      </c>
      <c r="CC9" s="6">
        <v>11</v>
      </c>
      <c r="CD9" s="18">
        <f>CC9/(SUM($BU$9,$BW$9,$BY$9,$CA$9,$CC$9))</f>
        <v>0.26829268292682928</v>
      </c>
      <c r="CE9" s="15"/>
    </row>
    <row r="10" spans="1:83" ht="55.2" customHeight="1">
      <c r="A10" s="119"/>
      <c r="B10" s="8" t="s">
        <v>79</v>
      </c>
      <c r="C10" s="15"/>
      <c r="D10" s="142" t="s">
        <v>237</v>
      </c>
      <c r="E10" s="143"/>
      <c r="F10" s="27">
        <f>QUARTILE(L2:L11,1)</f>
        <v>3.6463414634146343</v>
      </c>
      <c r="G10" s="139" t="s">
        <v>241</v>
      </c>
      <c r="H10" s="139"/>
      <c r="I10" s="27">
        <f>PERCENTILE(L2:L11,90%)</f>
        <v>3.9902439024390244</v>
      </c>
      <c r="J10" s="15"/>
      <c r="K10" s="5" t="str">
        <f>BO1</f>
        <v xml:space="preserve">3.09  I prioritize personal care activities such as exercise, cooking, eating, and self-care routines. </v>
      </c>
      <c r="L10" s="39">
        <f>AG43</f>
        <v>3.7317073170731709</v>
      </c>
      <c r="M10" s="27" t="str" cm="1">
        <f t="array" ref="M10">_xlfn.IFS(L10&lt;$H$3,$E$2,L10&lt;$H$4,$E$3,L10&lt;$H$5,$E$4,L10&lt;$H$6,$E$5,L10&gt;=$H$6,$E$6)</f>
        <v>Agree</v>
      </c>
      <c r="N10" s="29"/>
      <c r="O10" s="5" t="s">
        <v>136</v>
      </c>
      <c r="P10" s="5" t="s">
        <v>6</v>
      </c>
      <c r="Q10" s="35" t="str">
        <f t="shared" si="3"/>
        <v>4</v>
      </c>
      <c r="R10" s="5" t="s">
        <v>6</v>
      </c>
      <c r="S10" s="26" t="str">
        <f t="shared" si="4"/>
        <v>4</v>
      </c>
      <c r="T10" s="5" t="s">
        <v>5</v>
      </c>
      <c r="U10" s="26" t="str">
        <f t="shared" si="5"/>
        <v>3</v>
      </c>
      <c r="V10" s="5" t="s">
        <v>6</v>
      </c>
      <c r="W10" s="26" t="str">
        <f t="shared" si="6"/>
        <v>4</v>
      </c>
      <c r="X10" s="5" t="s">
        <v>5</v>
      </c>
      <c r="Y10" s="26" t="str">
        <f t="shared" si="7"/>
        <v>3</v>
      </c>
      <c r="Z10" s="5" t="s">
        <v>5</v>
      </c>
      <c r="AA10" s="26" t="str">
        <f t="shared" si="8"/>
        <v>3</v>
      </c>
      <c r="AB10" s="5" t="s">
        <v>7</v>
      </c>
      <c r="AC10" s="26" t="str">
        <f t="shared" si="9"/>
        <v>5</v>
      </c>
      <c r="AD10" s="5" t="s">
        <v>4</v>
      </c>
      <c r="AE10" s="26" t="str">
        <f t="shared" si="10"/>
        <v>2</v>
      </c>
      <c r="AF10" s="5" t="s">
        <v>5</v>
      </c>
      <c r="AG10" s="26" t="str">
        <f t="shared" si="11"/>
        <v>3</v>
      </c>
      <c r="AH10" s="5" t="s">
        <v>6</v>
      </c>
      <c r="AI10" s="26" t="str">
        <f t="shared" si="12"/>
        <v>4</v>
      </c>
      <c r="AJ10" s="15"/>
      <c r="AK10" s="139">
        <v>1.03</v>
      </c>
      <c r="AL10" s="133" t="s">
        <v>85</v>
      </c>
      <c r="AM10" s="5" t="s">
        <v>38</v>
      </c>
      <c r="AN10" s="4">
        <v>0</v>
      </c>
      <c r="AO10" s="20">
        <f t="shared" ref="AO10:AO19" si="19">AN10/(SUM($AN$10:$AN$19))</f>
        <v>0</v>
      </c>
      <c r="AP10" s="14"/>
      <c r="AQ10" s="7">
        <v>2.09</v>
      </c>
      <c r="AR10" s="6" t="s">
        <v>60</v>
      </c>
      <c r="AS10" s="19">
        <f t="shared" si="0"/>
        <v>8</v>
      </c>
      <c r="AT10" s="4">
        <v>103</v>
      </c>
      <c r="AU10" s="36">
        <f t="shared" si="13"/>
        <v>7.103448275862069E-2</v>
      </c>
      <c r="AV10" s="17">
        <f t="shared" si="14"/>
        <v>2.5121951219512195</v>
      </c>
      <c r="AW10" s="14"/>
      <c r="BS10" s="14"/>
      <c r="BT10" s="5" t="s">
        <v>65</v>
      </c>
      <c r="BU10" s="6">
        <v>1</v>
      </c>
      <c r="BV10" s="18">
        <f>BU10/(SUM($BU$10,$BW$10,$BY$10,$CA$10,$CC$10))</f>
        <v>2.4390243902439025E-2</v>
      </c>
      <c r="BW10" s="6">
        <v>0</v>
      </c>
      <c r="BX10" s="18">
        <f>BW10/(SUM($BU$10,$BW$10,$BY$10,$CA$10,$CC$10))</f>
        <v>0</v>
      </c>
      <c r="BY10" s="6">
        <v>17</v>
      </c>
      <c r="BZ10" s="18">
        <f>BY10/(SUM($BU$10,$BW$10,$BY$10,$CA$10,$CC$10))</f>
        <v>0.41463414634146339</v>
      </c>
      <c r="CA10" s="6">
        <v>14</v>
      </c>
      <c r="CB10" s="18">
        <f>CA10/(SUM($BU$10,$BW$10,$BY$10,$CA$10,$CC$10))</f>
        <v>0.34146341463414637</v>
      </c>
      <c r="CC10" s="6">
        <v>9</v>
      </c>
      <c r="CD10" s="18">
        <f>CC10/(SUM($BU$10,$BW$10,$BY$10,$CA$10,$CC$10))</f>
        <v>0.21951219512195122</v>
      </c>
      <c r="CE10" s="15"/>
    </row>
    <row r="11" spans="1:83" ht="66">
      <c r="A11" s="119"/>
      <c r="B11" s="8" t="s">
        <v>74</v>
      </c>
      <c r="C11" s="15"/>
      <c r="D11" s="142" t="s">
        <v>236</v>
      </c>
      <c r="E11" s="143"/>
      <c r="F11" s="27">
        <f>QUARTILE(L2:L11,2)</f>
        <v>3.7560975609756095</v>
      </c>
      <c r="G11" s="139" t="s">
        <v>242</v>
      </c>
      <c r="H11" s="139"/>
      <c r="I11" s="27">
        <f>PERCENTILE(L2:L11,80%)</f>
        <v>3.9121951219512194</v>
      </c>
      <c r="J11" s="15"/>
      <c r="K11" s="5" t="str">
        <f>BQ1</f>
        <v xml:space="preserve"> 3.10 I allocate enough time for personal hobbies and interests that provide me with relaxation and enjoyment. </v>
      </c>
      <c r="L11" s="39">
        <f>AI43</f>
        <v>3.7804878048780486</v>
      </c>
      <c r="M11" s="27" t="str" cm="1">
        <f t="array" ref="M11">_xlfn.IFS(L11&lt;$H$3,$E$2,L11&lt;$H$4,$E$3,L11&lt;$H$5,$E$4,L11&lt;$H$6,$E$5,L11&gt;=$H$6,$E$6)</f>
        <v>Agree</v>
      </c>
      <c r="N11" s="29"/>
      <c r="O11" s="5" t="s">
        <v>137</v>
      </c>
      <c r="P11" s="5" t="s">
        <v>5</v>
      </c>
      <c r="Q11" s="35" t="str">
        <f t="shared" si="3"/>
        <v>3</v>
      </c>
      <c r="R11" s="5" t="s">
        <v>7</v>
      </c>
      <c r="S11" s="26" t="str">
        <f t="shared" si="4"/>
        <v>5</v>
      </c>
      <c r="T11" s="5" t="s">
        <v>5</v>
      </c>
      <c r="U11" s="26" t="str">
        <f t="shared" si="5"/>
        <v>3</v>
      </c>
      <c r="V11" s="5" t="s">
        <v>6</v>
      </c>
      <c r="W11" s="26" t="str">
        <f t="shared" si="6"/>
        <v>4</v>
      </c>
      <c r="X11" s="5" t="s">
        <v>6</v>
      </c>
      <c r="Y11" s="26" t="str">
        <f t="shared" si="7"/>
        <v>4</v>
      </c>
      <c r="Z11" s="5" t="s">
        <v>5</v>
      </c>
      <c r="AA11" s="26" t="str">
        <f t="shared" si="8"/>
        <v>3</v>
      </c>
      <c r="AB11" s="5" t="s">
        <v>5</v>
      </c>
      <c r="AC11" s="26" t="str">
        <f t="shared" si="9"/>
        <v>3</v>
      </c>
      <c r="AD11" s="5" t="s">
        <v>5</v>
      </c>
      <c r="AE11" s="26" t="str">
        <f t="shared" si="10"/>
        <v>3</v>
      </c>
      <c r="AF11" s="5" t="s">
        <v>5</v>
      </c>
      <c r="AG11" s="26" t="str">
        <f t="shared" si="11"/>
        <v>3</v>
      </c>
      <c r="AH11" s="5" t="s">
        <v>6</v>
      </c>
      <c r="AI11" s="26" t="str">
        <f t="shared" si="12"/>
        <v>4</v>
      </c>
      <c r="AJ11" s="15"/>
      <c r="AK11" s="139"/>
      <c r="AL11" s="134"/>
      <c r="AM11" s="5" t="s">
        <v>39</v>
      </c>
      <c r="AN11" s="4">
        <v>0</v>
      </c>
      <c r="AO11" s="20">
        <f t="shared" si="19"/>
        <v>0</v>
      </c>
      <c r="AP11" s="14"/>
      <c r="AQ11" s="23">
        <v>2.1</v>
      </c>
      <c r="AR11" s="6" t="s">
        <v>61</v>
      </c>
      <c r="AS11" s="19">
        <f t="shared" si="0"/>
        <v>5</v>
      </c>
      <c r="AT11" s="4">
        <v>128</v>
      </c>
      <c r="AU11" s="36">
        <f t="shared" si="13"/>
        <v>8.827586206896551E-2</v>
      </c>
      <c r="AV11" s="17">
        <f>AT11/$F$8</f>
        <v>3.1219512195121952</v>
      </c>
      <c r="AW11" s="14"/>
      <c r="BS11" s="14"/>
      <c r="BT11" s="5" t="s">
        <v>66</v>
      </c>
      <c r="BU11" s="6">
        <v>0</v>
      </c>
      <c r="BV11" s="18">
        <f>BU11/(SUM($BU$11,$BW$11,$BY$11,$CA$11,$CC$11))</f>
        <v>0</v>
      </c>
      <c r="BW11" s="6">
        <v>4</v>
      </c>
      <c r="BX11" s="18">
        <f>BW11/(SUM($BU$11,$BW$11,$BY$11,$CA$11,$CC$11))</f>
        <v>9.7560975609756101E-2</v>
      </c>
      <c r="BY11" s="6">
        <v>8</v>
      </c>
      <c r="BZ11" s="18">
        <f>BY11/(SUM($BU$11,$BW$11,$BY$11,$CA$11,$CC$11))</f>
        <v>0.1951219512195122</v>
      </c>
      <c r="CA11" s="6">
        <v>22</v>
      </c>
      <c r="CB11" s="18">
        <f>CA11/(SUM($BU$11,$BW$11,$BY$11,$CA$11,$CC$11))</f>
        <v>0.53658536585365857</v>
      </c>
      <c r="CC11" s="6">
        <v>7</v>
      </c>
      <c r="CD11" s="18">
        <f>CC11/(SUM($BU$11,$BW$11,$BY$11,$CA$11,$CC$11))</f>
        <v>0.17073170731707318</v>
      </c>
      <c r="CE11" s="15"/>
    </row>
    <row r="12" spans="1:83" ht="66">
      <c r="A12" s="120"/>
      <c r="B12" s="8" t="s">
        <v>75</v>
      </c>
      <c r="C12" s="15"/>
      <c r="D12" s="142" t="s">
        <v>238</v>
      </c>
      <c r="E12" s="143"/>
      <c r="F12" s="27">
        <f>QUARTILE(L2:L11,3)</f>
        <v>3.8963414634146343</v>
      </c>
      <c r="G12" s="139" t="s">
        <v>243</v>
      </c>
      <c r="H12" s="139"/>
      <c r="I12" s="27">
        <f>PERCENTILE(L2:L11,10%)</f>
        <v>3.321951219512195</v>
      </c>
      <c r="J12" s="15"/>
      <c r="K12" s="139" t="s">
        <v>245</v>
      </c>
      <c r="L12" s="139"/>
      <c r="M12" s="39">
        <f>STDEV(L2:L11)</f>
        <v>0.32985494261081322</v>
      </c>
      <c r="N12" s="29"/>
      <c r="O12" s="5" t="s">
        <v>138</v>
      </c>
      <c r="P12" s="5" t="s">
        <v>5</v>
      </c>
      <c r="Q12" s="35" t="str">
        <f t="shared" si="3"/>
        <v>3</v>
      </c>
      <c r="R12" s="5" t="s">
        <v>7</v>
      </c>
      <c r="S12" s="26" t="str">
        <f t="shared" si="4"/>
        <v>5</v>
      </c>
      <c r="T12" s="5" t="s">
        <v>6</v>
      </c>
      <c r="U12" s="26" t="str">
        <f t="shared" si="5"/>
        <v>4</v>
      </c>
      <c r="V12" s="5" t="s">
        <v>6</v>
      </c>
      <c r="W12" s="26" t="str">
        <f t="shared" si="6"/>
        <v>4</v>
      </c>
      <c r="X12" s="5" t="s">
        <v>6</v>
      </c>
      <c r="Y12" s="26" t="str">
        <f t="shared" si="7"/>
        <v>4</v>
      </c>
      <c r="Z12" s="5" t="s">
        <v>6</v>
      </c>
      <c r="AA12" s="26" t="str">
        <f t="shared" si="8"/>
        <v>4</v>
      </c>
      <c r="AB12" s="5" t="s">
        <v>5</v>
      </c>
      <c r="AC12" s="26" t="str">
        <f t="shared" si="9"/>
        <v>3</v>
      </c>
      <c r="AD12" s="5" t="s">
        <v>5</v>
      </c>
      <c r="AE12" s="26" t="str">
        <f t="shared" si="10"/>
        <v>3</v>
      </c>
      <c r="AF12" s="5" t="s">
        <v>7</v>
      </c>
      <c r="AG12" s="26" t="str">
        <f t="shared" si="11"/>
        <v>5</v>
      </c>
      <c r="AH12" s="5" t="s">
        <v>6</v>
      </c>
      <c r="AI12" s="26" t="str">
        <f t="shared" si="12"/>
        <v>4</v>
      </c>
      <c r="AJ12" s="15"/>
      <c r="AK12" s="139"/>
      <c r="AL12" s="134"/>
      <c r="AM12" s="5" t="s">
        <v>40</v>
      </c>
      <c r="AN12" s="4">
        <v>33</v>
      </c>
      <c r="AO12" s="20">
        <f t="shared" si="19"/>
        <v>0.80487804878048785</v>
      </c>
      <c r="AP12" s="14"/>
      <c r="AQ12" s="14"/>
      <c r="AR12" s="15"/>
      <c r="AS12" s="15"/>
      <c r="AT12" s="14"/>
      <c r="AU12" s="14"/>
      <c r="AV12" s="14"/>
      <c r="AW12" s="14"/>
      <c r="BS12" s="14"/>
      <c r="BT12" s="15"/>
      <c r="BU12" s="15"/>
      <c r="BV12" s="15"/>
      <c r="BW12" s="15"/>
      <c r="BX12" s="15"/>
      <c r="BY12" s="15"/>
      <c r="BZ12" s="15"/>
      <c r="CA12" s="15"/>
      <c r="CB12" s="15"/>
      <c r="CC12" s="15"/>
      <c r="CD12" s="15"/>
      <c r="CE12" s="15"/>
    </row>
    <row r="13" spans="1:83" ht="28.8">
      <c r="A13" s="7" t="s">
        <v>16</v>
      </c>
      <c r="B13" s="9" t="s">
        <v>26</v>
      </c>
      <c r="C13" s="14"/>
      <c r="D13" s="142" t="s">
        <v>240</v>
      </c>
      <c r="E13" s="143"/>
      <c r="F13" s="17">
        <f>QUARTILE(L2:L11,4)</f>
        <v>4.3414634146341466</v>
      </c>
      <c r="G13" s="139" t="s">
        <v>244</v>
      </c>
      <c r="H13" s="139"/>
      <c r="I13" s="17">
        <f>PERCENTILE(L2:L11,20%)</f>
        <v>3.575609756097561</v>
      </c>
      <c r="J13" s="14"/>
      <c r="K13" s="139" t="s">
        <v>246</v>
      </c>
      <c r="L13" s="139"/>
      <c r="M13" s="39">
        <f>VAR(L2:L11)</f>
        <v>0.10880428316478288</v>
      </c>
      <c r="N13" s="31"/>
      <c r="O13" s="4" t="s">
        <v>139</v>
      </c>
      <c r="P13" s="4" t="s">
        <v>6</v>
      </c>
      <c r="Q13" s="35" t="str">
        <f t="shared" si="3"/>
        <v>4</v>
      </c>
      <c r="R13" s="4" t="s">
        <v>6</v>
      </c>
      <c r="S13" s="26" t="str">
        <f t="shared" si="4"/>
        <v>4</v>
      </c>
      <c r="T13" s="4" t="s">
        <v>6</v>
      </c>
      <c r="U13" s="26" t="str">
        <f t="shared" si="5"/>
        <v>4</v>
      </c>
      <c r="V13" s="4" t="s">
        <v>6</v>
      </c>
      <c r="W13" s="26" t="str">
        <f t="shared" si="6"/>
        <v>4</v>
      </c>
      <c r="X13" s="4" t="s">
        <v>7</v>
      </c>
      <c r="Y13" s="26" t="str">
        <f t="shared" si="7"/>
        <v>5</v>
      </c>
      <c r="Z13" s="4" t="s">
        <v>6</v>
      </c>
      <c r="AA13" s="26" t="str">
        <f t="shared" si="8"/>
        <v>4</v>
      </c>
      <c r="AB13" s="4" t="s">
        <v>6</v>
      </c>
      <c r="AC13" s="26" t="str">
        <f t="shared" si="9"/>
        <v>4</v>
      </c>
      <c r="AD13" s="4" t="s">
        <v>7</v>
      </c>
      <c r="AE13" s="26" t="str">
        <f t="shared" si="10"/>
        <v>5</v>
      </c>
      <c r="AF13" s="4" t="s">
        <v>7</v>
      </c>
      <c r="AG13" s="26" t="str">
        <f t="shared" si="11"/>
        <v>5</v>
      </c>
      <c r="AH13" s="4" t="s">
        <v>7</v>
      </c>
      <c r="AI13" s="26" t="str">
        <f t="shared" si="12"/>
        <v>5</v>
      </c>
      <c r="AJ13" s="14"/>
      <c r="AK13" s="139"/>
      <c r="AL13" s="134"/>
      <c r="AM13" s="5" t="s">
        <v>41</v>
      </c>
      <c r="AN13" s="4">
        <v>0</v>
      </c>
      <c r="AO13" s="20">
        <f t="shared" si="19"/>
        <v>0</v>
      </c>
      <c r="AP13" s="14"/>
    </row>
    <row r="14" spans="1:83" ht="28.8">
      <c r="A14" s="6" t="s">
        <v>24</v>
      </c>
      <c r="B14" s="9" t="s">
        <v>25</v>
      </c>
      <c r="C14" s="15"/>
      <c r="D14" s="15"/>
      <c r="E14" s="15"/>
      <c r="F14" s="15"/>
      <c r="G14" s="15"/>
      <c r="H14" s="15"/>
      <c r="I14" s="15"/>
      <c r="J14" s="15"/>
      <c r="K14" s="15"/>
      <c r="L14" s="15"/>
      <c r="M14" s="15"/>
      <c r="N14" s="29"/>
      <c r="O14" s="5" t="s">
        <v>140</v>
      </c>
      <c r="P14" s="5" t="s">
        <v>4</v>
      </c>
      <c r="Q14" s="35" t="str">
        <f t="shared" si="3"/>
        <v>2</v>
      </c>
      <c r="R14" s="5" t="s">
        <v>6</v>
      </c>
      <c r="S14" s="26" t="str">
        <f t="shared" si="4"/>
        <v>4</v>
      </c>
      <c r="T14" s="5" t="s">
        <v>6</v>
      </c>
      <c r="U14" s="26" t="str">
        <f t="shared" si="5"/>
        <v>4</v>
      </c>
      <c r="V14" s="5" t="s">
        <v>5</v>
      </c>
      <c r="W14" s="26" t="str">
        <f t="shared" si="6"/>
        <v>3</v>
      </c>
      <c r="X14" s="5" t="s">
        <v>6</v>
      </c>
      <c r="Y14" s="26" t="str">
        <f t="shared" si="7"/>
        <v>4</v>
      </c>
      <c r="Z14" s="5" t="s">
        <v>4</v>
      </c>
      <c r="AA14" s="26" t="str">
        <f t="shared" si="8"/>
        <v>2</v>
      </c>
      <c r="AB14" s="5" t="s">
        <v>6</v>
      </c>
      <c r="AC14" s="26" t="str">
        <f t="shared" si="9"/>
        <v>4</v>
      </c>
      <c r="AD14" s="5" t="s">
        <v>3</v>
      </c>
      <c r="AE14" s="26" t="str">
        <f t="shared" si="10"/>
        <v>1</v>
      </c>
      <c r="AF14" s="5" t="s">
        <v>5</v>
      </c>
      <c r="AG14" s="26" t="str">
        <f t="shared" si="11"/>
        <v>3</v>
      </c>
      <c r="AH14" s="5" t="s">
        <v>4</v>
      </c>
      <c r="AI14" s="26" t="str">
        <f t="shared" si="12"/>
        <v>2</v>
      </c>
      <c r="AJ14" s="15"/>
      <c r="AK14" s="139"/>
      <c r="AL14" s="134"/>
      <c r="AM14" s="5" t="s">
        <v>42</v>
      </c>
      <c r="AN14" s="4">
        <v>0</v>
      </c>
      <c r="AO14" s="20">
        <f t="shared" si="19"/>
        <v>0</v>
      </c>
      <c r="AP14" s="14"/>
    </row>
    <row r="15" spans="1:83" ht="26.4">
      <c r="A15" s="118" t="s">
        <v>17</v>
      </c>
      <c r="B15" s="10" t="s">
        <v>78</v>
      </c>
      <c r="C15" s="15"/>
      <c r="N15" s="29"/>
      <c r="O15" s="5" t="s">
        <v>141</v>
      </c>
      <c r="P15" s="5" t="s">
        <v>5</v>
      </c>
      <c r="Q15" s="35" t="str">
        <f t="shared" si="3"/>
        <v>3</v>
      </c>
      <c r="R15" s="5" t="s">
        <v>6</v>
      </c>
      <c r="S15" s="26" t="str">
        <f t="shared" si="4"/>
        <v>4</v>
      </c>
      <c r="T15" s="5" t="s">
        <v>5</v>
      </c>
      <c r="U15" s="26" t="str">
        <f t="shared" si="5"/>
        <v>3</v>
      </c>
      <c r="V15" s="5" t="s">
        <v>6</v>
      </c>
      <c r="W15" s="26" t="str">
        <f t="shared" si="6"/>
        <v>4</v>
      </c>
      <c r="X15" s="5" t="s">
        <v>6</v>
      </c>
      <c r="Y15" s="26" t="str">
        <f t="shared" si="7"/>
        <v>4</v>
      </c>
      <c r="Z15" s="5" t="s">
        <v>6</v>
      </c>
      <c r="AA15" s="26" t="str">
        <f t="shared" si="8"/>
        <v>4</v>
      </c>
      <c r="AB15" s="5" t="s">
        <v>6</v>
      </c>
      <c r="AC15" s="26" t="str">
        <f t="shared" si="9"/>
        <v>4</v>
      </c>
      <c r="AD15" s="5" t="s">
        <v>5</v>
      </c>
      <c r="AE15" s="26" t="str">
        <f t="shared" si="10"/>
        <v>3</v>
      </c>
      <c r="AF15" s="5" t="s">
        <v>6</v>
      </c>
      <c r="AG15" s="26" t="str">
        <f t="shared" si="11"/>
        <v>4</v>
      </c>
      <c r="AH15" s="5" t="s">
        <v>6</v>
      </c>
      <c r="AI15" s="26" t="str">
        <f t="shared" si="12"/>
        <v>4</v>
      </c>
      <c r="AJ15" s="15"/>
      <c r="AK15" s="139"/>
      <c r="AL15" s="134"/>
      <c r="AM15" s="5" t="s">
        <v>43</v>
      </c>
      <c r="AN15" s="4">
        <v>4</v>
      </c>
      <c r="AO15" s="20">
        <f t="shared" si="19"/>
        <v>9.7560975609756101E-2</v>
      </c>
      <c r="AP15" s="14"/>
    </row>
    <row r="16" spans="1:83" ht="26.4">
      <c r="A16" s="119"/>
      <c r="B16" s="8" t="s">
        <v>172</v>
      </c>
      <c r="C16" s="15"/>
      <c r="N16" s="29"/>
      <c r="O16" s="5" t="s">
        <v>142</v>
      </c>
      <c r="P16" s="5" t="s">
        <v>5</v>
      </c>
      <c r="Q16" s="35" t="str">
        <f t="shared" si="3"/>
        <v>3</v>
      </c>
      <c r="R16" s="5" t="s">
        <v>7</v>
      </c>
      <c r="S16" s="26" t="str">
        <f t="shared" si="4"/>
        <v>5</v>
      </c>
      <c r="T16" s="5" t="s">
        <v>7</v>
      </c>
      <c r="U16" s="26" t="str">
        <f t="shared" si="5"/>
        <v>5</v>
      </c>
      <c r="V16" s="5" t="s">
        <v>7</v>
      </c>
      <c r="W16" s="26" t="str">
        <f t="shared" si="6"/>
        <v>5</v>
      </c>
      <c r="X16" s="5" t="s">
        <v>7</v>
      </c>
      <c r="Y16" s="26" t="str">
        <f t="shared" si="7"/>
        <v>5</v>
      </c>
      <c r="Z16" s="5" t="s">
        <v>5</v>
      </c>
      <c r="AA16" s="26" t="str">
        <f t="shared" si="8"/>
        <v>3</v>
      </c>
      <c r="AB16" s="5" t="s">
        <v>5</v>
      </c>
      <c r="AC16" s="26" t="str">
        <f t="shared" si="9"/>
        <v>3</v>
      </c>
      <c r="AD16" s="5" t="s">
        <v>7</v>
      </c>
      <c r="AE16" s="26" t="str">
        <f t="shared" si="10"/>
        <v>5</v>
      </c>
      <c r="AF16" s="5" t="s">
        <v>7</v>
      </c>
      <c r="AG16" s="26" t="str">
        <f t="shared" si="11"/>
        <v>5</v>
      </c>
      <c r="AH16" s="5" t="s">
        <v>7</v>
      </c>
      <c r="AI16" s="26" t="str">
        <f t="shared" si="12"/>
        <v>5</v>
      </c>
      <c r="AJ16" s="15"/>
      <c r="AK16" s="139"/>
      <c r="AL16" s="134"/>
      <c r="AM16" s="5" t="s">
        <v>44</v>
      </c>
      <c r="AN16" s="4">
        <v>0</v>
      </c>
      <c r="AO16" s="20">
        <f t="shared" si="19"/>
        <v>0</v>
      </c>
      <c r="AP16" s="14"/>
    </row>
    <row r="17" spans="1:42">
      <c r="A17" s="119"/>
      <c r="B17" s="8" t="s">
        <v>173</v>
      </c>
      <c r="C17" s="15"/>
      <c r="N17" s="29"/>
      <c r="O17" s="5" t="s">
        <v>143</v>
      </c>
      <c r="P17" s="5" t="s">
        <v>5</v>
      </c>
      <c r="Q17" s="35" t="str">
        <f t="shared" si="3"/>
        <v>3</v>
      </c>
      <c r="R17" s="5" t="s">
        <v>5</v>
      </c>
      <c r="S17" s="26" t="str">
        <f t="shared" si="4"/>
        <v>3</v>
      </c>
      <c r="T17" s="5" t="s">
        <v>4</v>
      </c>
      <c r="U17" s="26" t="str">
        <f t="shared" si="5"/>
        <v>2</v>
      </c>
      <c r="V17" s="5" t="s">
        <v>5</v>
      </c>
      <c r="W17" s="26" t="str">
        <f t="shared" si="6"/>
        <v>3</v>
      </c>
      <c r="X17" s="5" t="s">
        <v>6</v>
      </c>
      <c r="Y17" s="26" t="str">
        <f t="shared" si="7"/>
        <v>4</v>
      </c>
      <c r="Z17" s="5" t="s">
        <v>5</v>
      </c>
      <c r="AA17" s="26" t="str">
        <f t="shared" si="8"/>
        <v>3</v>
      </c>
      <c r="AB17" s="5" t="s">
        <v>6</v>
      </c>
      <c r="AC17" s="26" t="str">
        <f t="shared" si="9"/>
        <v>4</v>
      </c>
      <c r="AD17" s="5" t="s">
        <v>6</v>
      </c>
      <c r="AE17" s="26" t="str">
        <f t="shared" si="10"/>
        <v>4</v>
      </c>
      <c r="AF17" s="5" t="s">
        <v>6</v>
      </c>
      <c r="AG17" s="26" t="str">
        <f t="shared" si="11"/>
        <v>4</v>
      </c>
      <c r="AH17" s="5" t="s">
        <v>6</v>
      </c>
      <c r="AI17" s="26" t="str">
        <f t="shared" si="12"/>
        <v>4</v>
      </c>
      <c r="AJ17" s="15"/>
      <c r="AK17" s="139"/>
      <c r="AL17" s="134"/>
      <c r="AM17" s="5" t="s">
        <v>45</v>
      </c>
      <c r="AN17" s="4">
        <v>0</v>
      </c>
      <c r="AO17" s="20">
        <f t="shared" si="19"/>
        <v>0</v>
      </c>
      <c r="AP17" s="14"/>
    </row>
    <row r="18" spans="1:42" ht="26.4">
      <c r="A18" s="119"/>
      <c r="B18" s="8" t="s">
        <v>174</v>
      </c>
      <c r="C18" s="15"/>
      <c r="N18" s="29"/>
      <c r="O18" s="5" t="s">
        <v>144</v>
      </c>
      <c r="P18" s="5" t="s">
        <v>5</v>
      </c>
      <c r="Q18" s="35" t="str">
        <f t="shared" si="3"/>
        <v>3</v>
      </c>
      <c r="R18" s="5" t="s">
        <v>6</v>
      </c>
      <c r="S18" s="26" t="str">
        <f t="shared" si="4"/>
        <v>4</v>
      </c>
      <c r="T18" s="5" t="s">
        <v>6</v>
      </c>
      <c r="U18" s="26" t="str">
        <f t="shared" si="5"/>
        <v>4</v>
      </c>
      <c r="V18" s="5" t="s">
        <v>6</v>
      </c>
      <c r="W18" s="26" t="str">
        <f t="shared" si="6"/>
        <v>4</v>
      </c>
      <c r="X18" s="5" t="s">
        <v>6</v>
      </c>
      <c r="Y18" s="26" t="str">
        <f t="shared" si="7"/>
        <v>4</v>
      </c>
      <c r="Z18" s="5" t="s">
        <v>6</v>
      </c>
      <c r="AA18" s="26" t="str">
        <f t="shared" si="8"/>
        <v>4</v>
      </c>
      <c r="AB18" s="5" t="s">
        <v>5</v>
      </c>
      <c r="AC18" s="26" t="str">
        <f t="shared" si="9"/>
        <v>3</v>
      </c>
      <c r="AD18" s="5" t="s">
        <v>5</v>
      </c>
      <c r="AE18" s="26" t="str">
        <f t="shared" si="10"/>
        <v>3</v>
      </c>
      <c r="AF18" s="5" t="s">
        <v>6</v>
      </c>
      <c r="AG18" s="26" t="str">
        <f t="shared" si="11"/>
        <v>4</v>
      </c>
      <c r="AH18" s="5" t="s">
        <v>6</v>
      </c>
      <c r="AI18" s="26" t="str">
        <f t="shared" si="12"/>
        <v>4</v>
      </c>
      <c r="AJ18" s="15"/>
      <c r="AK18" s="139"/>
      <c r="AL18" s="134"/>
      <c r="AM18" s="5" t="s">
        <v>46</v>
      </c>
      <c r="AN18" s="4">
        <v>0</v>
      </c>
      <c r="AO18" s="20">
        <f t="shared" si="19"/>
        <v>0</v>
      </c>
      <c r="AP18" s="14"/>
    </row>
    <row r="19" spans="1:42" ht="52.8">
      <c r="A19" s="119"/>
      <c r="B19" s="8" t="s">
        <v>175</v>
      </c>
      <c r="C19" s="15"/>
      <c r="N19" s="29"/>
      <c r="O19" s="5" t="s">
        <v>145</v>
      </c>
      <c r="P19" s="5" t="s">
        <v>5</v>
      </c>
      <c r="Q19" s="35" t="str">
        <f t="shared" si="3"/>
        <v>3</v>
      </c>
      <c r="R19" s="5" t="s">
        <v>6</v>
      </c>
      <c r="S19" s="26" t="str">
        <f t="shared" si="4"/>
        <v>4</v>
      </c>
      <c r="T19" s="5" t="s">
        <v>5</v>
      </c>
      <c r="U19" s="26" t="str">
        <f t="shared" si="5"/>
        <v>3</v>
      </c>
      <c r="V19" s="5" t="s">
        <v>6</v>
      </c>
      <c r="W19" s="26" t="str">
        <f t="shared" si="6"/>
        <v>4</v>
      </c>
      <c r="X19" s="5" t="s">
        <v>6</v>
      </c>
      <c r="Y19" s="26" t="str">
        <f t="shared" si="7"/>
        <v>4</v>
      </c>
      <c r="Z19" s="5" t="s">
        <v>5</v>
      </c>
      <c r="AA19" s="26" t="str">
        <f t="shared" si="8"/>
        <v>3</v>
      </c>
      <c r="AB19" s="5" t="s">
        <v>6</v>
      </c>
      <c r="AC19" s="26" t="str">
        <f t="shared" si="9"/>
        <v>4</v>
      </c>
      <c r="AD19" s="5" t="s">
        <v>5</v>
      </c>
      <c r="AE19" s="26" t="str">
        <f t="shared" si="10"/>
        <v>3</v>
      </c>
      <c r="AF19" s="5" t="s">
        <v>6</v>
      </c>
      <c r="AG19" s="26" t="str">
        <f t="shared" si="11"/>
        <v>4</v>
      </c>
      <c r="AH19" s="5" t="s">
        <v>6</v>
      </c>
      <c r="AI19" s="26" t="str">
        <f t="shared" si="12"/>
        <v>4</v>
      </c>
      <c r="AJ19" s="15"/>
      <c r="AK19" s="139"/>
      <c r="AL19" s="135"/>
      <c r="AM19" s="5" t="s">
        <v>47</v>
      </c>
      <c r="AN19" s="4">
        <v>4</v>
      </c>
      <c r="AO19" s="20">
        <f t="shared" si="19"/>
        <v>9.7560975609756101E-2</v>
      </c>
      <c r="AP19" s="14"/>
    </row>
    <row r="20" spans="1:42" ht="26.4">
      <c r="A20" s="119"/>
      <c r="B20" s="8" t="s">
        <v>176</v>
      </c>
      <c r="C20" s="15"/>
      <c r="N20" s="29"/>
      <c r="O20" s="5" t="s">
        <v>146</v>
      </c>
      <c r="P20" s="5" t="s">
        <v>6</v>
      </c>
      <c r="Q20" s="35" t="str">
        <f t="shared" si="3"/>
        <v>4</v>
      </c>
      <c r="R20" s="5" t="s">
        <v>6</v>
      </c>
      <c r="S20" s="26" t="str">
        <f t="shared" si="4"/>
        <v>4</v>
      </c>
      <c r="T20" s="5" t="s">
        <v>6</v>
      </c>
      <c r="U20" s="26" t="str">
        <f t="shared" si="5"/>
        <v>4</v>
      </c>
      <c r="V20" s="5" t="s">
        <v>6</v>
      </c>
      <c r="W20" s="26" t="str">
        <f t="shared" si="6"/>
        <v>4</v>
      </c>
      <c r="X20" s="5" t="s">
        <v>5</v>
      </c>
      <c r="Y20" s="26" t="str">
        <f t="shared" si="7"/>
        <v>3</v>
      </c>
      <c r="Z20" s="5" t="s">
        <v>5</v>
      </c>
      <c r="AA20" s="26" t="str">
        <f t="shared" si="8"/>
        <v>3</v>
      </c>
      <c r="AB20" s="5" t="s">
        <v>6</v>
      </c>
      <c r="AC20" s="26" t="str">
        <f t="shared" si="9"/>
        <v>4</v>
      </c>
      <c r="AD20" s="5" t="s">
        <v>6</v>
      </c>
      <c r="AE20" s="26" t="str">
        <f t="shared" si="10"/>
        <v>4</v>
      </c>
      <c r="AF20" s="5" t="s">
        <v>6</v>
      </c>
      <c r="AG20" s="26" t="str">
        <f t="shared" si="11"/>
        <v>4</v>
      </c>
      <c r="AH20" s="5" t="s">
        <v>6</v>
      </c>
      <c r="AI20" s="26" t="str">
        <f t="shared" si="12"/>
        <v>4</v>
      </c>
      <c r="AJ20" s="15"/>
      <c r="AK20" s="139">
        <v>1.04</v>
      </c>
      <c r="AL20" s="136" t="s">
        <v>86</v>
      </c>
      <c r="AM20" s="5" t="s">
        <v>48</v>
      </c>
      <c r="AN20" s="4">
        <v>15</v>
      </c>
      <c r="AO20" s="20">
        <f>AN20/(SUM($AN$20:$AN$24))</f>
        <v>0.36585365853658536</v>
      </c>
      <c r="AP20" s="14"/>
    </row>
    <row r="21" spans="1:42" ht="26.4">
      <c r="A21" s="119"/>
      <c r="B21" s="13"/>
      <c r="C21" s="15"/>
      <c r="N21" s="29"/>
      <c r="O21" s="5" t="s">
        <v>147</v>
      </c>
      <c r="P21" s="5" t="s">
        <v>6</v>
      </c>
      <c r="Q21" s="35" t="str">
        <f t="shared" si="3"/>
        <v>4</v>
      </c>
      <c r="R21" s="5" t="s">
        <v>7</v>
      </c>
      <c r="S21" s="26" t="str">
        <f t="shared" si="4"/>
        <v>5</v>
      </c>
      <c r="T21" s="5" t="s">
        <v>6</v>
      </c>
      <c r="U21" s="26" t="str">
        <f t="shared" si="5"/>
        <v>4</v>
      </c>
      <c r="V21" s="5" t="s">
        <v>7</v>
      </c>
      <c r="W21" s="26" t="str">
        <f t="shared" si="6"/>
        <v>5</v>
      </c>
      <c r="X21" s="5" t="s">
        <v>6</v>
      </c>
      <c r="Y21" s="26" t="str">
        <f t="shared" si="7"/>
        <v>4</v>
      </c>
      <c r="Z21" s="5" t="s">
        <v>5</v>
      </c>
      <c r="AA21" s="26" t="str">
        <f t="shared" si="8"/>
        <v>3</v>
      </c>
      <c r="AB21" s="5" t="s">
        <v>7</v>
      </c>
      <c r="AC21" s="26" t="str">
        <f t="shared" si="9"/>
        <v>5</v>
      </c>
      <c r="AD21" s="5" t="s">
        <v>7</v>
      </c>
      <c r="AE21" s="26" t="str">
        <f t="shared" si="10"/>
        <v>5</v>
      </c>
      <c r="AF21" s="5" t="s">
        <v>7</v>
      </c>
      <c r="AG21" s="26" t="str">
        <f t="shared" si="11"/>
        <v>5</v>
      </c>
      <c r="AH21" s="5" t="s">
        <v>7</v>
      </c>
      <c r="AI21" s="26" t="str">
        <f t="shared" si="12"/>
        <v>5</v>
      </c>
      <c r="AJ21" s="15"/>
      <c r="AK21" s="139"/>
      <c r="AL21" s="137"/>
      <c r="AM21" s="5" t="s">
        <v>49</v>
      </c>
      <c r="AN21" s="4">
        <v>14</v>
      </c>
      <c r="AO21" s="20">
        <f>AN21/(SUM($AN$20:$AN$24))</f>
        <v>0.34146341463414637</v>
      </c>
      <c r="AP21" s="14"/>
    </row>
    <row r="22" spans="1:42" ht="26.4">
      <c r="A22" s="119"/>
      <c r="B22" s="10" t="s">
        <v>77</v>
      </c>
      <c r="C22" s="15"/>
      <c r="N22" s="29"/>
      <c r="O22" s="5" t="s">
        <v>148</v>
      </c>
      <c r="P22" s="5" t="s">
        <v>5</v>
      </c>
      <c r="Q22" s="35" t="str">
        <f t="shared" si="3"/>
        <v>3</v>
      </c>
      <c r="R22" s="5" t="s">
        <v>6</v>
      </c>
      <c r="S22" s="26" t="str">
        <f t="shared" si="4"/>
        <v>4</v>
      </c>
      <c r="T22" s="5" t="s">
        <v>5</v>
      </c>
      <c r="U22" s="26" t="str">
        <f t="shared" si="5"/>
        <v>3</v>
      </c>
      <c r="V22" s="5" t="s">
        <v>5</v>
      </c>
      <c r="W22" s="26" t="str">
        <f t="shared" si="6"/>
        <v>3</v>
      </c>
      <c r="X22" s="5" t="s">
        <v>5</v>
      </c>
      <c r="Y22" s="26" t="str">
        <f t="shared" si="7"/>
        <v>3</v>
      </c>
      <c r="Z22" s="5" t="s">
        <v>6</v>
      </c>
      <c r="AA22" s="26" t="str">
        <f t="shared" si="8"/>
        <v>4</v>
      </c>
      <c r="AB22" s="5" t="s">
        <v>6</v>
      </c>
      <c r="AC22" s="26" t="str">
        <f t="shared" si="9"/>
        <v>4</v>
      </c>
      <c r="AD22" s="5" t="s">
        <v>7</v>
      </c>
      <c r="AE22" s="26" t="str">
        <f t="shared" si="10"/>
        <v>5</v>
      </c>
      <c r="AF22" s="5" t="s">
        <v>5</v>
      </c>
      <c r="AG22" s="26" t="str">
        <f t="shared" si="11"/>
        <v>3</v>
      </c>
      <c r="AH22" s="5" t="s">
        <v>6</v>
      </c>
      <c r="AI22" s="26" t="str">
        <f t="shared" si="12"/>
        <v>4</v>
      </c>
      <c r="AJ22" s="15"/>
      <c r="AK22" s="139"/>
      <c r="AL22" s="137"/>
      <c r="AM22" s="5" t="s">
        <v>50</v>
      </c>
      <c r="AN22" s="4">
        <v>8</v>
      </c>
      <c r="AO22" s="20">
        <f>AN22/(SUM($AN$20:$AN$24))</f>
        <v>0.1951219512195122</v>
      </c>
      <c r="AP22" s="14"/>
    </row>
    <row r="23" spans="1:42" ht="66">
      <c r="A23" s="119"/>
      <c r="B23" s="8" t="s">
        <v>19</v>
      </c>
      <c r="C23" s="15"/>
      <c r="N23" s="29"/>
      <c r="O23" s="5" t="s">
        <v>149</v>
      </c>
      <c r="P23" s="5" t="s">
        <v>5</v>
      </c>
      <c r="Q23" s="35" t="str">
        <f t="shared" si="3"/>
        <v>3</v>
      </c>
      <c r="R23" s="5" t="s">
        <v>7</v>
      </c>
      <c r="S23" s="26" t="str">
        <f t="shared" si="4"/>
        <v>5</v>
      </c>
      <c r="T23" s="5" t="s">
        <v>5</v>
      </c>
      <c r="U23" s="26" t="str">
        <f t="shared" si="5"/>
        <v>3</v>
      </c>
      <c r="V23" s="5" t="s">
        <v>6</v>
      </c>
      <c r="W23" s="26" t="str">
        <f t="shared" si="6"/>
        <v>4</v>
      </c>
      <c r="X23" s="5" t="s">
        <v>6</v>
      </c>
      <c r="Y23" s="26" t="str">
        <f t="shared" si="7"/>
        <v>4</v>
      </c>
      <c r="Z23" s="5" t="s">
        <v>6</v>
      </c>
      <c r="AA23" s="26" t="str">
        <f t="shared" si="8"/>
        <v>4</v>
      </c>
      <c r="AB23" s="5" t="s">
        <v>7</v>
      </c>
      <c r="AC23" s="26" t="str">
        <f t="shared" si="9"/>
        <v>5</v>
      </c>
      <c r="AD23" s="5" t="s">
        <v>6</v>
      </c>
      <c r="AE23" s="26" t="str">
        <f t="shared" si="10"/>
        <v>4</v>
      </c>
      <c r="AF23" s="5" t="s">
        <v>6</v>
      </c>
      <c r="AG23" s="26" t="str">
        <f t="shared" si="11"/>
        <v>4</v>
      </c>
      <c r="AH23" s="5" t="s">
        <v>6</v>
      </c>
      <c r="AI23" s="26" t="str">
        <f t="shared" si="12"/>
        <v>4</v>
      </c>
      <c r="AJ23" s="15"/>
      <c r="AK23" s="139"/>
      <c r="AL23" s="137"/>
      <c r="AM23" s="5" t="s">
        <v>51</v>
      </c>
      <c r="AN23" s="4">
        <v>4</v>
      </c>
      <c r="AO23" s="20">
        <f>AN23/(SUM($AN$20:$AN$24))</f>
        <v>9.7560975609756101E-2</v>
      </c>
      <c r="AP23" s="14"/>
    </row>
    <row r="24" spans="1:42" ht="26.4">
      <c r="A24" s="119"/>
      <c r="B24" s="8" t="s">
        <v>177</v>
      </c>
      <c r="C24" s="15"/>
      <c r="N24" s="29"/>
      <c r="O24" s="5" t="s">
        <v>150</v>
      </c>
      <c r="P24" s="5" t="s">
        <v>6</v>
      </c>
      <c r="Q24" s="35" t="str">
        <f t="shared" si="3"/>
        <v>4</v>
      </c>
      <c r="R24" s="5" t="s">
        <v>7</v>
      </c>
      <c r="S24" s="26" t="str">
        <f t="shared" si="4"/>
        <v>5</v>
      </c>
      <c r="T24" s="5" t="s">
        <v>6</v>
      </c>
      <c r="U24" s="26" t="str">
        <f t="shared" si="5"/>
        <v>4</v>
      </c>
      <c r="V24" s="5" t="s">
        <v>6</v>
      </c>
      <c r="W24" s="26" t="str">
        <f t="shared" si="6"/>
        <v>4</v>
      </c>
      <c r="X24" s="5" t="s">
        <v>6</v>
      </c>
      <c r="Y24" s="26" t="str">
        <f t="shared" si="7"/>
        <v>4</v>
      </c>
      <c r="Z24" s="5" t="s">
        <v>5</v>
      </c>
      <c r="AA24" s="26" t="str">
        <f t="shared" si="8"/>
        <v>3</v>
      </c>
      <c r="AB24" s="5" t="s">
        <v>7</v>
      </c>
      <c r="AC24" s="26" t="str">
        <f t="shared" si="9"/>
        <v>5</v>
      </c>
      <c r="AD24" s="5" t="s">
        <v>7</v>
      </c>
      <c r="AE24" s="26" t="str">
        <f t="shared" si="10"/>
        <v>5</v>
      </c>
      <c r="AF24" s="5" t="s">
        <v>5</v>
      </c>
      <c r="AG24" s="26" t="str">
        <f t="shared" si="11"/>
        <v>3</v>
      </c>
      <c r="AH24" s="5" t="s">
        <v>6</v>
      </c>
      <c r="AI24" s="26" t="str">
        <f t="shared" si="12"/>
        <v>4</v>
      </c>
      <c r="AJ24" s="15"/>
      <c r="AK24" s="139"/>
      <c r="AL24" s="138"/>
      <c r="AM24" s="5" t="s">
        <v>52</v>
      </c>
      <c r="AN24" s="4">
        <v>0</v>
      </c>
      <c r="AO24" s="20">
        <f>AN24/(SUM($AN$20:$AN$24))</f>
        <v>0</v>
      </c>
      <c r="AP24" s="14"/>
    </row>
    <row r="25" spans="1:42">
      <c r="A25" s="119"/>
      <c r="B25" s="8" t="s">
        <v>178</v>
      </c>
      <c r="C25" s="15"/>
      <c r="N25" s="29"/>
      <c r="O25" s="5" t="s">
        <v>151</v>
      </c>
      <c r="P25" s="5" t="s">
        <v>5</v>
      </c>
      <c r="Q25" s="35" t="str">
        <f t="shared" si="3"/>
        <v>3</v>
      </c>
      <c r="R25" s="5" t="s">
        <v>6</v>
      </c>
      <c r="S25" s="26" t="str">
        <f t="shared" si="4"/>
        <v>4</v>
      </c>
      <c r="T25" s="5" t="s">
        <v>5</v>
      </c>
      <c r="U25" s="26" t="str">
        <f t="shared" si="5"/>
        <v>3</v>
      </c>
      <c r="V25" s="5" t="s">
        <v>6</v>
      </c>
      <c r="W25" s="26" t="str">
        <f t="shared" si="6"/>
        <v>4</v>
      </c>
      <c r="X25" s="5" t="s">
        <v>6</v>
      </c>
      <c r="Y25" s="26" t="str">
        <f t="shared" si="7"/>
        <v>4</v>
      </c>
      <c r="Z25" s="5" t="s">
        <v>6</v>
      </c>
      <c r="AA25" s="26" t="str">
        <f t="shared" si="8"/>
        <v>4</v>
      </c>
      <c r="AB25" s="5" t="s">
        <v>6</v>
      </c>
      <c r="AC25" s="26" t="str">
        <f t="shared" si="9"/>
        <v>4</v>
      </c>
      <c r="AD25" s="5" t="s">
        <v>5</v>
      </c>
      <c r="AE25" s="26" t="str">
        <f t="shared" si="10"/>
        <v>3</v>
      </c>
      <c r="AF25" s="5" t="s">
        <v>5</v>
      </c>
      <c r="AG25" s="26" t="str">
        <f t="shared" si="11"/>
        <v>3</v>
      </c>
      <c r="AH25" s="5" t="s">
        <v>5</v>
      </c>
      <c r="AI25" s="26" t="str">
        <f t="shared" si="12"/>
        <v>3</v>
      </c>
      <c r="AJ25" s="15"/>
      <c r="AK25" s="15"/>
      <c r="AL25" s="14"/>
      <c r="AM25" s="15"/>
      <c r="AN25" s="14"/>
      <c r="AO25" s="14"/>
      <c r="AP25" s="14"/>
    </row>
    <row r="26" spans="1:42" ht="26.4">
      <c r="A26" s="119"/>
      <c r="B26" s="8" t="s">
        <v>179</v>
      </c>
      <c r="C26" s="15"/>
      <c r="N26" s="29"/>
      <c r="O26" s="5" t="s">
        <v>152</v>
      </c>
      <c r="P26" s="5" t="s">
        <v>5</v>
      </c>
      <c r="Q26" s="35" t="str">
        <f t="shared" si="3"/>
        <v>3</v>
      </c>
      <c r="R26" s="5" t="s">
        <v>7</v>
      </c>
      <c r="S26" s="26" t="str">
        <f t="shared" si="4"/>
        <v>5</v>
      </c>
      <c r="T26" s="5" t="s">
        <v>7</v>
      </c>
      <c r="U26" s="26" t="str">
        <f t="shared" si="5"/>
        <v>5</v>
      </c>
      <c r="V26" s="5" t="s">
        <v>7</v>
      </c>
      <c r="W26" s="26" t="str">
        <f t="shared" si="6"/>
        <v>5</v>
      </c>
      <c r="X26" s="5" t="s">
        <v>7</v>
      </c>
      <c r="Y26" s="26" t="str">
        <f t="shared" si="7"/>
        <v>5</v>
      </c>
      <c r="Z26" s="5" t="s">
        <v>6</v>
      </c>
      <c r="AA26" s="26" t="str">
        <f t="shared" si="8"/>
        <v>4</v>
      </c>
      <c r="AB26" s="5" t="s">
        <v>7</v>
      </c>
      <c r="AC26" s="26" t="str">
        <f t="shared" si="9"/>
        <v>5</v>
      </c>
      <c r="AD26" s="5" t="s">
        <v>7</v>
      </c>
      <c r="AE26" s="26" t="str">
        <f t="shared" si="10"/>
        <v>5</v>
      </c>
      <c r="AF26" s="5" t="s">
        <v>5</v>
      </c>
      <c r="AG26" s="26" t="str">
        <f t="shared" si="11"/>
        <v>3</v>
      </c>
      <c r="AH26" s="5" t="s">
        <v>5</v>
      </c>
      <c r="AI26" s="26" t="str">
        <f t="shared" si="12"/>
        <v>3</v>
      </c>
      <c r="AJ26" s="15"/>
    </row>
    <row r="27" spans="1:42" ht="26.4">
      <c r="A27" s="119"/>
      <c r="B27" s="8" t="s">
        <v>180</v>
      </c>
      <c r="C27" s="15"/>
      <c r="N27" s="29"/>
      <c r="O27" s="5" t="s">
        <v>153</v>
      </c>
      <c r="P27" s="5" t="s">
        <v>5</v>
      </c>
      <c r="Q27" s="35" t="str">
        <f t="shared" si="3"/>
        <v>3</v>
      </c>
      <c r="R27" s="5" t="s">
        <v>7</v>
      </c>
      <c r="S27" s="26" t="str">
        <f t="shared" si="4"/>
        <v>5</v>
      </c>
      <c r="T27" s="5" t="s">
        <v>5</v>
      </c>
      <c r="U27" s="26" t="str">
        <f t="shared" si="5"/>
        <v>3</v>
      </c>
      <c r="V27" s="5" t="s">
        <v>6</v>
      </c>
      <c r="W27" s="26" t="str">
        <f t="shared" si="6"/>
        <v>4</v>
      </c>
      <c r="X27" s="5" t="s">
        <v>6</v>
      </c>
      <c r="Y27" s="26" t="str">
        <f t="shared" si="7"/>
        <v>4</v>
      </c>
      <c r="Z27" s="5" t="s">
        <v>3</v>
      </c>
      <c r="AA27" s="26" t="str">
        <f t="shared" si="8"/>
        <v>1</v>
      </c>
      <c r="AB27" s="5" t="s">
        <v>5</v>
      </c>
      <c r="AC27" s="26" t="str">
        <f t="shared" si="9"/>
        <v>3</v>
      </c>
      <c r="AD27" s="5" t="s">
        <v>6</v>
      </c>
      <c r="AE27" s="26" t="str">
        <f t="shared" si="10"/>
        <v>4</v>
      </c>
      <c r="AF27" s="5" t="s">
        <v>6</v>
      </c>
      <c r="AG27" s="26" t="str">
        <f t="shared" si="11"/>
        <v>4</v>
      </c>
      <c r="AH27" s="5" t="s">
        <v>4</v>
      </c>
      <c r="AI27" s="26" t="str">
        <f t="shared" si="12"/>
        <v>2</v>
      </c>
      <c r="AJ27" s="15"/>
    </row>
    <row r="28" spans="1:42" ht="26.4">
      <c r="A28" s="119"/>
      <c r="B28" s="8" t="s">
        <v>181</v>
      </c>
      <c r="C28" s="15"/>
      <c r="N28" s="29"/>
      <c r="O28" s="5" t="s">
        <v>154</v>
      </c>
      <c r="P28" s="5" t="s">
        <v>5</v>
      </c>
      <c r="Q28" s="35" t="str">
        <f t="shared" si="3"/>
        <v>3</v>
      </c>
      <c r="R28" s="5" t="s">
        <v>6</v>
      </c>
      <c r="S28" s="26" t="str">
        <f t="shared" si="4"/>
        <v>4</v>
      </c>
      <c r="T28" s="5" t="s">
        <v>5</v>
      </c>
      <c r="U28" s="26" t="str">
        <f t="shared" si="5"/>
        <v>3</v>
      </c>
      <c r="V28" s="5" t="s">
        <v>6</v>
      </c>
      <c r="W28" s="26" t="str">
        <f t="shared" si="6"/>
        <v>4</v>
      </c>
      <c r="X28" s="5" t="s">
        <v>5</v>
      </c>
      <c r="Y28" s="26" t="str">
        <f t="shared" si="7"/>
        <v>3</v>
      </c>
      <c r="Z28" s="5" t="s">
        <v>3</v>
      </c>
      <c r="AA28" s="26" t="str">
        <f t="shared" si="8"/>
        <v>1</v>
      </c>
      <c r="AB28" s="5" t="s">
        <v>5</v>
      </c>
      <c r="AC28" s="26" t="str">
        <f t="shared" si="9"/>
        <v>3</v>
      </c>
      <c r="AD28" s="5" t="s">
        <v>5</v>
      </c>
      <c r="AE28" s="26" t="str">
        <f t="shared" si="10"/>
        <v>3</v>
      </c>
      <c r="AF28" s="5" t="s">
        <v>5</v>
      </c>
      <c r="AG28" s="26" t="str">
        <f t="shared" si="11"/>
        <v>3</v>
      </c>
      <c r="AH28" s="5" t="s">
        <v>5</v>
      </c>
      <c r="AI28" s="26" t="str">
        <f t="shared" si="12"/>
        <v>3</v>
      </c>
      <c r="AJ28" s="15"/>
    </row>
    <row r="29" spans="1:42">
      <c r="A29" s="119"/>
      <c r="B29" s="8" t="s">
        <v>182</v>
      </c>
      <c r="C29" s="15"/>
      <c r="N29" s="29"/>
      <c r="O29" s="5" t="s">
        <v>155</v>
      </c>
      <c r="P29" s="5" t="s">
        <v>5</v>
      </c>
      <c r="Q29" s="35" t="str">
        <f t="shared" si="3"/>
        <v>3</v>
      </c>
      <c r="R29" s="5" t="s">
        <v>6</v>
      </c>
      <c r="S29" s="26" t="str">
        <f t="shared" si="4"/>
        <v>4</v>
      </c>
      <c r="T29" s="5" t="s">
        <v>6</v>
      </c>
      <c r="U29" s="26" t="str">
        <f t="shared" si="5"/>
        <v>4</v>
      </c>
      <c r="V29" s="5" t="s">
        <v>5</v>
      </c>
      <c r="W29" s="26" t="str">
        <f t="shared" si="6"/>
        <v>3</v>
      </c>
      <c r="X29" s="5" t="s">
        <v>5</v>
      </c>
      <c r="Y29" s="26" t="str">
        <f t="shared" si="7"/>
        <v>3</v>
      </c>
      <c r="Z29" s="5" t="s">
        <v>5</v>
      </c>
      <c r="AA29" s="26" t="str">
        <f t="shared" si="8"/>
        <v>3</v>
      </c>
      <c r="AB29" s="5" t="s">
        <v>6</v>
      </c>
      <c r="AC29" s="26" t="str">
        <f t="shared" si="9"/>
        <v>4</v>
      </c>
      <c r="AD29" s="5" t="s">
        <v>6</v>
      </c>
      <c r="AE29" s="26" t="str">
        <f t="shared" si="10"/>
        <v>4</v>
      </c>
      <c r="AF29" s="5" t="s">
        <v>5</v>
      </c>
      <c r="AG29" s="26" t="str">
        <f t="shared" si="11"/>
        <v>3</v>
      </c>
      <c r="AH29" s="5" t="s">
        <v>5</v>
      </c>
      <c r="AI29" s="26" t="str">
        <f t="shared" si="12"/>
        <v>3</v>
      </c>
      <c r="AJ29" s="15"/>
    </row>
    <row r="30" spans="1:42" ht="26.4">
      <c r="A30" s="119"/>
      <c r="B30" s="8" t="s">
        <v>183</v>
      </c>
      <c r="C30" s="15"/>
      <c r="N30" s="29"/>
      <c r="O30" s="5" t="s">
        <v>156</v>
      </c>
      <c r="P30" s="5" t="s">
        <v>6</v>
      </c>
      <c r="Q30" s="35" t="str">
        <f t="shared" si="3"/>
        <v>4</v>
      </c>
      <c r="R30" s="5" t="s">
        <v>5</v>
      </c>
      <c r="S30" s="26" t="str">
        <f t="shared" si="4"/>
        <v>3</v>
      </c>
      <c r="T30" s="5" t="s">
        <v>6</v>
      </c>
      <c r="U30" s="26" t="str">
        <f t="shared" si="5"/>
        <v>4</v>
      </c>
      <c r="V30" s="5" t="s">
        <v>5</v>
      </c>
      <c r="W30" s="26" t="str">
        <f t="shared" si="6"/>
        <v>3</v>
      </c>
      <c r="X30" s="5" t="s">
        <v>6</v>
      </c>
      <c r="Y30" s="26" t="str">
        <f t="shared" si="7"/>
        <v>4</v>
      </c>
      <c r="Z30" s="5" t="s">
        <v>5</v>
      </c>
      <c r="AA30" s="26" t="str">
        <f t="shared" si="8"/>
        <v>3</v>
      </c>
      <c r="AB30" s="5" t="s">
        <v>6</v>
      </c>
      <c r="AC30" s="26" t="str">
        <f t="shared" si="9"/>
        <v>4</v>
      </c>
      <c r="AD30" s="5" t="s">
        <v>7</v>
      </c>
      <c r="AE30" s="26" t="str">
        <f t="shared" si="10"/>
        <v>5</v>
      </c>
      <c r="AF30" s="5" t="s">
        <v>6</v>
      </c>
      <c r="AG30" s="26" t="str">
        <f t="shared" si="11"/>
        <v>4</v>
      </c>
      <c r="AH30" s="5" t="s">
        <v>6</v>
      </c>
      <c r="AI30" s="26" t="str">
        <f t="shared" si="12"/>
        <v>4</v>
      </c>
      <c r="AJ30" s="15"/>
    </row>
    <row r="31" spans="1:42">
      <c r="A31" s="119"/>
      <c r="B31" s="8" t="s">
        <v>184</v>
      </c>
      <c r="C31" s="15"/>
      <c r="N31" s="29"/>
      <c r="O31" s="5" t="s">
        <v>157</v>
      </c>
      <c r="P31" s="5" t="s">
        <v>4</v>
      </c>
      <c r="Q31" s="35" t="str">
        <f t="shared" si="3"/>
        <v>2</v>
      </c>
      <c r="R31" s="5" t="s">
        <v>5</v>
      </c>
      <c r="S31" s="26" t="str">
        <f t="shared" si="4"/>
        <v>3</v>
      </c>
      <c r="T31" s="5" t="s">
        <v>5</v>
      </c>
      <c r="U31" s="26" t="str">
        <f t="shared" si="5"/>
        <v>3</v>
      </c>
      <c r="V31" s="5" t="s">
        <v>4</v>
      </c>
      <c r="W31" s="26" t="str">
        <f t="shared" si="6"/>
        <v>2</v>
      </c>
      <c r="X31" s="5" t="s">
        <v>5</v>
      </c>
      <c r="Y31" s="26" t="str">
        <f t="shared" si="7"/>
        <v>3</v>
      </c>
      <c r="Z31" s="5" t="s">
        <v>6</v>
      </c>
      <c r="AA31" s="26" t="str">
        <f t="shared" si="8"/>
        <v>4</v>
      </c>
      <c r="AB31" s="5" t="s">
        <v>6</v>
      </c>
      <c r="AC31" s="26" t="str">
        <f t="shared" si="9"/>
        <v>4</v>
      </c>
      <c r="AD31" s="5" t="s">
        <v>6</v>
      </c>
      <c r="AE31" s="26" t="str">
        <f t="shared" si="10"/>
        <v>4</v>
      </c>
      <c r="AF31" s="5" t="s">
        <v>5</v>
      </c>
      <c r="AG31" s="26" t="str">
        <f t="shared" si="11"/>
        <v>3</v>
      </c>
      <c r="AH31" s="5" t="s">
        <v>6</v>
      </c>
      <c r="AI31" s="26" t="str">
        <f t="shared" si="12"/>
        <v>4</v>
      </c>
      <c r="AJ31" s="15"/>
    </row>
    <row r="32" spans="1:42" ht="26.4">
      <c r="A32" s="119"/>
      <c r="B32" s="8" t="s">
        <v>185</v>
      </c>
      <c r="C32" s="15"/>
      <c r="N32" s="29"/>
      <c r="O32" s="5" t="s">
        <v>158</v>
      </c>
      <c r="P32" s="5" t="s">
        <v>6</v>
      </c>
      <c r="Q32" s="35" t="str">
        <f t="shared" si="3"/>
        <v>4</v>
      </c>
      <c r="R32" s="5" t="s">
        <v>7</v>
      </c>
      <c r="S32" s="26" t="str">
        <f t="shared" si="4"/>
        <v>5</v>
      </c>
      <c r="T32" s="5" t="s">
        <v>6</v>
      </c>
      <c r="U32" s="26" t="str">
        <f t="shared" si="5"/>
        <v>4</v>
      </c>
      <c r="V32" s="5" t="s">
        <v>7</v>
      </c>
      <c r="W32" s="26" t="str">
        <f t="shared" si="6"/>
        <v>5</v>
      </c>
      <c r="X32" s="5" t="s">
        <v>6</v>
      </c>
      <c r="Y32" s="26" t="str">
        <f t="shared" si="7"/>
        <v>4</v>
      </c>
      <c r="Z32" s="5" t="s">
        <v>6</v>
      </c>
      <c r="AA32" s="26" t="str">
        <f t="shared" si="8"/>
        <v>4</v>
      </c>
      <c r="AB32" s="5" t="s">
        <v>7</v>
      </c>
      <c r="AC32" s="26" t="str">
        <f t="shared" si="9"/>
        <v>5</v>
      </c>
      <c r="AD32" s="5" t="s">
        <v>5</v>
      </c>
      <c r="AE32" s="26" t="str">
        <f t="shared" si="10"/>
        <v>3</v>
      </c>
      <c r="AF32" s="5" t="s">
        <v>5</v>
      </c>
      <c r="AG32" s="26" t="str">
        <f t="shared" si="11"/>
        <v>3</v>
      </c>
      <c r="AH32" s="5" t="s">
        <v>6</v>
      </c>
      <c r="AI32" s="26" t="str">
        <f t="shared" si="12"/>
        <v>4</v>
      </c>
      <c r="AJ32" s="15"/>
    </row>
    <row r="33" spans="1:36">
      <c r="A33" s="119"/>
      <c r="B33" s="8" t="s">
        <v>101</v>
      </c>
      <c r="C33" s="15"/>
      <c r="N33" s="29"/>
      <c r="O33" s="5" t="s">
        <v>159</v>
      </c>
      <c r="P33" s="5" t="s">
        <v>4</v>
      </c>
      <c r="Q33" s="35" t="str">
        <f t="shared" si="3"/>
        <v>2</v>
      </c>
      <c r="R33" s="5" t="s">
        <v>6</v>
      </c>
      <c r="S33" s="26" t="str">
        <f t="shared" si="4"/>
        <v>4</v>
      </c>
      <c r="T33" s="5" t="s">
        <v>6</v>
      </c>
      <c r="U33" s="26" t="str">
        <f t="shared" si="5"/>
        <v>4</v>
      </c>
      <c r="V33" s="5" t="s">
        <v>6</v>
      </c>
      <c r="W33" s="26" t="str">
        <f t="shared" si="6"/>
        <v>4</v>
      </c>
      <c r="X33" s="5" t="s">
        <v>6</v>
      </c>
      <c r="Y33" s="26" t="str">
        <f t="shared" si="7"/>
        <v>4</v>
      </c>
      <c r="Z33" s="5" t="s">
        <v>6</v>
      </c>
      <c r="AA33" s="26" t="str">
        <f t="shared" si="8"/>
        <v>4</v>
      </c>
      <c r="AB33" s="5" t="s">
        <v>6</v>
      </c>
      <c r="AC33" s="26" t="str">
        <f t="shared" si="9"/>
        <v>4</v>
      </c>
      <c r="AD33" s="5" t="s">
        <v>6</v>
      </c>
      <c r="AE33" s="26" t="str">
        <f t="shared" si="10"/>
        <v>4</v>
      </c>
      <c r="AF33" s="5" t="s">
        <v>5</v>
      </c>
      <c r="AG33" s="26" t="str">
        <f t="shared" si="11"/>
        <v>3</v>
      </c>
      <c r="AH33" s="5" t="s">
        <v>6</v>
      </c>
      <c r="AI33" s="26" t="str">
        <f t="shared" si="12"/>
        <v>4</v>
      </c>
      <c r="AJ33" s="15"/>
    </row>
    <row r="34" spans="1:36" ht="13.2" customHeight="1">
      <c r="A34" s="119"/>
      <c r="B34" s="13"/>
      <c r="C34" s="15"/>
      <c r="N34" s="29"/>
      <c r="O34" s="5" t="s">
        <v>160</v>
      </c>
      <c r="P34" s="5" t="s">
        <v>3</v>
      </c>
      <c r="Q34" s="35" t="str">
        <f t="shared" si="3"/>
        <v>1</v>
      </c>
      <c r="R34" s="5" t="s">
        <v>7</v>
      </c>
      <c r="S34" s="26" t="str">
        <f t="shared" si="4"/>
        <v>5</v>
      </c>
      <c r="T34" s="5" t="s">
        <v>5</v>
      </c>
      <c r="U34" s="26" t="str">
        <f t="shared" si="5"/>
        <v>3</v>
      </c>
      <c r="V34" s="5" t="s">
        <v>6</v>
      </c>
      <c r="W34" s="26" t="str">
        <f t="shared" si="6"/>
        <v>4</v>
      </c>
      <c r="X34" s="5" t="s">
        <v>5</v>
      </c>
      <c r="Y34" s="26" t="str">
        <f t="shared" si="7"/>
        <v>3</v>
      </c>
      <c r="Z34" s="5" t="s">
        <v>5</v>
      </c>
      <c r="AA34" s="26" t="str">
        <f t="shared" si="8"/>
        <v>3</v>
      </c>
      <c r="AB34" s="5" t="s">
        <v>5</v>
      </c>
      <c r="AC34" s="26" t="str">
        <f t="shared" si="9"/>
        <v>3</v>
      </c>
      <c r="AD34" s="5" t="s">
        <v>5</v>
      </c>
      <c r="AE34" s="26" t="str">
        <f t="shared" si="10"/>
        <v>3</v>
      </c>
      <c r="AF34" s="5" t="s">
        <v>6</v>
      </c>
      <c r="AG34" s="26" t="str">
        <f t="shared" si="11"/>
        <v>4</v>
      </c>
      <c r="AH34" s="5" t="s">
        <v>6</v>
      </c>
      <c r="AI34" s="26" t="str">
        <f t="shared" si="12"/>
        <v>4</v>
      </c>
      <c r="AJ34" s="15"/>
    </row>
    <row r="35" spans="1:36" ht="26.4">
      <c r="A35" s="119"/>
      <c r="B35" s="10" t="s">
        <v>76</v>
      </c>
      <c r="C35" s="15"/>
      <c r="N35" s="29"/>
      <c r="O35" s="5" t="s">
        <v>161</v>
      </c>
      <c r="P35" s="5" t="s">
        <v>5</v>
      </c>
      <c r="Q35" s="35" t="str">
        <f t="shared" si="3"/>
        <v>3</v>
      </c>
      <c r="R35" s="5" t="s">
        <v>7</v>
      </c>
      <c r="S35" s="26" t="str">
        <f t="shared" si="4"/>
        <v>5</v>
      </c>
      <c r="T35" s="5" t="s">
        <v>7</v>
      </c>
      <c r="U35" s="26" t="str">
        <f t="shared" si="5"/>
        <v>5</v>
      </c>
      <c r="V35" s="5" t="s">
        <v>7</v>
      </c>
      <c r="W35" s="26" t="str">
        <f t="shared" si="6"/>
        <v>5</v>
      </c>
      <c r="X35" s="5" t="s">
        <v>6</v>
      </c>
      <c r="Y35" s="26" t="str">
        <f t="shared" si="7"/>
        <v>4</v>
      </c>
      <c r="Z35" s="5" t="s">
        <v>6</v>
      </c>
      <c r="AA35" s="26" t="str">
        <f t="shared" si="8"/>
        <v>4</v>
      </c>
      <c r="AB35" s="5" t="s">
        <v>6</v>
      </c>
      <c r="AC35" s="26" t="str">
        <f t="shared" si="9"/>
        <v>4</v>
      </c>
      <c r="AD35" s="5" t="s">
        <v>6</v>
      </c>
      <c r="AE35" s="26" t="str">
        <f t="shared" si="10"/>
        <v>4</v>
      </c>
      <c r="AF35" s="5" t="s">
        <v>6</v>
      </c>
      <c r="AG35" s="26" t="str">
        <f t="shared" si="11"/>
        <v>4</v>
      </c>
      <c r="AH35" s="5" t="s">
        <v>6</v>
      </c>
      <c r="AI35" s="26" t="str">
        <f t="shared" si="12"/>
        <v>4</v>
      </c>
      <c r="AJ35" s="15"/>
    </row>
    <row r="36" spans="1:36" ht="26.4">
      <c r="A36" s="119"/>
      <c r="B36" s="8" t="s">
        <v>8</v>
      </c>
      <c r="C36" s="15"/>
      <c r="N36" s="29"/>
      <c r="O36" s="5" t="s">
        <v>162</v>
      </c>
      <c r="P36" s="5" t="s">
        <v>5</v>
      </c>
      <c r="Q36" s="35" t="str">
        <f t="shared" si="3"/>
        <v>3</v>
      </c>
      <c r="R36" s="5" t="s">
        <v>5</v>
      </c>
      <c r="S36" s="26" t="str">
        <f t="shared" si="4"/>
        <v>3</v>
      </c>
      <c r="T36" s="5" t="s">
        <v>5</v>
      </c>
      <c r="U36" s="26" t="str">
        <f t="shared" si="5"/>
        <v>3</v>
      </c>
      <c r="V36" s="5" t="s">
        <v>5</v>
      </c>
      <c r="W36" s="26" t="str">
        <f t="shared" si="6"/>
        <v>3</v>
      </c>
      <c r="X36" s="5" t="s">
        <v>7</v>
      </c>
      <c r="Y36" s="26" t="str">
        <f t="shared" si="7"/>
        <v>5</v>
      </c>
      <c r="Z36" s="5" t="s">
        <v>6</v>
      </c>
      <c r="AA36" s="26" t="str">
        <f t="shared" si="8"/>
        <v>4</v>
      </c>
      <c r="AB36" s="5" t="s">
        <v>7</v>
      </c>
      <c r="AC36" s="26" t="str">
        <f t="shared" si="9"/>
        <v>5</v>
      </c>
      <c r="AD36" s="5" t="s">
        <v>5</v>
      </c>
      <c r="AE36" s="26" t="str">
        <f t="shared" si="10"/>
        <v>3</v>
      </c>
      <c r="AF36" s="5" t="s">
        <v>5</v>
      </c>
      <c r="AG36" s="26" t="str">
        <f t="shared" si="11"/>
        <v>3</v>
      </c>
      <c r="AH36" s="5" t="s">
        <v>6</v>
      </c>
      <c r="AI36" s="26" t="str">
        <f t="shared" si="12"/>
        <v>4</v>
      </c>
      <c r="AJ36" s="15"/>
    </row>
    <row r="37" spans="1:36" ht="26.4">
      <c r="A37" s="119"/>
      <c r="B37" s="8" t="s">
        <v>3</v>
      </c>
      <c r="C37" s="15"/>
      <c r="N37" s="29"/>
      <c r="O37" s="5" t="s">
        <v>163</v>
      </c>
      <c r="P37" s="5" t="s">
        <v>5</v>
      </c>
      <c r="Q37" s="35" t="str">
        <f t="shared" si="3"/>
        <v>3</v>
      </c>
      <c r="R37" s="5" t="s">
        <v>7</v>
      </c>
      <c r="S37" s="26" t="str">
        <f t="shared" si="4"/>
        <v>5</v>
      </c>
      <c r="T37" s="5" t="s">
        <v>5</v>
      </c>
      <c r="U37" s="26" t="str">
        <f t="shared" si="5"/>
        <v>3</v>
      </c>
      <c r="V37" s="5" t="s">
        <v>7</v>
      </c>
      <c r="W37" s="26" t="str">
        <f t="shared" si="6"/>
        <v>5</v>
      </c>
      <c r="X37" s="5" t="s">
        <v>6</v>
      </c>
      <c r="Y37" s="26" t="str">
        <f t="shared" si="7"/>
        <v>4</v>
      </c>
      <c r="Z37" s="5" t="s">
        <v>5</v>
      </c>
      <c r="AA37" s="26" t="str">
        <f t="shared" si="8"/>
        <v>3</v>
      </c>
      <c r="AB37" s="5" t="s">
        <v>7</v>
      </c>
      <c r="AC37" s="26" t="str">
        <f t="shared" si="9"/>
        <v>5</v>
      </c>
      <c r="AD37" s="5" t="s">
        <v>5</v>
      </c>
      <c r="AE37" s="26" t="str">
        <f t="shared" si="10"/>
        <v>3</v>
      </c>
      <c r="AF37" s="5" t="s">
        <v>7</v>
      </c>
      <c r="AG37" s="26" t="str">
        <f t="shared" si="11"/>
        <v>5</v>
      </c>
      <c r="AH37" s="5" t="s">
        <v>7</v>
      </c>
      <c r="AI37" s="26" t="str">
        <f t="shared" si="12"/>
        <v>5</v>
      </c>
      <c r="AJ37" s="15"/>
    </row>
    <row r="38" spans="1:36" ht="26.4">
      <c r="A38" s="119"/>
      <c r="B38" s="8" t="s">
        <v>4</v>
      </c>
      <c r="C38" s="15"/>
      <c r="N38" s="29"/>
      <c r="O38" s="5" t="s">
        <v>247</v>
      </c>
      <c r="P38" s="5" t="s">
        <v>6</v>
      </c>
      <c r="Q38" s="35" t="str">
        <f t="shared" si="3"/>
        <v>4</v>
      </c>
      <c r="R38" s="5" t="s">
        <v>7</v>
      </c>
      <c r="S38" s="26" t="str">
        <f t="shared" si="4"/>
        <v>5</v>
      </c>
      <c r="T38" s="5" t="s">
        <v>4</v>
      </c>
      <c r="U38" s="26" t="str">
        <f t="shared" si="5"/>
        <v>2</v>
      </c>
      <c r="V38" s="5" t="s">
        <v>4</v>
      </c>
      <c r="W38" s="26" t="str">
        <f t="shared" si="6"/>
        <v>2</v>
      </c>
      <c r="X38" s="5" t="s">
        <v>3</v>
      </c>
      <c r="Y38" s="26" t="str">
        <f t="shared" si="7"/>
        <v>1</v>
      </c>
      <c r="Z38" s="5" t="s">
        <v>3</v>
      </c>
      <c r="AA38" s="26" t="str">
        <f t="shared" si="8"/>
        <v>1</v>
      </c>
      <c r="AB38" s="5" t="s">
        <v>6</v>
      </c>
      <c r="AC38" s="26" t="str">
        <f t="shared" si="9"/>
        <v>4</v>
      </c>
      <c r="AD38" s="5" t="s">
        <v>7</v>
      </c>
      <c r="AE38" s="26" t="str">
        <f t="shared" si="10"/>
        <v>5</v>
      </c>
      <c r="AF38" s="5" t="s">
        <v>3</v>
      </c>
      <c r="AG38" s="26" t="str">
        <f t="shared" si="11"/>
        <v>1</v>
      </c>
      <c r="AH38" s="5" t="s">
        <v>6</v>
      </c>
      <c r="AI38" s="26" t="str">
        <f t="shared" si="12"/>
        <v>4</v>
      </c>
      <c r="AJ38" s="29"/>
    </row>
    <row r="39" spans="1:36" ht="26.4">
      <c r="A39" s="119"/>
      <c r="B39" s="8" t="s">
        <v>5</v>
      </c>
      <c r="C39" s="15"/>
      <c r="N39" s="29"/>
      <c r="O39" s="5" t="s">
        <v>248</v>
      </c>
      <c r="P39" s="5" t="s">
        <v>6</v>
      </c>
      <c r="Q39" s="35" t="str">
        <f t="shared" si="3"/>
        <v>4</v>
      </c>
      <c r="R39" s="5" t="s">
        <v>7</v>
      </c>
      <c r="S39" s="26" t="str">
        <f t="shared" si="4"/>
        <v>5</v>
      </c>
      <c r="T39" s="5" t="s">
        <v>5</v>
      </c>
      <c r="U39" s="26" t="str">
        <f t="shared" si="5"/>
        <v>3</v>
      </c>
      <c r="V39" s="5" t="s">
        <v>5</v>
      </c>
      <c r="W39" s="26" t="str">
        <f t="shared" si="6"/>
        <v>3</v>
      </c>
      <c r="X39" s="5" t="s">
        <v>6</v>
      </c>
      <c r="Y39" s="26" t="str">
        <f t="shared" si="7"/>
        <v>4</v>
      </c>
      <c r="Z39" s="5" t="s">
        <v>6</v>
      </c>
      <c r="AA39" s="26" t="str">
        <f t="shared" si="8"/>
        <v>4</v>
      </c>
      <c r="AB39" s="5" t="s">
        <v>5</v>
      </c>
      <c r="AC39" s="26" t="str">
        <f t="shared" si="9"/>
        <v>3</v>
      </c>
      <c r="AD39" s="5" t="s">
        <v>6</v>
      </c>
      <c r="AE39" s="26" t="str">
        <f t="shared" si="10"/>
        <v>4</v>
      </c>
      <c r="AF39" s="5" t="s">
        <v>6</v>
      </c>
      <c r="AG39" s="26" t="str">
        <f t="shared" si="11"/>
        <v>4</v>
      </c>
      <c r="AH39" s="5" t="s">
        <v>7</v>
      </c>
      <c r="AI39" s="26" t="str">
        <f t="shared" si="12"/>
        <v>5</v>
      </c>
      <c r="AJ39" s="29"/>
    </row>
    <row r="40" spans="1:36" ht="26.4">
      <c r="A40" s="119"/>
      <c r="B40" s="8" t="s">
        <v>6</v>
      </c>
      <c r="C40" s="15"/>
      <c r="N40" s="29"/>
      <c r="O40" s="5" t="s">
        <v>249</v>
      </c>
      <c r="P40" s="5" t="s">
        <v>6</v>
      </c>
      <c r="Q40" s="35" t="str">
        <f t="shared" si="3"/>
        <v>4</v>
      </c>
      <c r="R40" s="5" t="s">
        <v>7</v>
      </c>
      <c r="S40" s="26" t="str">
        <f t="shared" si="4"/>
        <v>5</v>
      </c>
      <c r="T40" s="5" t="s">
        <v>5</v>
      </c>
      <c r="U40" s="26" t="str">
        <f t="shared" si="5"/>
        <v>3</v>
      </c>
      <c r="V40" s="5" t="s">
        <v>7</v>
      </c>
      <c r="W40" s="26" t="str">
        <f t="shared" si="6"/>
        <v>5</v>
      </c>
      <c r="X40" s="5" t="s">
        <v>5</v>
      </c>
      <c r="Y40" s="26" t="str">
        <f t="shared" si="7"/>
        <v>3</v>
      </c>
      <c r="Z40" s="5" t="s">
        <v>5</v>
      </c>
      <c r="AA40" s="26" t="str">
        <f t="shared" si="8"/>
        <v>3</v>
      </c>
      <c r="AB40" s="5" t="s">
        <v>5</v>
      </c>
      <c r="AC40" s="26" t="str">
        <f t="shared" si="9"/>
        <v>3</v>
      </c>
      <c r="AD40" s="5" t="s">
        <v>7</v>
      </c>
      <c r="AE40" s="26" t="str">
        <f t="shared" si="10"/>
        <v>5</v>
      </c>
      <c r="AF40" s="5" t="s">
        <v>5</v>
      </c>
      <c r="AG40" s="26" t="str">
        <f t="shared" si="11"/>
        <v>3</v>
      </c>
      <c r="AH40" s="5" t="s">
        <v>5</v>
      </c>
      <c r="AI40" s="26" t="str">
        <f t="shared" si="12"/>
        <v>3</v>
      </c>
      <c r="AJ40" s="29"/>
    </row>
    <row r="41" spans="1:36">
      <c r="A41" s="119"/>
      <c r="B41" s="8" t="s">
        <v>7</v>
      </c>
      <c r="C41" s="15"/>
      <c r="N41" s="29"/>
      <c r="O41" s="5" t="s">
        <v>250</v>
      </c>
      <c r="P41" s="5" t="s">
        <v>5</v>
      </c>
      <c r="Q41" s="35" t="str">
        <f t="shared" si="3"/>
        <v>3</v>
      </c>
      <c r="R41" s="5" t="s">
        <v>5</v>
      </c>
      <c r="S41" s="26" t="str">
        <f t="shared" si="4"/>
        <v>3</v>
      </c>
      <c r="T41" s="5" t="s">
        <v>6</v>
      </c>
      <c r="U41" s="26" t="str">
        <f t="shared" si="5"/>
        <v>4</v>
      </c>
      <c r="V41" s="5" t="s">
        <v>4</v>
      </c>
      <c r="W41" s="26" t="str">
        <f t="shared" si="6"/>
        <v>2</v>
      </c>
      <c r="X41" s="5" t="s">
        <v>6</v>
      </c>
      <c r="Y41" s="26" t="str">
        <f t="shared" si="7"/>
        <v>4</v>
      </c>
      <c r="Z41" s="5" t="s">
        <v>6</v>
      </c>
      <c r="AA41" s="26" t="str">
        <f t="shared" si="8"/>
        <v>4</v>
      </c>
      <c r="AB41" s="5" t="s">
        <v>4</v>
      </c>
      <c r="AC41" s="26" t="str">
        <f t="shared" si="9"/>
        <v>2</v>
      </c>
      <c r="AD41" s="5" t="s">
        <v>4</v>
      </c>
      <c r="AE41" s="26" t="str">
        <f t="shared" si="10"/>
        <v>2</v>
      </c>
      <c r="AF41" s="5" t="s">
        <v>6</v>
      </c>
      <c r="AG41" s="26" t="str">
        <f t="shared" si="11"/>
        <v>4</v>
      </c>
      <c r="AH41" s="5" t="s">
        <v>4</v>
      </c>
      <c r="AI41" s="26" t="str">
        <f t="shared" si="12"/>
        <v>2</v>
      </c>
      <c r="AJ41" s="29"/>
    </row>
    <row r="42" spans="1:36" ht="26.4">
      <c r="A42" s="119"/>
      <c r="B42" s="8" t="s">
        <v>186</v>
      </c>
      <c r="C42" s="15"/>
      <c r="N42" s="29"/>
      <c r="O42" s="5" t="s">
        <v>251</v>
      </c>
      <c r="P42" s="5" t="s">
        <v>6</v>
      </c>
      <c r="Q42" s="35" t="str">
        <f t="shared" si="3"/>
        <v>4</v>
      </c>
      <c r="R42" s="5" t="s">
        <v>7</v>
      </c>
      <c r="S42" s="26" t="str">
        <f t="shared" si="4"/>
        <v>5</v>
      </c>
      <c r="T42" s="5" t="s">
        <v>7</v>
      </c>
      <c r="U42" s="26" t="str">
        <f t="shared" si="5"/>
        <v>5</v>
      </c>
      <c r="V42" s="5" t="s">
        <v>7</v>
      </c>
      <c r="W42" s="26" t="str">
        <f t="shared" si="6"/>
        <v>5</v>
      </c>
      <c r="X42" s="5" t="s">
        <v>7</v>
      </c>
      <c r="Y42" s="26" t="str">
        <f t="shared" si="7"/>
        <v>5</v>
      </c>
      <c r="Z42" s="5" t="s">
        <v>7</v>
      </c>
      <c r="AA42" s="26" t="str">
        <f t="shared" si="8"/>
        <v>5</v>
      </c>
      <c r="AB42" s="5" t="s">
        <v>7</v>
      </c>
      <c r="AC42" s="26" t="str">
        <f t="shared" si="9"/>
        <v>5</v>
      </c>
      <c r="AD42" s="5" t="s">
        <v>6</v>
      </c>
      <c r="AE42" s="26" t="str">
        <f t="shared" si="10"/>
        <v>4</v>
      </c>
      <c r="AF42" s="5" t="s">
        <v>7</v>
      </c>
      <c r="AG42" s="26" t="str">
        <f t="shared" si="11"/>
        <v>5</v>
      </c>
      <c r="AH42" s="5" t="s">
        <v>7</v>
      </c>
      <c r="AI42" s="26" t="str">
        <f t="shared" si="12"/>
        <v>5</v>
      </c>
      <c r="AJ42" s="29"/>
    </row>
    <row r="43" spans="1:36" ht="26.4">
      <c r="A43" s="119"/>
      <c r="B43" s="8" t="s">
        <v>187</v>
      </c>
      <c r="C43" s="15"/>
      <c r="N43" s="29"/>
      <c r="O43" s="6" t="s">
        <v>171</v>
      </c>
      <c r="P43" s="33" t="str">
        <f>LEFT(Q1,5)</f>
        <v>Q3.01</v>
      </c>
      <c r="Q43" s="27">
        <f>((Q2+Q3+Q4+Q5+Q6)+(Q7+Q8+Q9+Q10+Q11+Q12+Q13+Q14+Q15+Q16+Q17+Q18+Q19+Q20+Q21+Q22+Q23+Q24+Q25+Q26+Q27+Q28+Q29+Q30+Q31+Q32+Q33+Q34+Q35+Q36+Q37)+(Q38+Q39+Q40+Q41+Q42))/$F$8</f>
        <v>3.1463414634146343</v>
      </c>
      <c r="R43" s="33" t="str">
        <f>LEFT(S1,5)</f>
        <v>Q3.02</v>
      </c>
      <c r="S43" s="27">
        <f>((S2+S3+S4+S5+S6)+(S7+S8+S9+S10+S11+S12+S13+S14+S15+S16+S17+S18+S19+S20+S21+S22+S23+S24+S25+S26+S27+S28+S29+S30+S31+S32+S33+S34+S35+S36+S37)+(S38+S39+S40+S41+S42))/$F$8</f>
        <v>4.3414634146341466</v>
      </c>
      <c r="T43" s="33" t="str">
        <f>LEFT(U1,5)</f>
        <v>Q3.03</v>
      </c>
      <c r="U43" s="27">
        <f>((U2+U3+U4+U5+U6)+(U7+U8+U9+U10+U11+U12+U13+U14+U15+U16+U17+U18+U19+U20+U21+U22+U23+U24+U25+U26+U27+U28+U29+U30+U31+U32+U33+U34+U35+U36+U37)+(U38+U39+U40+U41+U42))/$F$8</f>
        <v>3.6341463414634148</v>
      </c>
      <c r="V43" s="33" t="str">
        <f>LEFT(W1,5)</f>
        <v>Q3.04</v>
      </c>
      <c r="W43" s="27">
        <f>((W2+W3+W4+W5+W6)+(W7+W8+W9+W10+W11+W12+W13+W14+W15+W16+W17+W18+W19+W20+W21+W22+W23+W24+W25+W26+W27+W28+W29+W30+W31+W32+W33+W34+W35+W36+W37)+(W38+W39+W40+W41+W42))/$F$8</f>
        <v>3.8780487804878048</v>
      </c>
      <c r="X43" s="33" t="str">
        <f>LEFT(Y1,5)</f>
        <v>Q3.05</v>
      </c>
      <c r="Y43" s="27">
        <f>((Y2+Y3+Y4+Y5+Y6)+(Y7+Y8+Y9+Y10+Y11+Y12+Y13+Y14+Y15+Y16+Y17+Y18+Y19+Y20+Y21+Y22+Y23+Y24+Y25+Y26+Y27+Y28+Y29+Y30+Y31+Y32+Y33+Y34+Y35+Y36+Y37)+(Y38+Y39+Y40+Y41+Y42))/$F$8</f>
        <v>3.9024390243902438</v>
      </c>
      <c r="Z43" s="33" t="str">
        <f>LEFT(AA1,5)</f>
        <v>Q3.06</v>
      </c>
      <c r="AA43" s="27">
        <f>((AA2+AA3+AA4+AA5+AA6)+(AA7+AA8+AA9+AA10+AA11+AA12+AA13+AA14+AA15+AA16+AA17+AA18+AA19+AA20+AA21+AA22+AA23+AA24+AA25+AA26+AA27+AA28+AA29+AA30+AA31+AA32+AA33+AA34+AA35+AA36+AA37)+(AA38+AA39+AA40+AA41+AA42))/$F$8</f>
        <v>3.3414634146341462</v>
      </c>
      <c r="AB43" s="33" t="str">
        <f>LEFT(AC1,5)</f>
        <v>Q3.07</v>
      </c>
      <c r="AC43" s="27">
        <f>((AC2+AC3+AC4+AC5+AC6)+(AC7+AC8+AC9+AC10+AC11+AC12+AC13+AC14+AC15+AC16+AC17+AC18+AC19+AC20+AC21+AC22+AC23+AC24+AC25+AC26+AC27+AC28+AC29+AC30+AC31+AC32+AC33+AC34+AC35+AC36+AC37)+(AC38+AC39+AC40+AC41+AC42))/$F$8</f>
        <v>3.9512195121951219</v>
      </c>
      <c r="AD43" s="33" t="str">
        <f>LEFT(AE1,5)</f>
        <v>Q3.08</v>
      </c>
      <c r="AE43" s="27">
        <f>((AE2+AE3+AE4+AE5+AE6)+(AE7+AE8+AE9+AE10+AE11+AE12+AE13+AE14+AE15+AE16+AE17+AE18+AE19+AE20+AE21+AE22+AE23+AE24+AE25+AE26+AE27+AE28+AE29+AE30+AE31+AE32+AE33+AE34+AE35+AE36+AE37)+(AE38+AE39+AE40+AE41+AE42))/$F$8</f>
        <v>3.6829268292682928</v>
      </c>
      <c r="AF43" s="33" t="str">
        <f>LEFT(AG1,5)</f>
        <v>Q3.09</v>
      </c>
      <c r="AG43" s="27">
        <f>((AG2+AG3+AG4+AG5+AG6)+(AG7+AG8+AG9+AG10+AG11+AG12+AG13+AG14+AG15+AG16+AG17+AG18+AG19+AG20+AG21+AG22+AG23+AG24+AG25+AG26+AG27+AG28+AG29+AG30+AG31+AG32+AG33+AG34+AG35+AG36+AG37)+(AG38+AG39+AG40+AG41+AG42))/$F$8</f>
        <v>3.7317073170731709</v>
      </c>
      <c r="AH43" s="33" t="str">
        <f>LEFT(AI1,5)</f>
        <v>Q3.10</v>
      </c>
      <c r="AI43" s="27">
        <f>((AI2+AI3+AI4+AI5+AI6)+(AI7+AI8+AI9+AI10+AI11+AI12+AI13+AI14+AI15+AI16+AI17+AI18+AI19+AI20+AI21+AI22+AI23+AI24+AI25+AI26+AI27+AI28+AI29+AI30+AI31+AI32+AI33+AI34+AI35+AI36+AI37)+(AI38+AI39+AI40+AI41+AI42))/$F$8</f>
        <v>3.7804878048780486</v>
      </c>
      <c r="AJ43" s="15"/>
    </row>
    <row r="44" spans="1:36">
      <c r="A44" s="119"/>
      <c r="B44" s="8" t="s">
        <v>188</v>
      </c>
      <c r="C44" s="15"/>
      <c r="N44" s="15"/>
      <c r="O44" s="15"/>
      <c r="P44" s="15"/>
      <c r="Q44" s="15"/>
      <c r="R44" s="15"/>
      <c r="S44" s="15"/>
      <c r="T44" s="15"/>
      <c r="U44" s="15"/>
      <c r="V44" s="15"/>
      <c r="W44" s="15"/>
      <c r="X44" s="15"/>
      <c r="Y44" s="15"/>
      <c r="Z44" s="15"/>
      <c r="AA44" s="15"/>
      <c r="AB44" s="15"/>
      <c r="AC44" s="15"/>
      <c r="AD44" s="15"/>
      <c r="AE44" s="15"/>
      <c r="AF44" s="15"/>
      <c r="AG44" s="15"/>
      <c r="AH44" s="15"/>
      <c r="AI44" s="15"/>
      <c r="AJ44" s="15"/>
    </row>
    <row r="45" spans="1:36" ht="26.4">
      <c r="A45" s="119"/>
      <c r="B45" s="8" t="s">
        <v>189</v>
      </c>
      <c r="C45" s="15"/>
      <c r="Q45" s="28"/>
    </row>
    <row r="46" spans="1:36" ht="26.4">
      <c r="A46" s="119"/>
      <c r="B46" s="8" t="s">
        <v>190</v>
      </c>
      <c r="C46" s="15"/>
      <c r="Q46" s="28"/>
    </row>
    <row r="47" spans="1:36" ht="26.4">
      <c r="A47" s="119"/>
      <c r="B47" s="8" t="s">
        <v>191</v>
      </c>
      <c r="C47" s="15"/>
      <c r="Q47" s="28"/>
    </row>
    <row r="48" spans="1:36" ht="26.4">
      <c r="A48" s="119"/>
      <c r="B48" s="8" t="s">
        <v>192</v>
      </c>
      <c r="C48" s="15"/>
      <c r="Q48" s="28"/>
    </row>
    <row r="49" spans="1:17" ht="26.4">
      <c r="A49" s="119"/>
      <c r="B49" s="8" t="s">
        <v>193</v>
      </c>
      <c r="C49" s="15"/>
      <c r="Q49" s="28"/>
    </row>
    <row r="50" spans="1:17" ht="26.4">
      <c r="A50" s="119"/>
      <c r="B50" s="8" t="s">
        <v>194</v>
      </c>
      <c r="C50" s="15"/>
      <c r="Q50" s="28"/>
    </row>
    <row r="51" spans="1:17" ht="26.4">
      <c r="A51" s="119"/>
      <c r="B51" s="8" t="s">
        <v>111</v>
      </c>
      <c r="C51" s="15"/>
      <c r="Q51" s="28"/>
    </row>
    <row r="52" spans="1:17">
      <c r="A52" s="119"/>
      <c r="B52" s="13"/>
      <c r="C52" s="15"/>
      <c r="Q52" s="28"/>
    </row>
    <row r="53" spans="1:17">
      <c r="A53" s="119"/>
      <c r="B53" s="11" t="s">
        <v>20</v>
      </c>
      <c r="C53" s="15"/>
      <c r="Q53" s="28"/>
    </row>
    <row r="54" spans="1:17" ht="79.2">
      <c r="A54" s="119"/>
      <c r="B54" s="8" t="s">
        <v>21</v>
      </c>
      <c r="C54" s="15"/>
      <c r="Q54" s="28"/>
    </row>
    <row r="55" spans="1:17" ht="26.4">
      <c r="A55" s="119"/>
      <c r="B55" s="8" t="s">
        <v>22</v>
      </c>
      <c r="C55" s="15"/>
      <c r="Q55" s="28"/>
    </row>
    <row r="56" spans="1:17">
      <c r="A56" s="119"/>
      <c r="B56" s="8" t="s">
        <v>112</v>
      </c>
      <c r="C56" s="15"/>
      <c r="Q56" s="28"/>
    </row>
    <row r="57" spans="1:17">
      <c r="A57" s="119"/>
      <c r="B57" s="8" t="s">
        <v>113</v>
      </c>
      <c r="C57" s="15"/>
      <c r="Q57" s="28"/>
    </row>
    <row r="58" spans="1:17">
      <c r="A58" s="119"/>
      <c r="B58" s="12"/>
      <c r="C58" s="15"/>
      <c r="Q58" s="28"/>
    </row>
    <row r="59" spans="1:17" ht="39" customHeight="1">
      <c r="A59" s="120"/>
      <c r="B59" s="8" t="s">
        <v>14</v>
      </c>
      <c r="C59" s="15"/>
      <c r="Q59" s="28"/>
    </row>
    <row r="60" spans="1:17">
      <c r="A60" s="14"/>
      <c r="B60" s="16"/>
      <c r="C60" s="15"/>
      <c r="Q60" s="28"/>
    </row>
    <row r="61" spans="1:17">
      <c r="Q61" s="28"/>
    </row>
    <row r="62" spans="1:17">
      <c r="Q62" s="28"/>
    </row>
    <row r="63" spans="1:17">
      <c r="Q63" s="28"/>
    </row>
    <row r="64" spans="1:17">
      <c r="Q64" s="28"/>
    </row>
    <row r="65" spans="17:17">
      <c r="Q65" s="28"/>
    </row>
    <row r="66" spans="17:17">
      <c r="Q66" s="28"/>
    </row>
    <row r="67" spans="17:17">
      <c r="Q67" s="28"/>
    </row>
    <row r="68" spans="17:17">
      <c r="Q68" s="28"/>
    </row>
    <row r="69" spans="17:17">
      <c r="Q69" s="28"/>
    </row>
    <row r="70" spans="17:17">
      <c r="Q70" s="28"/>
    </row>
    <row r="71" spans="17:17">
      <c r="Q71" s="28"/>
    </row>
    <row r="72" spans="17:17">
      <c r="Q72" s="28"/>
    </row>
    <row r="73" spans="17:17">
      <c r="Q73" s="28"/>
    </row>
    <row r="74" spans="17:17">
      <c r="Q74" s="28"/>
    </row>
    <row r="75" spans="17:17">
      <c r="Q75" s="28"/>
    </row>
    <row r="76" spans="17:17">
      <c r="Q76" s="28"/>
    </row>
    <row r="77" spans="17:17">
      <c r="Q77" s="28"/>
    </row>
    <row r="78" spans="17:17">
      <c r="Q78" s="28"/>
    </row>
  </sheetData>
  <autoFilter ref="D1:CD60" xr:uid="{A3AC49DB-DDB9-4E29-9854-17F60E0A14EB}"/>
  <mergeCells count="24">
    <mergeCell ref="AK2:AK4"/>
    <mergeCell ref="AL2:AL4"/>
    <mergeCell ref="A3:A12"/>
    <mergeCell ref="AK5:AK9"/>
    <mergeCell ref="AL5:AL9"/>
    <mergeCell ref="D8:E8"/>
    <mergeCell ref="D9:E9"/>
    <mergeCell ref="AK10:AK19"/>
    <mergeCell ref="AL10:AL19"/>
    <mergeCell ref="A15:A59"/>
    <mergeCell ref="AL20:AL24"/>
    <mergeCell ref="G8:H8"/>
    <mergeCell ref="G9:H9"/>
    <mergeCell ref="D10:E10"/>
    <mergeCell ref="D11:E11"/>
    <mergeCell ref="D12:E12"/>
    <mergeCell ref="K13:L13"/>
    <mergeCell ref="K12:L12"/>
    <mergeCell ref="AK20:AK24"/>
    <mergeCell ref="D13:E13"/>
    <mergeCell ref="G10:H10"/>
    <mergeCell ref="G11:H11"/>
    <mergeCell ref="G12:H12"/>
    <mergeCell ref="G13:H13"/>
  </mergeCells>
  <conditionalFormatting sqref="AN2:AN4">
    <cfRule type="dataBar" priority="25">
      <dataBar>
        <cfvo type="min"/>
        <cfvo type="max"/>
        <color rgb="FFFFB628"/>
      </dataBar>
      <extLst>
        <ext xmlns:x14="http://schemas.microsoft.com/office/spreadsheetml/2009/9/main" uri="{B025F937-C7B1-47D3-B67F-A62EFF666E3E}">
          <x14:id>{23D2F6D3-42FF-464B-A372-A92495E2B410}</x14:id>
        </ext>
      </extLst>
    </cfRule>
  </conditionalFormatting>
  <conditionalFormatting sqref="AN5:AN9">
    <cfRule type="dataBar" priority="24">
      <dataBar>
        <cfvo type="min"/>
        <cfvo type="max"/>
        <color rgb="FF638EC6"/>
      </dataBar>
      <extLst>
        <ext xmlns:x14="http://schemas.microsoft.com/office/spreadsheetml/2009/9/main" uri="{B025F937-C7B1-47D3-B67F-A62EFF666E3E}">
          <x14:id>{7D1096E5-D016-4407-8D27-6B200A47191C}</x14:id>
        </ext>
      </extLst>
    </cfRule>
  </conditionalFormatting>
  <conditionalFormatting sqref="AN10:AN19">
    <cfRule type="dataBar" priority="23">
      <dataBar>
        <cfvo type="min"/>
        <cfvo type="max"/>
        <color rgb="FFFF555A"/>
      </dataBar>
      <extLst>
        <ext xmlns:x14="http://schemas.microsoft.com/office/spreadsheetml/2009/9/main" uri="{B025F937-C7B1-47D3-B67F-A62EFF666E3E}">
          <x14:id>{263EA320-A670-46DB-9B68-4C61AB92CADD}</x14:id>
        </ext>
      </extLst>
    </cfRule>
  </conditionalFormatting>
  <conditionalFormatting sqref="AN20:AN24">
    <cfRule type="dataBar" priority="22">
      <dataBar>
        <cfvo type="min"/>
        <cfvo type="max"/>
        <color rgb="FF63C384"/>
      </dataBar>
      <extLst>
        <ext xmlns:x14="http://schemas.microsoft.com/office/spreadsheetml/2009/9/main" uri="{B025F937-C7B1-47D3-B67F-A62EFF666E3E}">
          <x14:id>{B31438AD-461A-49A0-9B17-19D412F6B32D}</x14:id>
        </ext>
      </extLst>
    </cfRule>
  </conditionalFormatting>
  <conditionalFormatting sqref="AT2:AU11">
    <cfRule type="dataBar" priority="21">
      <dataBar>
        <cfvo type="min"/>
        <cfvo type="max"/>
        <color rgb="FF63C384"/>
      </dataBar>
      <extLst>
        <ext xmlns:x14="http://schemas.microsoft.com/office/spreadsheetml/2009/9/main" uri="{B025F937-C7B1-47D3-B67F-A62EFF666E3E}">
          <x14:id>{2A4422E3-432A-4CB1-AE9C-6DB75D873947}</x14:id>
        </ext>
      </extLst>
    </cfRule>
  </conditionalFormatting>
  <conditionalFormatting sqref="AY2:AY6">
    <cfRule type="dataBar" priority="19">
      <dataBar>
        <cfvo type="min"/>
        <cfvo type="max"/>
        <color rgb="FFFFB628"/>
      </dataBar>
      <extLst>
        <ext xmlns:x14="http://schemas.microsoft.com/office/spreadsheetml/2009/9/main" uri="{B025F937-C7B1-47D3-B67F-A62EFF666E3E}">
          <x14:id>{CB8BE9AB-257E-423F-94EE-F430DB236700}</x14:id>
        </ext>
      </extLst>
    </cfRule>
  </conditionalFormatting>
  <conditionalFormatting sqref="BA2:BA6">
    <cfRule type="dataBar" priority="18">
      <dataBar>
        <cfvo type="min"/>
        <cfvo type="max"/>
        <color rgb="FFFFB628"/>
      </dataBar>
      <extLst>
        <ext xmlns:x14="http://schemas.microsoft.com/office/spreadsheetml/2009/9/main" uri="{B025F937-C7B1-47D3-B67F-A62EFF666E3E}">
          <x14:id>{E8C5706A-7A7F-4A5D-9395-2697FE78184C}</x14:id>
        </ext>
      </extLst>
    </cfRule>
  </conditionalFormatting>
  <conditionalFormatting sqref="BC2:BC6">
    <cfRule type="dataBar" priority="17">
      <dataBar>
        <cfvo type="min"/>
        <cfvo type="max"/>
        <color rgb="FFFFB628"/>
      </dataBar>
      <extLst>
        <ext xmlns:x14="http://schemas.microsoft.com/office/spreadsheetml/2009/9/main" uri="{B025F937-C7B1-47D3-B67F-A62EFF666E3E}">
          <x14:id>{12B925FE-6EFB-4543-869D-D941823A2A39}</x14:id>
        </ext>
      </extLst>
    </cfRule>
  </conditionalFormatting>
  <conditionalFormatting sqref="BE2:BE6">
    <cfRule type="dataBar" priority="16">
      <dataBar>
        <cfvo type="min"/>
        <cfvo type="max"/>
        <color rgb="FFFFB628"/>
      </dataBar>
      <extLst>
        <ext xmlns:x14="http://schemas.microsoft.com/office/spreadsheetml/2009/9/main" uri="{B025F937-C7B1-47D3-B67F-A62EFF666E3E}">
          <x14:id>{824F4AED-B33E-4A28-AE41-FF5AA6D2DCD6}</x14:id>
        </ext>
      </extLst>
    </cfRule>
  </conditionalFormatting>
  <conditionalFormatting sqref="BG2:BG6">
    <cfRule type="dataBar" priority="15">
      <dataBar>
        <cfvo type="min"/>
        <cfvo type="max"/>
        <color rgb="FFFFB628"/>
      </dataBar>
      <extLst>
        <ext xmlns:x14="http://schemas.microsoft.com/office/spreadsheetml/2009/9/main" uri="{B025F937-C7B1-47D3-B67F-A62EFF666E3E}">
          <x14:id>{70699DF1-B75B-4F0A-8B1A-AFC5040E517D}</x14:id>
        </ext>
      </extLst>
    </cfRule>
  </conditionalFormatting>
  <conditionalFormatting sqref="BI2:BI6">
    <cfRule type="dataBar" priority="14">
      <dataBar>
        <cfvo type="min"/>
        <cfvo type="max"/>
        <color rgb="FFFFB628"/>
      </dataBar>
      <extLst>
        <ext xmlns:x14="http://schemas.microsoft.com/office/spreadsheetml/2009/9/main" uri="{B025F937-C7B1-47D3-B67F-A62EFF666E3E}">
          <x14:id>{BC9A406C-CD23-4767-A0E6-B9EA6BFD0B0F}</x14:id>
        </ext>
      </extLst>
    </cfRule>
  </conditionalFormatting>
  <conditionalFormatting sqref="BK2:BK6">
    <cfRule type="dataBar" priority="13">
      <dataBar>
        <cfvo type="min"/>
        <cfvo type="max"/>
        <color rgb="FFFFB628"/>
      </dataBar>
      <extLst>
        <ext xmlns:x14="http://schemas.microsoft.com/office/spreadsheetml/2009/9/main" uri="{B025F937-C7B1-47D3-B67F-A62EFF666E3E}">
          <x14:id>{F49A827F-DE55-41D1-A81A-FC07B34A35A4}</x14:id>
        </ext>
      </extLst>
    </cfRule>
  </conditionalFormatting>
  <conditionalFormatting sqref="BM2:BM6">
    <cfRule type="dataBar" priority="12">
      <dataBar>
        <cfvo type="min"/>
        <cfvo type="max"/>
        <color rgb="FFFFB628"/>
      </dataBar>
      <extLst>
        <ext xmlns:x14="http://schemas.microsoft.com/office/spreadsheetml/2009/9/main" uri="{B025F937-C7B1-47D3-B67F-A62EFF666E3E}">
          <x14:id>{4CE2211E-ACDF-4B47-883D-F015E8B6D64A}</x14:id>
        </ext>
      </extLst>
    </cfRule>
  </conditionalFormatting>
  <conditionalFormatting sqref="BO2:BO6">
    <cfRule type="dataBar" priority="11">
      <dataBar>
        <cfvo type="min"/>
        <cfvo type="max"/>
        <color rgb="FFFFB628"/>
      </dataBar>
      <extLst>
        <ext xmlns:x14="http://schemas.microsoft.com/office/spreadsheetml/2009/9/main" uri="{B025F937-C7B1-47D3-B67F-A62EFF666E3E}">
          <x14:id>{2078696B-0EBC-4383-A3B2-8308E7AD7A4C}</x14:id>
        </ext>
      </extLst>
    </cfRule>
  </conditionalFormatting>
  <conditionalFormatting sqref="BQ2:BQ6">
    <cfRule type="dataBar" priority="10">
      <dataBar>
        <cfvo type="min"/>
        <cfvo type="max"/>
        <color rgb="FFFFB628"/>
      </dataBar>
      <extLst>
        <ext xmlns:x14="http://schemas.microsoft.com/office/spreadsheetml/2009/9/main" uri="{B025F937-C7B1-47D3-B67F-A62EFF666E3E}">
          <x14:id>{ECBADD4B-0FAA-41F1-A237-D3E681975FEA}</x14:id>
        </ext>
      </extLst>
    </cfRule>
  </conditionalFormatting>
  <conditionalFormatting sqref="BU2 BW2 BY2 CA2 CC2">
    <cfRule type="dataBar" priority="20">
      <dataBar>
        <cfvo type="min"/>
        <cfvo type="max"/>
        <color rgb="FF63C384"/>
      </dataBar>
      <extLst>
        <ext xmlns:x14="http://schemas.microsoft.com/office/spreadsheetml/2009/9/main" uri="{B025F937-C7B1-47D3-B67F-A62EFF666E3E}">
          <x14:id>{A1C41CDB-146E-43D7-A7D9-5ECCA28CCD5E}</x14:id>
        </ext>
      </extLst>
    </cfRule>
  </conditionalFormatting>
  <conditionalFormatting sqref="BU3 BW3 BY3 CA3 CC3">
    <cfRule type="dataBar" priority="9">
      <dataBar>
        <cfvo type="min"/>
        <cfvo type="max"/>
        <color rgb="FF63C384"/>
      </dataBar>
      <extLst>
        <ext xmlns:x14="http://schemas.microsoft.com/office/spreadsheetml/2009/9/main" uri="{B025F937-C7B1-47D3-B67F-A62EFF666E3E}">
          <x14:id>{5FCA6420-0CFA-493F-AD88-7EBA162431ED}</x14:id>
        </ext>
      </extLst>
    </cfRule>
  </conditionalFormatting>
  <conditionalFormatting sqref="BU4 BW4 BY4 CA4 CC4">
    <cfRule type="dataBar" priority="8">
      <dataBar>
        <cfvo type="min"/>
        <cfvo type="max"/>
        <color rgb="FF63C384"/>
      </dataBar>
      <extLst>
        <ext xmlns:x14="http://schemas.microsoft.com/office/spreadsheetml/2009/9/main" uri="{B025F937-C7B1-47D3-B67F-A62EFF666E3E}">
          <x14:id>{B31D7A7A-8692-4EBC-AD69-99C80DD8AB04}</x14:id>
        </ext>
      </extLst>
    </cfRule>
  </conditionalFormatting>
  <conditionalFormatting sqref="BU5 BW5 BY5 CA5 CC5">
    <cfRule type="dataBar" priority="7">
      <dataBar>
        <cfvo type="min"/>
        <cfvo type="max"/>
        <color rgb="FF63C384"/>
      </dataBar>
      <extLst>
        <ext xmlns:x14="http://schemas.microsoft.com/office/spreadsheetml/2009/9/main" uri="{B025F937-C7B1-47D3-B67F-A62EFF666E3E}">
          <x14:id>{77694D2C-6267-44AF-92F3-2AFCC9B40606}</x14:id>
        </ext>
      </extLst>
    </cfRule>
  </conditionalFormatting>
  <conditionalFormatting sqref="BU6 BW6 BY6 CA6 CC6">
    <cfRule type="dataBar" priority="6">
      <dataBar>
        <cfvo type="min"/>
        <cfvo type="max"/>
        <color rgb="FF63C384"/>
      </dataBar>
      <extLst>
        <ext xmlns:x14="http://schemas.microsoft.com/office/spreadsheetml/2009/9/main" uri="{B025F937-C7B1-47D3-B67F-A62EFF666E3E}">
          <x14:id>{D00695D1-C797-44D2-8689-FB7B1C5A12B3}</x14:id>
        </ext>
      </extLst>
    </cfRule>
  </conditionalFormatting>
  <conditionalFormatting sqref="BU7 BW7 BY7 CA7 CC7">
    <cfRule type="dataBar" priority="5">
      <dataBar>
        <cfvo type="min"/>
        <cfvo type="max"/>
        <color rgb="FF63C384"/>
      </dataBar>
      <extLst>
        <ext xmlns:x14="http://schemas.microsoft.com/office/spreadsheetml/2009/9/main" uri="{B025F937-C7B1-47D3-B67F-A62EFF666E3E}">
          <x14:id>{F3712F60-7C5C-42C7-9AF8-E67BFBB97974}</x14:id>
        </ext>
      </extLst>
    </cfRule>
  </conditionalFormatting>
  <conditionalFormatting sqref="BU8 BW8 BY8 CA8 CC8">
    <cfRule type="dataBar" priority="4">
      <dataBar>
        <cfvo type="min"/>
        <cfvo type="max"/>
        <color rgb="FF63C384"/>
      </dataBar>
      <extLst>
        <ext xmlns:x14="http://schemas.microsoft.com/office/spreadsheetml/2009/9/main" uri="{B025F937-C7B1-47D3-B67F-A62EFF666E3E}">
          <x14:id>{4578FF29-23B5-4DCE-9544-8D23AA0ED288}</x14:id>
        </ext>
      </extLst>
    </cfRule>
  </conditionalFormatting>
  <conditionalFormatting sqref="BU9 BW9 BY9 CA9 CC9">
    <cfRule type="dataBar" priority="3">
      <dataBar>
        <cfvo type="min"/>
        <cfvo type="max"/>
        <color rgb="FF63C384"/>
      </dataBar>
      <extLst>
        <ext xmlns:x14="http://schemas.microsoft.com/office/spreadsheetml/2009/9/main" uri="{B025F937-C7B1-47D3-B67F-A62EFF666E3E}">
          <x14:id>{251F92C0-5AA6-48DE-8B2B-D2E452736D26}</x14:id>
        </ext>
      </extLst>
    </cfRule>
  </conditionalFormatting>
  <conditionalFormatting sqref="BU11 BW11 BY11 CA11 CC11">
    <cfRule type="dataBar" priority="1">
      <dataBar>
        <cfvo type="min"/>
        <cfvo type="max"/>
        <color rgb="FF63C384"/>
      </dataBar>
      <extLst>
        <ext xmlns:x14="http://schemas.microsoft.com/office/spreadsheetml/2009/9/main" uri="{B025F937-C7B1-47D3-B67F-A62EFF666E3E}">
          <x14:id>{34217AF7-FE05-4FD9-98FA-A482AA7CE2B8}</x14:id>
        </ext>
      </extLst>
    </cfRule>
  </conditionalFormatting>
  <conditionalFormatting sqref="BW10 BU10 BY10 CA10 CC10">
    <cfRule type="dataBar" priority="2">
      <dataBar>
        <cfvo type="min"/>
        <cfvo type="max"/>
        <color rgb="FF63C384"/>
      </dataBar>
      <extLst>
        <ext xmlns:x14="http://schemas.microsoft.com/office/spreadsheetml/2009/9/main" uri="{B025F937-C7B1-47D3-B67F-A62EFF666E3E}">
          <x14:id>{09D72A24-EF48-4AB2-86E9-B805F708B6DC}</x14:id>
        </ext>
      </extLst>
    </cfRule>
  </conditionalFormatting>
  <dataValidations count="1">
    <dataValidation type="whole" allowBlank="1" showInputMessage="1" showErrorMessage="1" sqref="Q2:Q42" xr:uid="{C0BCCBF3-074C-439D-A3A2-8A38172CC1F2}">
      <formula1>1</formula1>
      <formula2>5</formula2>
    </dataValidation>
  </dataValidations>
  <hyperlinks>
    <hyperlink ref="B14" r:id="rId1" location="gid=1891099184" xr:uid="{CAD97825-8750-427F-B5BE-D481CFB382F8}"/>
    <hyperlink ref="B13" r:id="rId2" xr:uid="{1F6650CE-D841-4D70-B3B4-1989F1EB71D7}"/>
  </hyperlinks>
  <pageMargins left="0.7" right="0.7" top="0.75" bottom="0.75" header="0.3" footer="0.3"/>
  <pageSetup orientation="portrait" r:id="rId3"/>
  <extLst>
    <ext xmlns:x14="http://schemas.microsoft.com/office/spreadsheetml/2009/9/main" uri="{78C0D931-6437-407d-A8EE-F0AAD7539E65}">
      <x14:conditionalFormattings>
        <x14:conditionalFormatting xmlns:xm="http://schemas.microsoft.com/office/excel/2006/main">
          <x14:cfRule type="dataBar" id="{23D2F6D3-42FF-464B-A372-A92495E2B410}">
            <x14:dataBar minLength="0" maxLength="100" border="1" negativeBarBorderColorSameAsPositive="0">
              <x14:cfvo type="autoMin"/>
              <x14:cfvo type="autoMax"/>
              <x14:borderColor rgb="FFFFB628"/>
              <x14:negativeFillColor rgb="FFFF0000"/>
              <x14:negativeBorderColor rgb="FFFF0000"/>
              <x14:axisColor rgb="FF000000"/>
            </x14:dataBar>
          </x14:cfRule>
          <xm:sqref>AN2:AN4</xm:sqref>
        </x14:conditionalFormatting>
        <x14:conditionalFormatting xmlns:xm="http://schemas.microsoft.com/office/excel/2006/main">
          <x14:cfRule type="dataBar" id="{7D1096E5-D016-4407-8D27-6B200A47191C}">
            <x14:dataBar minLength="0" maxLength="100" border="1" negativeBarBorderColorSameAsPositive="0">
              <x14:cfvo type="autoMin"/>
              <x14:cfvo type="autoMax"/>
              <x14:borderColor rgb="FF638EC6"/>
              <x14:negativeFillColor rgb="FFFF0000"/>
              <x14:negativeBorderColor rgb="FFFF0000"/>
              <x14:axisColor rgb="FF000000"/>
            </x14:dataBar>
          </x14:cfRule>
          <xm:sqref>AN5:AN9</xm:sqref>
        </x14:conditionalFormatting>
        <x14:conditionalFormatting xmlns:xm="http://schemas.microsoft.com/office/excel/2006/main">
          <x14:cfRule type="dataBar" id="{263EA320-A670-46DB-9B68-4C61AB92CADD}">
            <x14:dataBar minLength="0" maxLength="100" border="1" negativeBarBorderColorSameAsPositive="0">
              <x14:cfvo type="autoMin"/>
              <x14:cfvo type="autoMax"/>
              <x14:borderColor rgb="FFFF555A"/>
              <x14:negativeFillColor rgb="FFFF0000"/>
              <x14:negativeBorderColor rgb="FFFF0000"/>
              <x14:axisColor rgb="FF000000"/>
            </x14:dataBar>
          </x14:cfRule>
          <xm:sqref>AN10:AN19</xm:sqref>
        </x14:conditionalFormatting>
        <x14:conditionalFormatting xmlns:xm="http://schemas.microsoft.com/office/excel/2006/main">
          <x14:cfRule type="dataBar" id="{B31438AD-461A-49A0-9B17-19D412F6B32D}">
            <x14:dataBar minLength="0" maxLength="100" border="1" negativeBarBorderColorSameAsPositive="0">
              <x14:cfvo type="autoMin"/>
              <x14:cfvo type="autoMax"/>
              <x14:borderColor rgb="FF63C384"/>
              <x14:negativeFillColor rgb="FFFF0000"/>
              <x14:negativeBorderColor rgb="FFFF0000"/>
              <x14:axisColor rgb="FF000000"/>
            </x14:dataBar>
          </x14:cfRule>
          <xm:sqref>AN20:AN24</xm:sqref>
        </x14:conditionalFormatting>
        <x14:conditionalFormatting xmlns:xm="http://schemas.microsoft.com/office/excel/2006/main">
          <x14:cfRule type="dataBar" id="{2A4422E3-432A-4CB1-AE9C-6DB75D873947}">
            <x14:dataBar minLength="0" maxLength="100" border="1" negativeBarBorderColorSameAsPositive="0">
              <x14:cfvo type="autoMin"/>
              <x14:cfvo type="autoMax"/>
              <x14:borderColor rgb="FF63C384"/>
              <x14:negativeFillColor rgb="FFFF0000"/>
              <x14:negativeBorderColor rgb="FFFF0000"/>
              <x14:axisColor rgb="FF000000"/>
            </x14:dataBar>
          </x14:cfRule>
          <xm:sqref>AT2:AU11</xm:sqref>
        </x14:conditionalFormatting>
        <x14:conditionalFormatting xmlns:xm="http://schemas.microsoft.com/office/excel/2006/main">
          <x14:cfRule type="dataBar" id="{CB8BE9AB-257E-423F-94EE-F430DB236700}">
            <x14:dataBar minLength="0" maxLength="100" border="1" negativeBarBorderColorSameAsPositive="0">
              <x14:cfvo type="autoMin"/>
              <x14:cfvo type="autoMax"/>
              <x14:borderColor rgb="FFFFB628"/>
              <x14:negativeFillColor rgb="FFFF0000"/>
              <x14:negativeBorderColor rgb="FFFF0000"/>
              <x14:axisColor rgb="FF000000"/>
            </x14:dataBar>
          </x14:cfRule>
          <xm:sqref>AY2:AY6</xm:sqref>
        </x14:conditionalFormatting>
        <x14:conditionalFormatting xmlns:xm="http://schemas.microsoft.com/office/excel/2006/main">
          <x14:cfRule type="dataBar" id="{E8C5706A-7A7F-4A5D-9395-2697FE78184C}">
            <x14:dataBar minLength="0" maxLength="100" border="1" negativeBarBorderColorSameAsPositive="0">
              <x14:cfvo type="autoMin"/>
              <x14:cfvo type="autoMax"/>
              <x14:borderColor rgb="FFFFB628"/>
              <x14:negativeFillColor rgb="FFFF0000"/>
              <x14:negativeBorderColor rgb="FFFF0000"/>
              <x14:axisColor rgb="FF000000"/>
            </x14:dataBar>
          </x14:cfRule>
          <xm:sqref>BA2:BA6</xm:sqref>
        </x14:conditionalFormatting>
        <x14:conditionalFormatting xmlns:xm="http://schemas.microsoft.com/office/excel/2006/main">
          <x14:cfRule type="dataBar" id="{12B925FE-6EFB-4543-869D-D941823A2A39}">
            <x14:dataBar minLength="0" maxLength="100" border="1" negativeBarBorderColorSameAsPositive="0">
              <x14:cfvo type="autoMin"/>
              <x14:cfvo type="autoMax"/>
              <x14:borderColor rgb="FFFFB628"/>
              <x14:negativeFillColor rgb="FFFF0000"/>
              <x14:negativeBorderColor rgb="FFFF0000"/>
              <x14:axisColor rgb="FF000000"/>
            </x14:dataBar>
          </x14:cfRule>
          <xm:sqref>BC2:BC6</xm:sqref>
        </x14:conditionalFormatting>
        <x14:conditionalFormatting xmlns:xm="http://schemas.microsoft.com/office/excel/2006/main">
          <x14:cfRule type="dataBar" id="{824F4AED-B33E-4A28-AE41-FF5AA6D2DCD6}">
            <x14:dataBar minLength="0" maxLength="100" border="1" negativeBarBorderColorSameAsPositive="0">
              <x14:cfvo type="autoMin"/>
              <x14:cfvo type="autoMax"/>
              <x14:borderColor rgb="FFFFB628"/>
              <x14:negativeFillColor rgb="FFFF0000"/>
              <x14:negativeBorderColor rgb="FFFF0000"/>
              <x14:axisColor rgb="FF000000"/>
            </x14:dataBar>
          </x14:cfRule>
          <xm:sqref>BE2:BE6</xm:sqref>
        </x14:conditionalFormatting>
        <x14:conditionalFormatting xmlns:xm="http://schemas.microsoft.com/office/excel/2006/main">
          <x14:cfRule type="dataBar" id="{70699DF1-B75B-4F0A-8B1A-AFC5040E517D}">
            <x14:dataBar minLength="0" maxLength="100" border="1" negativeBarBorderColorSameAsPositive="0">
              <x14:cfvo type="autoMin"/>
              <x14:cfvo type="autoMax"/>
              <x14:borderColor rgb="FFFFB628"/>
              <x14:negativeFillColor rgb="FFFF0000"/>
              <x14:negativeBorderColor rgb="FFFF0000"/>
              <x14:axisColor rgb="FF000000"/>
            </x14:dataBar>
          </x14:cfRule>
          <xm:sqref>BG2:BG6</xm:sqref>
        </x14:conditionalFormatting>
        <x14:conditionalFormatting xmlns:xm="http://schemas.microsoft.com/office/excel/2006/main">
          <x14:cfRule type="dataBar" id="{BC9A406C-CD23-4767-A0E6-B9EA6BFD0B0F}">
            <x14:dataBar minLength="0" maxLength="100" border="1" negativeBarBorderColorSameAsPositive="0">
              <x14:cfvo type="autoMin"/>
              <x14:cfvo type="autoMax"/>
              <x14:borderColor rgb="FFFFB628"/>
              <x14:negativeFillColor rgb="FFFF0000"/>
              <x14:negativeBorderColor rgb="FFFF0000"/>
              <x14:axisColor rgb="FF000000"/>
            </x14:dataBar>
          </x14:cfRule>
          <xm:sqref>BI2:BI6</xm:sqref>
        </x14:conditionalFormatting>
        <x14:conditionalFormatting xmlns:xm="http://schemas.microsoft.com/office/excel/2006/main">
          <x14:cfRule type="dataBar" id="{F49A827F-DE55-41D1-A81A-FC07B34A35A4}">
            <x14:dataBar minLength="0" maxLength="100" border="1" negativeBarBorderColorSameAsPositive="0">
              <x14:cfvo type="autoMin"/>
              <x14:cfvo type="autoMax"/>
              <x14:borderColor rgb="FFFFB628"/>
              <x14:negativeFillColor rgb="FFFF0000"/>
              <x14:negativeBorderColor rgb="FFFF0000"/>
              <x14:axisColor rgb="FF000000"/>
            </x14:dataBar>
          </x14:cfRule>
          <xm:sqref>BK2:BK6</xm:sqref>
        </x14:conditionalFormatting>
        <x14:conditionalFormatting xmlns:xm="http://schemas.microsoft.com/office/excel/2006/main">
          <x14:cfRule type="dataBar" id="{4CE2211E-ACDF-4B47-883D-F015E8B6D64A}">
            <x14:dataBar minLength="0" maxLength="100" border="1" negativeBarBorderColorSameAsPositive="0">
              <x14:cfvo type="autoMin"/>
              <x14:cfvo type="autoMax"/>
              <x14:borderColor rgb="FFFFB628"/>
              <x14:negativeFillColor rgb="FFFF0000"/>
              <x14:negativeBorderColor rgb="FFFF0000"/>
              <x14:axisColor rgb="FF000000"/>
            </x14:dataBar>
          </x14:cfRule>
          <xm:sqref>BM2:BM6</xm:sqref>
        </x14:conditionalFormatting>
        <x14:conditionalFormatting xmlns:xm="http://schemas.microsoft.com/office/excel/2006/main">
          <x14:cfRule type="dataBar" id="{2078696B-0EBC-4383-A3B2-8308E7AD7A4C}">
            <x14:dataBar minLength="0" maxLength="100" border="1" negativeBarBorderColorSameAsPositive="0">
              <x14:cfvo type="autoMin"/>
              <x14:cfvo type="autoMax"/>
              <x14:borderColor rgb="FFFFB628"/>
              <x14:negativeFillColor rgb="FFFF0000"/>
              <x14:negativeBorderColor rgb="FFFF0000"/>
              <x14:axisColor rgb="FF000000"/>
            </x14:dataBar>
          </x14:cfRule>
          <xm:sqref>BO2:BO6</xm:sqref>
        </x14:conditionalFormatting>
        <x14:conditionalFormatting xmlns:xm="http://schemas.microsoft.com/office/excel/2006/main">
          <x14:cfRule type="dataBar" id="{ECBADD4B-0FAA-41F1-A237-D3E681975FEA}">
            <x14:dataBar minLength="0" maxLength="100" border="1" negativeBarBorderColorSameAsPositive="0">
              <x14:cfvo type="autoMin"/>
              <x14:cfvo type="autoMax"/>
              <x14:borderColor rgb="FFFFB628"/>
              <x14:negativeFillColor rgb="FFFF0000"/>
              <x14:negativeBorderColor rgb="FFFF0000"/>
              <x14:axisColor rgb="FF000000"/>
            </x14:dataBar>
          </x14:cfRule>
          <xm:sqref>BQ2:BQ6</xm:sqref>
        </x14:conditionalFormatting>
        <x14:conditionalFormatting xmlns:xm="http://schemas.microsoft.com/office/excel/2006/main">
          <x14:cfRule type="dataBar" id="{A1C41CDB-146E-43D7-A7D9-5ECCA28CCD5E}">
            <x14:dataBar minLength="0" maxLength="100" border="1" negativeBarBorderColorSameAsPositive="0">
              <x14:cfvo type="autoMin"/>
              <x14:cfvo type="autoMax"/>
              <x14:borderColor rgb="FF63C384"/>
              <x14:negativeFillColor rgb="FFFF0000"/>
              <x14:negativeBorderColor rgb="FFFF0000"/>
              <x14:axisColor rgb="FF000000"/>
            </x14:dataBar>
          </x14:cfRule>
          <xm:sqref>BU2 BW2 BY2 CA2 CC2</xm:sqref>
        </x14:conditionalFormatting>
        <x14:conditionalFormatting xmlns:xm="http://schemas.microsoft.com/office/excel/2006/main">
          <x14:cfRule type="dataBar" id="{5FCA6420-0CFA-493F-AD88-7EBA162431ED}">
            <x14:dataBar minLength="0" maxLength="100" border="1" negativeBarBorderColorSameAsPositive="0">
              <x14:cfvo type="autoMin"/>
              <x14:cfvo type="autoMax"/>
              <x14:borderColor rgb="FF63C384"/>
              <x14:negativeFillColor rgb="FFFF0000"/>
              <x14:negativeBorderColor rgb="FFFF0000"/>
              <x14:axisColor rgb="FF000000"/>
            </x14:dataBar>
          </x14:cfRule>
          <xm:sqref>BU3 BW3 BY3 CA3 CC3</xm:sqref>
        </x14:conditionalFormatting>
        <x14:conditionalFormatting xmlns:xm="http://schemas.microsoft.com/office/excel/2006/main">
          <x14:cfRule type="dataBar" id="{B31D7A7A-8692-4EBC-AD69-99C80DD8AB04}">
            <x14:dataBar minLength="0" maxLength="100" border="1" negativeBarBorderColorSameAsPositive="0">
              <x14:cfvo type="autoMin"/>
              <x14:cfvo type="autoMax"/>
              <x14:borderColor rgb="FF63C384"/>
              <x14:negativeFillColor rgb="FFFF0000"/>
              <x14:negativeBorderColor rgb="FFFF0000"/>
              <x14:axisColor rgb="FF000000"/>
            </x14:dataBar>
          </x14:cfRule>
          <xm:sqref>BU4 BW4 BY4 CA4 CC4</xm:sqref>
        </x14:conditionalFormatting>
        <x14:conditionalFormatting xmlns:xm="http://schemas.microsoft.com/office/excel/2006/main">
          <x14:cfRule type="dataBar" id="{77694D2C-6267-44AF-92F3-2AFCC9B40606}">
            <x14:dataBar minLength="0" maxLength="100" border="1" negativeBarBorderColorSameAsPositive="0">
              <x14:cfvo type="autoMin"/>
              <x14:cfvo type="autoMax"/>
              <x14:borderColor rgb="FF63C384"/>
              <x14:negativeFillColor rgb="FFFF0000"/>
              <x14:negativeBorderColor rgb="FFFF0000"/>
              <x14:axisColor rgb="FF000000"/>
            </x14:dataBar>
          </x14:cfRule>
          <xm:sqref>BU5 BW5 BY5 CA5 CC5</xm:sqref>
        </x14:conditionalFormatting>
        <x14:conditionalFormatting xmlns:xm="http://schemas.microsoft.com/office/excel/2006/main">
          <x14:cfRule type="dataBar" id="{D00695D1-C797-44D2-8689-FB7B1C5A12B3}">
            <x14:dataBar minLength="0" maxLength="100" border="1" negativeBarBorderColorSameAsPositive="0">
              <x14:cfvo type="autoMin"/>
              <x14:cfvo type="autoMax"/>
              <x14:borderColor rgb="FF63C384"/>
              <x14:negativeFillColor rgb="FFFF0000"/>
              <x14:negativeBorderColor rgb="FFFF0000"/>
              <x14:axisColor rgb="FF000000"/>
            </x14:dataBar>
          </x14:cfRule>
          <xm:sqref>BU6 BW6 BY6 CA6 CC6</xm:sqref>
        </x14:conditionalFormatting>
        <x14:conditionalFormatting xmlns:xm="http://schemas.microsoft.com/office/excel/2006/main">
          <x14:cfRule type="dataBar" id="{F3712F60-7C5C-42C7-9AF8-E67BFBB97974}">
            <x14:dataBar minLength="0" maxLength="100" border="1" negativeBarBorderColorSameAsPositive="0">
              <x14:cfvo type="autoMin"/>
              <x14:cfvo type="autoMax"/>
              <x14:borderColor rgb="FF63C384"/>
              <x14:negativeFillColor rgb="FFFF0000"/>
              <x14:negativeBorderColor rgb="FFFF0000"/>
              <x14:axisColor rgb="FF000000"/>
            </x14:dataBar>
          </x14:cfRule>
          <xm:sqref>BU7 BW7 BY7 CA7 CC7</xm:sqref>
        </x14:conditionalFormatting>
        <x14:conditionalFormatting xmlns:xm="http://schemas.microsoft.com/office/excel/2006/main">
          <x14:cfRule type="dataBar" id="{4578FF29-23B5-4DCE-9544-8D23AA0ED288}">
            <x14:dataBar minLength="0" maxLength="100" border="1" negativeBarBorderColorSameAsPositive="0">
              <x14:cfvo type="autoMin"/>
              <x14:cfvo type="autoMax"/>
              <x14:borderColor rgb="FF63C384"/>
              <x14:negativeFillColor rgb="FFFF0000"/>
              <x14:negativeBorderColor rgb="FFFF0000"/>
              <x14:axisColor rgb="FF000000"/>
            </x14:dataBar>
          </x14:cfRule>
          <xm:sqref>BU8 BW8 BY8 CA8 CC8</xm:sqref>
        </x14:conditionalFormatting>
        <x14:conditionalFormatting xmlns:xm="http://schemas.microsoft.com/office/excel/2006/main">
          <x14:cfRule type="dataBar" id="{251F92C0-5AA6-48DE-8B2B-D2E452736D26}">
            <x14:dataBar minLength="0" maxLength="100" border="1" negativeBarBorderColorSameAsPositive="0">
              <x14:cfvo type="autoMin"/>
              <x14:cfvo type="autoMax"/>
              <x14:borderColor rgb="FF63C384"/>
              <x14:negativeFillColor rgb="FFFF0000"/>
              <x14:negativeBorderColor rgb="FFFF0000"/>
              <x14:axisColor rgb="FF000000"/>
            </x14:dataBar>
          </x14:cfRule>
          <xm:sqref>BU9 BW9 BY9 CA9 CC9</xm:sqref>
        </x14:conditionalFormatting>
        <x14:conditionalFormatting xmlns:xm="http://schemas.microsoft.com/office/excel/2006/main">
          <x14:cfRule type="dataBar" id="{34217AF7-FE05-4FD9-98FA-A482AA7CE2B8}">
            <x14:dataBar minLength="0" maxLength="100" border="1" negativeBarBorderColorSameAsPositive="0">
              <x14:cfvo type="autoMin"/>
              <x14:cfvo type="autoMax"/>
              <x14:borderColor rgb="FF63C384"/>
              <x14:negativeFillColor rgb="FFFF0000"/>
              <x14:negativeBorderColor rgb="FFFF0000"/>
              <x14:axisColor rgb="FF000000"/>
            </x14:dataBar>
          </x14:cfRule>
          <xm:sqref>BU11 BW11 BY11 CA11 CC11</xm:sqref>
        </x14:conditionalFormatting>
        <x14:conditionalFormatting xmlns:xm="http://schemas.microsoft.com/office/excel/2006/main">
          <x14:cfRule type="dataBar" id="{09D72A24-EF48-4AB2-86E9-B805F708B6DC}">
            <x14:dataBar minLength="0" maxLength="100" border="1" negativeBarBorderColorSameAsPositive="0">
              <x14:cfvo type="autoMin"/>
              <x14:cfvo type="autoMax"/>
              <x14:borderColor rgb="FF63C384"/>
              <x14:negativeFillColor rgb="FFFF0000"/>
              <x14:negativeBorderColor rgb="FFFF0000"/>
              <x14:axisColor rgb="FF000000"/>
            </x14:dataBar>
          </x14:cfRule>
          <xm:sqref>BW10 BU10 BY10 CA10 CC10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A91FE-02BD-406E-B152-F190D2FE1F4E}">
  <dimension ref="A1:CI75"/>
  <sheetViews>
    <sheetView topLeftCell="R1" zoomScale="70" zoomScaleNormal="70" workbookViewId="0">
      <pane ySplit="1" topLeftCell="A2" activePane="bottomLeft" state="frozen"/>
      <selection pane="bottomLeft" activeCell="L16" sqref="L16"/>
    </sheetView>
  </sheetViews>
  <sheetFormatPr defaultRowHeight="13.2"/>
  <cols>
    <col min="1" max="1" width="17.5546875" style="2" customWidth="1"/>
    <col min="2" max="2" width="67.44140625" style="3" customWidth="1"/>
    <col min="3" max="3" width="2.77734375" style="1" customWidth="1"/>
    <col min="4" max="4" width="14.44140625" style="1" customWidth="1"/>
    <col min="5" max="5" width="15.88671875" style="1" customWidth="1"/>
    <col min="6" max="6" width="16.109375" style="1" bestFit="1" customWidth="1"/>
    <col min="7" max="7" width="15" style="1" customWidth="1"/>
    <col min="8" max="8" width="15.109375" style="1" customWidth="1"/>
    <col min="9" max="9" width="15.21875" style="1" customWidth="1"/>
    <col min="10" max="10" width="2.88671875" style="1" customWidth="1"/>
    <col min="11" max="11" width="22.33203125" style="1" customWidth="1"/>
    <col min="12" max="12" width="23" style="1" bestFit="1" customWidth="1"/>
    <col min="13" max="13" width="23.109375" style="1" bestFit="1" customWidth="1"/>
    <col min="14" max="14" width="2.77734375" style="1" customWidth="1"/>
    <col min="15" max="15" width="22.44140625" style="1" customWidth="1"/>
    <col min="16" max="25" width="10.77734375" style="1" customWidth="1"/>
    <col min="26" max="35" width="8.6640625" style="1" customWidth="1"/>
    <col min="36" max="36" width="2.77734375" style="1" customWidth="1"/>
    <col min="37" max="37" width="15.33203125" style="1" bestFit="1" customWidth="1"/>
    <col min="38" max="38" width="31" style="2" customWidth="1"/>
    <col min="39" max="39" width="17.44140625" style="1" bestFit="1" customWidth="1"/>
    <col min="40" max="40" width="13.21875" style="2" customWidth="1"/>
    <col min="41" max="41" width="13.44140625" style="2" customWidth="1"/>
    <col min="42" max="42" width="2.88671875" style="2" customWidth="1"/>
    <col min="43" max="43" width="15.33203125" style="2" customWidth="1"/>
    <col min="44" max="44" width="25" style="1" customWidth="1"/>
    <col min="45" max="45" width="14.6640625" style="1" bestFit="1" customWidth="1"/>
    <col min="46" max="46" width="13.33203125" style="2" customWidth="1"/>
    <col min="47" max="47" width="13.44140625" style="2" customWidth="1"/>
    <col min="48" max="48" width="21" style="2" customWidth="1"/>
    <col min="49" max="49" width="2.88671875" style="2" customWidth="1"/>
    <col min="50" max="50" width="22.33203125" style="2" customWidth="1"/>
    <col min="51" max="51" width="24.77734375" style="2" customWidth="1"/>
    <col min="52" max="52" width="11.77734375" style="2" customWidth="1"/>
    <col min="53" max="53" width="24.77734375" style="2" customWidth="1"/>
    <col min="54" max="54" width="11.77734375" style="2" customWidth="1"/>
    <col min="55" max="55" width="24.77734375" style="2" customWidth="1"/>
    <col min="56" max="56" width="11.77734375" style="2" customWidth="1"/>
    <col min="57" max="57" width="24.77734375" style="2" customWidth="1"/>
    <col min="58" max="58" width="11.77734375" style="2" customWidth="1"/>
    <col min="59" max="59" width="24.77734375" style="2" customWidth="1"/>
    <col min="60" max="60" width="11.77734375" style="2" customWidth="1"/>
    <col min="61" max="61" width="24.77734375" style="2" customWidth="1"/>
    <col min="62" max="62" width="11.77734375" style="2" customWidth="1"/>
    <col min="63" max="63" width="24.77734375" style="2" customWidth="1"/>
    <col min="64" max="64" width="11.77734375" style="2" customWidth="1"/>
    <col min="65" max="65" width="24.77734375" style="2" customWidth="1"/>
    <col min="66" max="66" width="11.77734375" style="2" customWidth="1"/>
    <col min="67" max="67" width="24.77734375" style="2" customWidth="1"/>
    <col min="68" max="68" width="11.77734375" style="2" customWidth="1"/>
    <col min="69" max="69" width="24.77734375" style="2" customWidth="1"/>
    <col min="70" max="70" width="11.77734375" style="2" customWidth="1"/>
    <col min="71" max="71" width="2.88671875" style="2" customWidth="1"/>
    <col min="72" max="72" width="35.5546875" style="1" customWidth="1"/>
    <col min="73" max="73" width="14.77734375" style="1" customWidth="1"/>
    <col min="74" max="74" width="11.6640625" style="1" customWidth="1"/>
    <col min="75" max="75" width="14.77734375" style="1" customWidth="1"/>
    <col min="76" max="76" width="11.6640625" style="1" customWidth="1"/>
    <col min="77" max="77" width="14.77734375" style="1" customWidth="1"/>
    <col min="78" max="78" width="11.6640625" style="1" customWidth="1"/>
    <col min="79" max="79" width="14.77734375" style="1" customWidth="1"/>
    <col min="80" max="80" width="11.6640625" style="1" customWidth="1"/>
    <col min="81" max="81" width="14.77734375" style="1" customWidth="1"/>
    <col min="82" max="82" width="11.6640625" style="1" customWidth="1"/>
    <col min="83" max="83" width="2.88671875" style="1" customWidth="1"/>
    <col min="84" max="87" width="8.88671875" style="1"/>
    <col min="88" max="16384" width="8.88671875" style="2"/>
  </cols>
  <sheetData>
    <row r="1" spans="1:83" ht="89.4" customHeight="1">
      <c r="A1" s="7" t="s">
        <v>0</v>
      </c>
      <c r="B1" s="8" t="s">
        <v>1</v>
      </c>
      <c r="C1" s="15"/>
      <c r="D1" s="47" t="s">
        <v>128</v>
      </c>
      <c r="E1" s="42" t="s">
        <v>126</v>
      </c>
      <c r="F1" s="42" t="s">
        <v>127</v>
      </c>
      <c r="G1" s="42" t="s">
        <v>129</v>
      </c>
      <c r="H1" s="42" t="s">
        <v>130</v>
      </c>
      <c r="I1" s="53" t="s">
        <v>131</v>
      </c>
      <c r="J1" s="37"/>
      <c r="K1" s="47" t="s">
        <v>234</v>
      </c>
      <c r="L1" s="42" t="s">
        <v>233</v>
      </c>
      <c r="M1" s="53" t="s">
        <v>232</v>
      </c>
      <c r="N1" s="15"/>
      <c r="O1" s="47" t="s">
        <v>164</v>
      </c>
      <c r="P1" s="62" t="s">
        <v>306</v>
      </c>
      <c r="Q1" s="62" t="s">
        <v>307</v>
      </c>
      <c r="R1" s="62" t="s">
        <v>308</v>
      </c>
      <c r="S1" s="62" t="s">
        <v>309</v>
      </c>
      <c r="T1" s="62" t="s">
        <v>310</v>
      </c>
      <c r="U1" s="62" t="s">
        <v>311</v>
      </c>
      <c r="V1" s="62" t="s">
        <v>312</v>
      </c>
      <c r="W1" s="62" t="s">
        <v>313</v>
      </c>
      <c r="X1" s="62" t="s">
        <v>314</v>
      </c>
      <c r="Y1" s="62" t="s">
        <v>315</v>
      </c>
      <c r="Z1" s="62" t="s">
        <v>198</v>
      </c>
      <c r="AA1" s="62" t="s">
        <v>197</v>
      </c>
      <c r="AB1" s="62" t="s">
        <v>200</v>
      </c>
      <c r="AC1" s="62" t="s">
        <v>202</v>
      </c>
      <c r="AD1" s="62" t="s">
        <v>204</v>
      </c>
      <c r="AE1" s="62" t="s">
        <v>206</v>
      </c>
      <c r="AF1" s="62" t="s">
        <v>208</v>
      </c>
      <c r="AG1" s="62" t="s">
        <v>210</v>
      </c>
      <c r="AH1" s="62" t="s">
        <v>212</v>
      </c>
      <c r="AI1" s="63" t="s">
        <v>169</v>
      </c>
      <c r="AJ1" s="15"/>
      <c r="AK1" s="47" t="s">
        <v>117</v>
      </c>
      <c r="AL1" s="42" t="s">
        <v>78</v>
      </c>
      <c r="AM1" s="42" t="s">
        <v>34</v>
      </c>
      <c r="AN1" s="40" t="s">
        <v>30</v>
      </c>
      <c r="AO1" s="65" t="s">
        <v>31</v>
      </c>
      <c r="AP1" s="14"/>
      <c r="AQ1" s="22" t="s">
        <v>117</v>
      </c>
      <c r="AR1" s="6" t="s">
        <v>77</v>
      </c>
      <c r="AS1" s="6" t="s">
        <v>115</v>
      </c>
      <c r="AT1" s="7" t="s">
        <v>114</v>
      </c>
      <c r="AU1" s="7" t="s">
        <v>31</v>
      </c>
      <c r="AV1" s="48" t="s">
        <v>116</v>
      </c>
      <c r="AW1" s="14"/>
      <c r="AX1" s="47" t="s">
        <v>118</v>
      </c>
      <c r="AY1" s="61" t="s">
        <v>371</v>
      </c>
      <c r="AZ1" s="62" t="s">
        <v>219</v>
      </c>
      <c r="BA1" s="61" t="s">
        <v>372</v>
      </c>
      <c r="BB1" s="62" t="s">
        <v>220</v>
      </c>
      <c r="BC1" s="61" t="s">
        <v>373</v>
      </c>
      <c r="BD1" s="62" t="s">
        <v>221</v>
      </c>
      <c r="BE1" s="61" t="s">
        <v>374</v>
      </c>
      <c r="BF1" s="62" t="s">
        <v>222</v>
      </c>
      <c r="BG1" s="61" t="s">
        <v>375</v>
      </c>
      <c r="BH1" s="62" t="s">
        <v>223</v>
      </c>
      <c r="BI1" s="61" t="s">
        <v>376</v>
      </c>
      <c r="BJ1" s="62" t="s">
        <v>224</v>
      </c>
      <c r="BK1" s="61" t="s">
        <v>377</v>
      </c>
      <c r="BL1" s="62" t="s">
        <v>225</v>
      </c>
      <c r="BM1" s="61" t="s">
        <v>378</v>
      </c>
      <c r="BN1" s="62" t="s">
        <v>226</v>
      </c>
      <c r="BO1" s="61" t="s">
        <v>379</v>
      </c>
      <c r="BP1" s="62" t="s">
        <v>227</v>
      </c>
      <c r="BQ1" s="61" t="s">
        <v>380</v>
      </c>
      <c r="BR1" s="63" t="s">
        <v>228</v>
      </c>
      <c r="BS1" s="24"/>
      <c r="BT1" s="47" t="s">
        <v>229</v>
      </c>
      <c r="BU1" s="42" t="s">
        <v>3</v>
      </c>
      <c r="BV1" s="62" t="s">
        <v>259</v>
      </c>
      <c r="BW1" s="42" t="s">
        <v>4</v>
      </c>
      <c r="BX1" s="62" t="s">
        <v>255</v>
      </c>
      <c r="BY1" s="42" t="s">
        <v>5</v>
      </c>
      <c r="BZ1" s="62" t="s">
        <v>256</v>
      </c>
      <c r="CA1" s="42" t="s">
        <v>6</v>
      </c>
      <c r="CB1" s="62" t="s">
        <v>257</v>
      </c>
      <c r="CC1" s="42" t="s">
        <v>7</v>
      </c>
      <c r="CD1" s="63" t="s">
        <v>258</v>
      </c>
      <c r="CE1" s="15"/>
    </row>
    <row r="2" spans="1:83" ht="118.8" customHeight="1">
      <c r="A2" s="7" t="s">
        <v>15</v>
      </c>
      <c r="B2" s="8" t="s">
        <v>18</v>
      </c>
      <c r="C2" s="15"/>
      <c r="D2" s="51" t="str">
        <f>LEFT(B37,1)</f>
        <v>1</v>
      </c>
      <c r="E2" s="6" t="str">
        <f>RIGHT(B37,((LEN(B37)-4)))</f>
        <v>Strongly Disagree</v>
      </c>
      <c r="F2" s="5">
        <f>D6-D2</f>
        <v>4</v>
      </c>
      <c r="G2" s="27">
        <f>F2/D6</f>
        <v>0.8</v>
      </c>
      <c r="H2" s="27" t="str">
        <f>D2</f>
        <v>1</v>
      </c>
      <c r="I2" s="52">
        <f>H2+G2</f>
        <v>1.8</v>
      </c>
      <c r="J2" s="38"/>
      <c r="K2" s="58" t="str">
        <f>AY1</f>
        <v xml:space="preserve">3.01 I get enough restful sleep on a regular basis. </v>
      </c>
      <c r="L2" s="39">
        <f>Z43</f>
        <v>3.1463414634146343</v>
      </c>
      <c r="M2" s="52" t="str" cm="1">
        <f t="array" ref="M2">_xlfn.IFS(L2&lt;$H$3,$E$2,L2&lt;$H$4,$E$3,L2&lt;$H$5,$E$4,L2&lt;$H$6,$E$5,L2&gt;=$H$6,$E$6)</f>
        <v>Neutral</v>
      </c>
      <c r="N2" s="15"/>
      <c r="O2" s="51" t="s">
        <v>165</v>
      </c>
      <c r="P2" s="92">
        <v>9</v>
      </c>
      <c r="Q2" s="92">
        <v>7</v>
      </c>
      <c r="R2" s="92">
        <v>2</v>
      </c>
      <c r="S2" s="92">
        <v>1</v>
      </c>
      <c r="T2" s="92">
        <v>1</v>
      </c>
      <c r="U2" s="92">
        <v>0.5</v>
      </c>
      <c r="V2" s="92">
        <v>1</v>
      </c>
      <c r="W2" s="92">
        <v>0.5</v>
      </c>
      <c r="X2" s="92">
        <v>1</v>
      </c>
      <c r="Y2" s="92">
        <v>1</v>
      </c>
      <c r="Z2" s="80">
        <v>3</v>
      </c>
      <c r="AA2" s="5">
        <v>4</v>
      </c>
      <c r="AB2" s="5">
        <v>4</v>
      </c>
      <c r="AC2" s="5">
        <v>3</v>
      </c>
      <c r="AD2" s="5">
        <v>4</v>
      </c>
      <c r="AE2" s="5">
        <v>3</v>
      </c>
      <c r="AF2" s="5">
        <v>3</v>
      </c>
      <c r="AG2" s="5">
        <v>3</v>
      </c>
      <c r="AH2" s="5">
        <v>3</v>
      </c>
      <c r="AI2" s="81">
        <v>4</v>
      </c>
      <c r="AJ2" s="15"/>
      <c r="AK2" s="49">
        <v>1.01</v>
      </c>
      <c r="AL2" s="43" t="s">
        <v>83</v>
      </c>
      <c r="AM2" s="5" t="s">
        <v>27</v>
      </c>
      <c r="AN2" s="4">
        <v>31</v>
      </c>
      <c r="AO2" s="64">
        <f>AN2/(SUM($AN$2:$AN$4))</f>
        <v>0.75609756097560976</v>
      </c>
      <c r="AP2" s="14"/>
      <c r="AQ2" s="7">
        <v>2.0099999999999998</v>
      </c>
      <c r="AR2" s="6" t="s">
        <v>53</v>
      </c>
      <c r="AS2" s="19">
        <f t="shared" ref="AS2" si="0">RANK(AT2,$AT$2:$AT$11,0)</f>
        <v>1</v>
      </c>
      <c r="AT2" s="4">
        <v>278</v>
      </c>
      <c r="AU2" s="36">
        <f>AT2/(SUM($AT$2:$AT$11))</f>
        <v>0.19172413793103449</v>
      </c>
      <c r="AV2" s="69">
        <f>AT2/$F$8</f>
        <v>6.7804878048780486</v>
      </c>
      <c r="AW2" s="14"/>
      <c r="AX2" s="49" t="s">
        <v>3</v>
      </c>
      <c r="AY2" s="5">
        <v>2</v>
      </c>
      <c r="AZ2" s="25">
        <f>AY2/(SUM($AY$2:$AY$6))</f>
        <v>4.878048780487805E-2</v>
      </c>
      <c r="BA2" s="5">
        <v>0</v>
      </c>
      <c r="BB2" s="25">
        <f>BA2/(SUM($BA$2:$BA$6))</f>
        <v>0</v>
      </c>
      <c r="BC2" s="5">
        <v>0</v>
      </c>
      <c r="BD2" s="25">
        <f>BC2/(SUM($BC$2:$BC$6))</f>
        <v>0</v>
      </c>
      <c r="BE2" s="5">
        <v>0</v>
      </c>
      <c r="BF2" s="25">
        <f>BE2/(SUM($BE$2:$BE$6))</f>
        <v>0</v>
      </c>
      <c r="BG2" s="5">
        <v>1</v>
      </c>
      <c r="BH2" s="25">
        <f>BG2/(SUM($BG$2:$BG$6))</f>
        <v>2.4390243902439025E-2</v>
      </c>
      <c r="BI2" s="5">
        <v>4</v>
      </c>
      <c r="BJ2" s="25">
        <f>BI2/(SUM($BI$2:$BI$6))</f>
        <v>9.7560975609756101E-2</v>
      </c>
      <c r="BK2" s="5">
        <v>0</v>
      </c>
      <c r="BL2" s="25">
        <f>BK2/(SUM($BK$2:$BK$6))</f>
        <v>0</v>
      </c>
      <c r="BM2" s="5">
        <v>2</v>
      </c>
      <c r="BN2" s="25">
        <f>BM2/(SUM($BM$2:$BM$6))</f>
        <v>4.878048780487805E-2</v>
      </c>
      <c r="BO2" s="5">
        <v>1</v>
      </c>
      <c r="BP2" s="25">
        <f>BO2/(SUM($BO$2:$BO$6))</f>
        <v>2.4390243902439025E-2</v>
      </c>
      <c r="BQ2" s="5">
        <v>0</v>
      </c>
      <c r="BR2" s="74">
        <f>BQ2/(SUM($BQ$2:$BQ$6))</f>
        <v>0</v>
      </c>
      <c r="BS2" s="24"/>
      <c r="BT2" s="51" t="s">
        <v>13</v>
      </c>
      <c r="BU2" s="6">
        <v>2</v>
      </c>
      <c r="BV2" s="18">
        <f>BU2/(SUM($BU$2,$BW$2,$BY$2,$CA$2,$CC$2))</f>
        <v>4.878048780487805E-2</v>
      </c>
      <c r="BW2" s="6">
        <v>4</v>
      </c>
      <c r="BX2" s="18">
        <f>BW2/(SUM($BU$2,$BW$2,$BY$2,$CA$2,$CC$2))</f>
        <v>9.7560975609756101E-2</v>
      </c>
      <c r="BY2" s="6">
        <v>22</v>
      </c>
      <c r="BZ2" s="18">
        <f>BY2/(SUM($BU$2,$BW$2,$BY$2,$CA$2,$CC$2))</f>
        <v>0.53658536585365857</v>
      </c>
      <c r="CA2" s="6">
        <v>12</v>
      </c>
      <c r="CB2" s="18">
        <f>CA2/(SUM($BU$2,$BW$2,$BY$2,$CA$2,$CC$2))</f>
        <v>0.29268292682926828</v>
      </c>
      <c r="CC2" s="6">
        <v>1</v>
      </c>
      <c r="CD2" s="77">
        <f>CC2/(SUM($BU$2,$BW$2,$BY$2,$CA$2,$CC$2))</f>
        <v>2.4390243902439025E-2</v>
      </c>
      <c r="CE2" s="15"/>
    </row>
    <row r="3" spans="1:83" ht="66" customHeight="1">
      <c r="A3" s="118" t="s">
        <v>23</v>
      </c>
      <c r="B3" s="8" t="s">
        <v>67</v>
      </c>
      <c r="C3" s="15"/>
      <c r="D3" s="51" t="str">
        <f>LEFT(B38,1)</f>
        <v>2</v>
      </c>
      <c r="E3" s="6" t="str">
        <f>RIGHT(B38,((LEN(B38)-4)))</f>
        <v>Disagree</v>
      </c>
      <c r="F3" s="5">
        <f>F2</f>
        <v>4</v>
      </c>
      <c r="G3" s="27">
        <f>G2</f>
        <v>0.8</v>
      </c>
      <c r="H3" s="27">
        <f>I2+0.01</f>
        <v>1.81</v>
      </c>
      <c r="I3" s="52">
        <f>I2+G3</f>
        <v>2.6</v>
      </c>
      <c r="J3" s="38"/>
      <c r="K3" s="58" t="str">
        <f>BA1</f>
        <v>3.02 I attend classes regularly and actively participate in lectures, seminars, and lab sessions.</v>
      </c>
      <c r="L3" s="39">
        <f>AA43</f>
        <v>4.3414634146341466</v>
      </c>
      <c r="M3" s="52" t="str" cm="1">
        <f t="array" ref="M3">_xlfn.IFS(L3&lt;$H$3,$E$2,L3&lt;$H$4,$E$3,L3&lt;$H$5,$E$4,L3&lt;$H$6,$E$5,L3&gt;=$H$6,$E$6)</f>
        <v>Strongly Agree</v>
      </c>
      <c r="N3" s="15"/>
      <c r="O3" s="51" t="s">
        <v>166</v>
      </c>
      <c r="P3" s="92">
        <v>6</v>
      </c>
      <c r="Q3" s="92">
        <v>9</v>
      </c>
      <c r="R3" s="92">
        <v>6</v>
      </c>
      <c r="S3" s="92">
        <v>5</v>
      </c>
      <c r="T3" s="92">
        <v>3</v>
      </c>
      <c r="U3" s="92">
        <v>5</v>
      </c>
      <c r="V3" s="92">
        <v>3</v>
      </c>
      <c r="W3" s="92">
        <v>1</v>
      </c>
      <c r="X3" s="92">
        <v>2</v>
      </c>
      <c r="Y3" s="92">
        <v>2</v>
      </c>
      <c r="Z3" s="5">
        <v>2</v>
      </c>
      <c r="AA3" s="5">
        <v>5</v>
      </c>
      <c r="AB3" s="5">
        <v>4</v>
      </c>
      <c r="AC3" s="5">
        <v>4</v>
      </c>
      <c r="AD3" s="5">
        <v>4</v>
      </c>
      <c r="AE3" s="5">
        <v>4</v>
      </c>
      <c r="AF3" s="5">
        <v>3</v>
      </c>
      <c r="AG3" s="5">
        <v>1</v>
      </c>
      <c r="AH3" s="5">
        <v>3</v>
      </c>
      <c r="AI3" s="81">
        <v>2</v>
      </c>
      <c r="AJ3" s="15"/>
      <c r="AK3" s="49">
        <v>1.01</v>
      </c>
      <c r="AL3" s="43" t="s">
        <v>83</v>
      </c>
      <c r="AM3" s="5" t="s">
        <v>28</v>
      </c>
      <c r="AN3" s="4">
        <v>8</v>
      </c>
      <c r="AO3" s="64">
        <f>AN3/(SUM($AN$2:$AN$4))</f>
        <v>0.1951219512195122</v>
      </c>
      <c r="AP3" s="14"/>
      <c r="AQ3" s="7">
        <v>2.02</v>
      </c>
      <c r="AR3" s="6" t="s">
        <v>2</v>
      </c>
      <c r="AS3" s="19">
        <f>RANK(AT3,$AT$2:$AT$11,0)</f>
        <v>2</v>
      </c>
      <c r="AT3" s="4">
        <v>265</v>
      </c>
      <c r="AU3" s="36">
        <f t="shared" ref="AU3:AU11" si="1">AT3/(SUM($AT$2:$AT$11))</f>
        <v>0.18275862068965518</v>
      </c>
      <c r="AV3" s="69">
        <f t="shared" ref="AV3:AV10" si="2">AT3/$F$8</f>
        <v>6.4634146341463419</v>
      </c>
      <c r="AW3" s="14"/>
      <c r="AX3" s="49" t="s">
        <v>4</v>
      </c>
      <c r="AY3" s="5">
        <v>4</v>
      </c>
      <c r="AZ3" s="25">
        <f t="shared" ref="AZ3:AZ6" si="3">AY3/(SUM($AY$2:$AY$6))</f>
        <v>9.7560975609756101E-2</v>
      </c>
      <c r="BA3" s="5">
        <v>0</v>
      </c>
      <c r="BB3" s="25">
        <f>BA3/(SUM($BA$2:$BA$6))</f>
        <v>0</v>
      </c>
      <c r="BC3" s="5">
        <v>2</v>
      </c>
      <c r="BD3" s="25">
        <f>BC3/(SUM($BC$2:$BC$6))</f>
        <v>4.878048780487805E-2</v>
      </c>
      <c r="BE3" s="5">
        <v>3</v>
      </c>
      <c r="BF3" s="25">
        <f>BE3/(SUM($BE$2:$BE$6))</f>
        <v>7.3170731707317069E-2</v>
      </c>
      <c r="BG3" s="5">
        <v>0</v>
      </c>
      <c r="BH3" s="25">
        <f>BG3/(SUM($BG$2:$BG$6))</f>
        <v>0</v>
      </c>
      <c r="BI3" s="5">
        <v>2</v>
      </c>
      <c r="BJ3" s="25">
        <f>BI3/(SUM($BI$2:$BI$6))</f>
        <v>4.878048780487805E-2</v>
      </c>
      <c r="BK3" s="5">
        <v>1</v>
      </c>
      <c r="BL3" s="25">
        <f>BK3/(SUM($BK$2:$BK$6))</f>
        <v>2.4390243902439025E-2</v>
      </c>
      <c r="BM3" s="5">
        <v>2</v>
      </c>
      <c r="BN3" s="25">
        <f>BM3/(SUM($BM$2:$BM$6))</f>
        <v>4.878048780487805E-2</v>
      </c>
      <c r="BO3" s="5">
        <v>0</v>
      </c>
      <c r="BP3" s="25">
        <f>BO3/(SUM($BO$2:$BO$6))</f>
        <v>0</v>
      </c>
      <c r="BQ3" s="5">
        <v>4</v>
      </c>
      <c r="BR3" s="74">
        <f>BQ3/(SUM($BQ$2:$BQ$6))</f>
        <v>9.7560975609756101E-2</v>
      </c>
      <c r="BS3" s="24"/>
      <c r="BT3" s="51" t="s">
        <v>62</v>
      </c>
      <c r="BU3" s="6">
        <v>0</v>
      </c>
      <c r="BV3" s="18">
        <f>BU3/(SUM($BU$3,$BW$3,$BY$3,$CA$3,$CC$3))</f>
        <v>0</v>
      </c>
      <c r="BW3" s="6">
        <v>0</v>
      </c>
      <c r="BX3" s="18">
        <f>BW3/(SUM($BU$3,$BW$3,$BY$3,$CA$3,$CC$3))</f>
        <v>0</v>
      </c>
      <c r="BY3" s="6">
        <v>5</v>
      </c>
      <c r="BZ3" s="18">
        <f>BY3/(SUM($BU$3,$BW$3,$BY$3,$CA$3,$CC$3))</f>
        <v>0.12195121951219512</v>
      </c>
      <c r="CA3" s="6">
        <v>17</v>
      </c>
      <c r="CB3" s="18">
        <f>CA3/(SUM($BU$3,$BW$3,$BY$3,$CA$3,$CC$3))</f>
        <v>0.41463414634146339</v>
      </c>
      <c r="CC3" s="6">
        <v>19</v>
      </c>
      <c r="CD3" s="77">
        <f>CC3/(SUM($BU$3,$BW$3,$BY$3,$CA$3,$CC$3))</f>
        <v>0.46341463414634149</v>
      </c>
      <c r="CE3" s="15"/>
    </row>
    <row r="4" spans="1:83" ht="70.2" customHeight="1">
      <c r="A4" s="119"/>
      <c r="B4" s="8" t="s">
        <v>68</v>
      </c>
      <c r="C4" s="15"/>
      <c r="D4" s="51" t="str">
        <f>LEFT(B39,1)</f>
        <v>3</v>
      </c>
      <c r="E4" s="6" t="str">
        <f>RIGHT(B39,((LEN(B39)-4)))</f>
        <v>Neutral</v>
      </c>
      <c r="F4" s="5">
        <f t="shared" ref="F4:G6" si="4">F3</f>
        <v>4</v>
      </c>
      <c r="G4" s="27">
        <f t="shared" si="4"/>
        <v>0.8</v>
      </c>
      <c r="H4" s="27">
        <f>I3+0.01</f>
        <v>2.61</v>
      </c>
      <c r="I4" s="52">
        <f t="shared" ref="I4:I6" si="5">I3+G4</f>
        <v>3.4000000000000004</v>
      </c>
      <c r="J4" s="38"/>
      <c r="K4" s="58" t="str">
        <f>BC1</f>
        <v xml:space="preserve">3.03 I spend an adequate amount of time studying and completing assignments. </v>
      </c>
      <c r="L4" s="39">
        <f>AB43</f>
        <v>3.6341463414634148</v>
      </c>
      <c r="M4" s="52" t="str" cm="1">
        <f t="array" ref="M4">_xlfn.IFS(L4&lt;$H$3,$E$2,L4&lt;$H$4,$E$3,L4&lt;$H$5,$E$4,L4&lt;$H$6,$E$5,L4&gt;=$H$6,$E$6)</f>
        <v>Agree</v>
      </c>
      <c r="N4" s="15"/>
      <c r="O4" s="51" t="s">
        <v>167</v>
      </c>
      <c r="P4" s="92">
        <v>8</v>
      </c>
      <c r="Q4" s="92">
        <v>5</v>
      </c>
      <c r="R4" s="92">
        <v>3</v>
      </c>
      <c r="S4" s="92">
        <v>2</v>
      </c>
      <c r="T4" s="92">
        <v>4</v>
      </c>
      <c r="U4" s="92">
        <v>6</v>
      </c>
      <c r="V4" s="92">
        <v>2</v>
      </c>
      <c r="W4" s="92">
        <v>1</v>
      </c>
      <c r="X4" s="92">
        <v>1</v>
      </c>
      <c r="Y4" s="92">
        <v>3</v>
      </c>
      <c r="Z4" s="5">
        <v>5</v>
      </c>
      <c r="AA4" s="5">
        <v>5</v>
      </c>
      <c r="AB4" s="5">
        <v>5</v>
      </c>
      <c r="AC4" s="5">
        <v>5</v>
      </c>
      <c r="AD4" s="5">
        <v>5</v>
      </c>
      <c r="AE4" s="5">
        <v>5</v>
      </c>
      <c r="AF4" s="5">
        <v>5</v>
      </c>
      <c r="AG4" s="5">
        <v>5</v>
      </c>
      <c r="AH4" s="5">
        <v>4</v>
      </c>
      <c r="AI4" s="81">
        <v>3</v>
      </c>
      <c r="AJ4" s="15"/>
      <c r="AK4" s="49">
        <v>1.01</v>
      </c>
      <c r="AL4" s="43" t="s">
        <v>83</v>
      </c>
      <c r="AM4" s="5" t="s">
        <v>29</v>
      </c>
      <c r="AN4" s="4">
        <v>2</v>
      </c>
      <c r="AO4" s="64">
        <f>AN4/(SUM($AN$2:$AN$4))</f>
        <v>4.878048780487805E-2</v>
      </c>
      <c r="AP4" s="14"/>
      <c r="AQ4" s="7">
        <v>2.0299999999999998</v>
      </c>
      <c r="AR4" s="6" t="s">
        <v>54</v>
      </c>
      <c r="AS4" s="19">
        <f t="shared" ref="AS4:AS11" si="6">RANK(AT4,$AT$2:$AT$11,0)</f>
        <v>4</v>
      </c>
      <c r="AT4" s="4">
        <v>132</v>
      </c>
      <c r="AU4" s="36">
        <f t="shared" si="1"/>
        <v>9.1034482758620694E-2</v>
      </c>
      <c r="AV4" s="69">
        <f t="shared" si="2"/>
        <v>3.2195121951219514</v>
      </c>
      <c r="AW4" s="14"/>
      <c r="AX4" s="49" t="s">
        <v>5</v>
      </c>
      <c r="AY4" s="5">
        <v>22</v>
      </c>
      <c r="AZ4" s="25">
        <f t="shared" si="3"/>
        <v>0.53658536585365857</v>
      </c>
      <c r="BA4" s="5">
        <v>5</v>
      </c>
      <c r="BB4" s="25">
        <f>BA4/(SUM($BA$2:$BA$6))</f>
        <v>0.12195121951219512</v>
      </c>
      <c r="BC4" s="5">
        <v>17</v>
      </c>
      <c r="BD4" s="25">
        <f>BC4/(SUM($BC$2:$BC$6))</f>
        <v>0.41463414634146339</v>
      </c>
      <c r="BE4" s="5">
        <v>9</v>
      </c>
      <c r="BF4" s="25">
        <f>BE4/(SUM($BE$2:$BE$6))</f>
        <v>0.21951219512195122</v>
      </c>
      <c r="BG4" s="5">
        <v>9</v>
      </c>
      <c r="BH4" s="25">
        <f>BG4/(SUM($BG$2:$BG$6))</f>
        <v>0.21951219512195122</v>
      </c>
      <c r="BI4" s="5">
        <v>14</v>
      </c>
      <c r="BJ4" s="25">
        <f>BI4/(SUM($BI$2:$BI$6))</f>
        <v>0.34146341463414637</v>
      </c>
      <c r="BK4" s="5">
        <v>12</v>
      </c>
      <c r="BL4" s="25">
        <f>BK4/(SUM($BK$2:$BK$6))</f>
        <v>0.29268292682926828</v>
      </c>
      <c r="BM4" s="5">
        <v>14</v>
      </c>
      <c r="BN4" s="25">
        <f>BM4/(SUM($BM$2:$BM$6))</f>
        <v>0.34146341463414637</v>
      </c>
      <c r="BO4" s="5">
        <v>17</v>
      </c>
      <c r="BP4" s="25">
        <f>BO4/(SUM($BO$2:$BO$6))</f>
        <v>0.41463414634146339</v>
      </c>
      <c r="BQ4" s="5">
        <v>8</v>
      </c>
      <c r="BR4" s="74">
        <f>BQ4/(SUM($BQ$2:$BQ$6))</f>
        <v>0.1951219512195122</v>
      </c>
      <c r="BS4" s="24"/>
      <c r="BT4" s="51" t="s">
        <v>9</v>
      </c>
      <c r="BU4" s="6">
        <v>0</v>
      </c>
      <c r="BV4" s="18">
        <f>BU4/(SUM($BU$4,$BW$4,$BY$4,$CA$4,$CC$4))</f>
        <v>0</v>
      </c>
      <c r="BW4" s="6">
        <v>2</v>
      </c>
      <c r="BX4" s="18">
        <f>BW4/(SUM($BU$4,$BW$4,$BY$4,$CA$4,$CC$4))</f>
        <v>4.878048780487805E-2</v>
      </c>
      <c r="BY4" s="6">
        <v>17</v>
      </c>
      <c r="BZ4" s="18">
        <f>BY4/(SUM($BU$4,$BW$4,$BY$4,$CA$4,$CC$4))</f>
        <v>0.41463414634146339</v>
      </c>
      <c r="CA4" s="6">
        <v>16</v>
      </c>
      <c r="CB4" s="18">
        <f>CA4/(SUM($BU$4,$BW$4,$BY$4,$CA$4,$CC$4))</f>
        <v>0.3902439024390244</v>
      </c>
      <c r="CC4" s="6">
        <v>6</v>
      </c>
      <c r="CD4" s="77">
        <f>CC4/(SUM($BU$4,$BW$4,$BY$4,$CA$4,$CC$4))</f>
        <v>0.14634146341463414</v>
      </c>
      <c r="CE4" s="15"/>
    </row>
    <row r="5" spans="1:83" ht="90" customHeight="1">
      <c r="A5" s="119"/>
      <c r="B5" s="8" t="s">
        <v>69</v>
      </c>
      <c r="C5" s="15"/>
      <c r="D5" s="51" t="str">
        <f>LEFT(B40,1)</f>
        <v>4</v>
      </c>
      <c r="E5" s="6" t="str">
        <f>RIGHT(B40,((LEN(B40)-4)))</f>
        <v>Agree</v>
      </c>
      <c r="F5" s="5">
        <f t="shared" si="4"/>
        <v>4</v>
      </c>
      <c r="G5" s="27">
        <f t="shared" si="4"/>
        <v>0.8</v>
      </c>
      <c r="H5" s="27">
        <f>I4+0.01</f>
        <v>3.41</v>
      </c>
      <c r="I5" s="52">
        <f t="shared" si="5"/>
        <v>4.2</v>
      </c>
      <c r="J5" s="38"/>
      <c r="K5" s="58" t="str">
        <f>BE1</f>
        <v xml:space="preserve"> 3.04 I actively engage in group projects and collaborations, coordinating schedules and contributing to shared assignments. </v>
      </c>
      <c r="L5" s="39">
        <f>AC43</f>
        <v>3.8780487804878048</v>
      </c>
      <c r="M5" s="52" t="str" cm="1">
        <f t="array" ref="M5">_xlfn.IFS(L5&lt;$H$3,$E$2,L5&lt;$H$4,$E$3,L5&lt;$H$5,$E$4,L5&lt;$H$6,$E$5,L5&gt;=$H$6,$E$6)</f>
        <v>Agree</v>
      </c>
      <c r="N5" s="15"/>
      <c r="O5" s="51" t="s">
        <v>168</v>
      </c>
      <c r="P5" s="92">
        <v>6</v>
      </c>
      <c r="Q5" s="92">
        <v>8</v>
      </c>
      <c r="R5" s="92">
        <v>3</v>
      </c>
      <c r="S5" s="92">
        <v>2</v>
      </c>
      <c r="T5" s="92">
        <v>2</v>
      </c>
      <c r="U5" s="92">
        <v>0</v>
      </c>
      <c r="V5" s="92">
        <v>1</v>
      </c>
      <c r="W5" s="92">
        <v>1</v>
      </c>
      <c r="X5" s="92">
        <v>2</v>
      </c>
      <c r="Y5" s="92">
        <v>1</v>
      </c>
      <c r="Z5" s="5">
        <v>3</v>
      </c>
      <c r="AA5" s="5">
        <v>4</v>
      </c>
      <c r="AB5" s="5">
        <v>3</v>
      </c>
      <c r="AC5" s="5">
        <v>3</v>
      </c>
      <c r="AD5" s="5">
        <v>3</v>
      </c>
      <c r="AE5" s="5">
        <v>2</v>
      </c>
      <c r="AF5" s="5">
        <v>3</v>
      </c>
      <c r="AG5" s="5">
        <v>3</v>
      </c>
      <c r="AH5" s="5">
        <v>3</v>
      </c>
      <c r="AI5" s="81">
        <v>3</v>
      </c>
      <c r="AJ5" s="15"/>
      <c r="AK5" s="49">
        <v>1.02</v>
      </c>
      <c r="AL5" s="44" t="s">
        <v>84</v>
      </c>
      <c r="AM5" s="5" t="s">
        <v>32</v>
      </c>
      <c r="AN5" s="4">
        <v>0</v>
      </c>
      <c r="AO5" s="64">
        <f>AN5/(SUM($AN$5:$AN$9))</f>
        <v>0</v>
      </c>
      <c r="AP5" s="14"/>
      <c r="AQ5" s="7">
        <v>2.04</v>
      </c>
      <c r="AR5" s="6" t="s">
        <v>55</v>
      </c>
      <c r="AS5" s="19">
        <f t="shared" si="6"/>
        <v>7</v>
      </c>
      <c r="AT5" s="4">
        <v>117</v>
      </c>
      <c r="AU5" s="36">
        <f t="shared" si="1"/>
        <v>8.0689655172413791E-2</v>
      </c>
      <c r="AV5" s="69">
        <f t="shared" si="2"/>
        <v>2.8536585365853657</v>
      </c>
      <c r="AW5" s="14"/>
      <c r="AX5" s="49" t="s">
        <v>6</v>
      </c>
      <c r="AY5" s="5">
        <v>12</v>
      </c>
      <c r="AZ5" s="25">
        <f t="shared" si="3"/>
        <v>0.29268292682926828</v>
      </c>
      <c r="BA5" s="5">
        <v>17</v>
      </c>
      <c r="BB5" s="25">
        <f>BA5/(SUM($BA$2:$BA$6))</f>
        <v>0.41463414634146339</v>
      </c>
      <c r="BC5" s="5">
        <v>16</v>
      </c>
      <c r="BD5" s="25">
        <f>BC5/(SUM($BC$2:$BC$6))</f>
        <v>0.3902439024390244</v>
      </c>
      <c r="BE5" s="5">
        <v>19</v>
      </c>
      <c r="BF5" s="25">
        <f>BE5/(SUM($BE$2:$BE$6))</f>
        <v>0.46341463414634149</v>
      </c>
      <c r="BG5" s="5">
        <v>23</v>
      </c>
      <c r="BH5" s="25">
        <f>BG5/(SUM($BG$2:$BG$6))</f>
        <v>0.56097560975609762</v>
      </c>
      <c r="BI5" s="5">
        <v>18</v>
      </c>
      <c r="BJ5" s="25">
        <f>BI5/(SUM($BI$2:$BI$6))</f>
        <v>0.43902439024390244</v>
      </c>
      <c r="BK5" s="5">
        <v>16</v>
      </c>
      <c r="BL5" s="25">
        <f>BK5/(SUM($BK$2:$BK$6))</f>
        <v>0.3902439024390244</v>
      </c>
      <c r="BM5" s="5">
        <v>12</v>
      </c>
      <c r="BN5" s="25">
        <f>BM5/(SUM($BM$2:$BM$6))</f>
        <v>0.29268292682926828</v>
      </c>
      <c r="BO5" s="5">
        <v>14</v>
      </c>
      <c r="BP5" s="25">
        <f>BO5/(SUM($BO$2:$BO$6))</f>
        <v>0.34146341463414637</v>
      </c>
      <c r="BQ5" s="5">
        <v>22</v>
      </c>
      <c r="BR5" s="74">
        <f>BQ5/(SUM($BQ$2:$BQ$6))</f>
        <v>0.53658536585365857</v>
      </c>
      <c r="BS5" s="24"/>
      <c r="BT5" s="51" t="s">
        <v>63</v>
      </c>
      <c r="BU5" s="6">
        <v>0</v>
      </c>
      <c r="BV5" s="18">
        <f>BU5/(SUM($BU$5,$BW$5,$BY$5,$CA$5,$CC$5))</f>
        <v>0</v>
      </c>
      <c r="BW5" s="6">
        <v>3</v>
      </c>
      <c r="BX5" s="18">
        <f>BW5/(SUM($BU$5,$BW$5,$BY$5,$CA$5,$CC$5))</f>
        <v>7.3170731707317069E-2</v>
      </c>
      <c r="BY5" s="6">
        <v>9</v>
      </c>
      <c r="BZ5" s="18">
        <f>BY5/(SUM($BU$5,$BW$5,$BY$5,$CA$5,$CC$5))</f>
        <v>0.21951219512195122</v>
      </c>
      <c r="CA5" s="6">
        <v>19</v>
      </c>
      <c r="CB5" s="18">
        <f>CA5/(SUM($BU$5,$BW$5,$BY$5,$CA$5,$CC$5))</f>
        <v>0.46341463414634149</v>
      </c>
      <c r="CC5" s="6">
        <v>10</v>
      </c>
      <c r="CD5" s="77">
        <f>CC5/(SUM($BU$5,$BW$5,$BY$5,$CA$5,$CC$5))</f>
        <v>0.24390243902439024</v>
      </c>
      <c r="CE5" s="15"/>
    </row>
    <row r="6" spans="1:83" ht="92.4" customHeight="1">
      <c r="A6" s="119"/>
      <c r="B6" s="8" t="s">
        <v>70</v>
      </c>
      <c r="C6" s="15"/>
      <c r="D6" s="54" t="str">
        <f>LEFT(B41,1)</f>
        <v>5</v>
      </c>
      <c r="E6" s="41" t="str">
        <f>RIGHT(B41,((LEN(B41)-4)))</f>
        <v>Strongly Agree</v>
      </c>
      <c r="F6" s="55">
        <f t="shared" si="4"/>
        <v>4</v>
      </c>
      <c r="G6" s="56">
        <f t="shared" si="4"/>
        <v>0.8</v>
      </c>
      <c r="H6" s="56">
        <f t="shared" ref="H6" si="7">I5+0.01</f>
        <v>4.21</v>
      </c>
      <c r="I6" s="57">
        <f t="shared" si="5"/>
        <v>5</v>
      </c>
      <c r="J6" s="38"/>
      <c r="K6" s="58" t="str">
        <f>BG1</f>
        <v xml:space="preserve">3.05 I am involved in extracurricular activities that contribute to my personal growth and development. </v>
      </c>
      <c r="L6" s="39">
        <f>AD43</f>
        <v>3.9024390243902438</v>
      </c>
      <c r="M6" s="52" t="str" cm="1">
        <f t="array" ref="M6">_xlfn.IFS(L6&lt;$H$3,$E$2,L6&lt;$H$4,$E$3,L6&lt;$H$5,$E$4,L6&lt;$H$6,$E$5,L6&gt;=$H$6,$E$6)</f>
        <v>Agree</v>
      </c>
      <c r="N6" s="15"/>
      <c r="O6" s="51" t="s">
        <v>132</v>
      </c>
      <c r="P6" s="92">
        <v>8</v>
      </c>
      <c r="Q6" s="92">
        <v>2</v>
      </c>
      <c r="R6" s="92">
        <v>2</v>
      </c>
      <c r="S6" s="92">
        <v>2</v>
      </c>
      <c r="T6" s="92">
        <v>2</v>
      </c>
      <c r="U6" s="92">
        <v>2</v>
      </c>
      <c r="V6" s="92">
        <v>2</v>
      </c>
      <c r="W6" s="92">
        <v>1</v>
      </c>
      <c r="X6" s="92">
        <v>1</v>
      </c>
      <c r="Y6" s="92">
        <v>2</v>
      </c>
      <c r="Z6" s="5">
        <v>4</v>
      </c>
      <c r="AA6" s="5">
        <v>4</v>
      </c>
      <c r="AB6" s="5">
        <v>4</v>
      </c>
      <c r="AC6" s="5">
        <v>4</v>
      </c>
      <c r="AD6" s="5">
        <v>4</v>
      </c>
      <c r="AE6" s="5">
        <v>4</v>
      </c>
      <c r="AF6" s="5">
        <v>4</v>
      </c>
      <c r="AG6" s="5">
        <v>4</v>
      </c>
      <c r="AH6" s="5">
        <v>4</v>
      </c>
      <c r="AI6" s="81">
        <v>4</v>
      </c>
      <c r="AJ6" s="15"/>
      <c r="AK6" s="49">
        <v>1.02</v>
      </c>
      <c r="AL6" s="44" t="s">
        <v>84</v>
      </c>
      <c r="AM6" s="5" t="s">
        <v>33</v>
      </c>
      <c r="AN6" s="4">
        <v>30</v>
      </c>
      <c r="AO6" s="64">
        <f>AN6/(SUM($AN$5:$AN$9))</f>
        <v>0.73170731707317072</v>
      </c>
      <c r="AP6" s="14"/>
      <c r="AQ6" s="7">
        <v>2.0499999999999998</v>
      </c>
      <c r="AR6" s="6" t="s">
        <v>56</v>
      </c>
      <c r="AS6" s="19">
        <f t="shared" si="6"/>
        <v>6</v>
      </c>
      <c r="AT6" s="4">
        <v>122</v>
      </c>
      <c r="AU6" s="36">
        <f t="shared" si="1"/>
        <v>8.4137931034482763E-2</v>
      </c>
      <c r="AV6" s="69">
        <f t="shared" si="2"/>
        <v>2.975609756097561</v>
      </c>
      <c r="AW6" s="14"/>
      <c r="AX6" s="66" t="s">
        <v>7</v>
      </c>
      <c r="AY6" s="55">
        <v>1</v>
      </c>
      <c r="AZ6" s="75">
        <f t="shared" si="3"/>
        <v>2.4390243902439025E-2</v>
      </c>
      <c r="BA6" s="55">
        <v>19</v>
      </c>
      <c r="BB6" s="75">
        <f>BA6/(SUM($BA$2:$BA$6))</f>
        <v>0.46341463414634149</v>
      </c>
      <c r="BC6" s="55">
        <v>6</v>
      </c>
      <c r="BD6" s="75">
        <f>BC6/(SUM($BC$2:$BC$6))</f>
        <v>0.14634146341463414</v>
      </c>
      <c r="BE6" s="55">
        <v>10</v>
      </c>
      <c r="BF6" s="75">
        <f>BE6/(SUM($BE$2:$BE$6))</f>
        <v>0.24390243902439024</v>
      </c>
      <c r="BG6" s="55">
        <v>8</v>
      </c>
      <c r="BH6" s="75">
        <f>BG6/(SUM($BG$2:$BG$6))</f>
        <v>0.1951219512195122</v>
      </c>
      <c r="BI6" s="55">
        <v>3</v>
      </c>
      <c r="BJ6" s="75">
        <f>BI6/(SUM($BI$2:$BI$6))</f>
        <v>7.3170731707317069E-2</v>
      </c>
      <c r="BK6" s="55">
        <v>12</v>
      </c>
      <c r="BL6" s="75">
        <f>BK6/(SUM($BK$2:$BK$6))</f>
        <v>0.29268292682926828</v>
      </c>
      <c r="BM6" s="55">
        <v>11</v>
      </c>
      <c r="BN6" s="75">
        <f>BM6/(SUM($BM$2:$BM$6))</f>
        <v>0.26829268292682928</v>
      </c>
      <c r="BO6" s="55">
        <v>9</v>
      </c>
      <c r="BP6" s="75">
        <f>BO6/(SUM($BO$2:$BO$6))</f>
        <v>0.21951219512195122</v>
      </c>
      <c r="BQ6" s="55">
        <v>7</v>
      </c>
      <c r="BR6" s="76">
        <f>BQ6/(SUM($BQ$2:$BQ$6))</f>
        <v>0.17073170731707318</v>
      </c>
      <c r="BS6" s="24"/>
      <c r="BT6" s="51" t="s">
        <v>10</v>
      </c>
      <c r="BU6" s="6">
        <v>1</v>
      </c>
      <c r="BV6" s="18">
        <f>BU6/(SUM($BU$6,$BW$6,$BY$6,$CA$6,$CC$6))</f>
        <v>2.4390243902439025E-2</v>
      </c>
      <c r="BW6" s="6">
        <v>0</v>
      </c>
      <c r="BX6" s="18">
        <f>BW6/(SUM($BU$6,$BW$6,$BY$6,$CA$6,$CC$6))</f>
        <v>0</v>
      </c>
      <c r="BY6" s="6">
        <v>9</v>
      </c>
      <c r="BZ6" s="18">
        <f>BY6/(SUM($BU$6,$BW$6,$BY$6,$CA$6,$CC$6))</f>
        <v>0.21951219512195122</v>
      </c>
      <c r="CA6" s="6">
        <v>23</v>
      </c>
      <c r="CB6" s="18">
        <f>CA6/(SUM($BU$6,$BW$6,$BY$6,$CA$6,$CC$6))</f>
        <v>0.56097560975609762</v>
      </c>
      <c r="CC6" s="6">
        <v>8</v>
      </c>
      <c r="CD6" s="77">
        <f>CC6/(SUM($BU$6,$BW$6,$BY$6,$CA$6,$CC$6))</f>
        <v>0.1951219512195122</v>
      </c>
      <c r="CE6" s="15"/>
    </row>
    <row r="7" spans="1:83" ht="79.2" customHeight="1">
      <c r="A7" s="119"/>
      <c r="B7" s="8" t="s">
        <v>71</v>
      </c>
      <c r="C7" s="15"/>
      <c r="D7" s="29"/>
      <c r="E7" s="29"/>
      <c r="F7" s="29"/>
      <c r="G7" s="30"/>
      <c r="H7" s="29"/>
      <c r="I7" s="29"/>
      <c r="J7" s="29"/>
      <c r="K7" s="58" t="str">
        <f>BI1</f>
        <v>3.06 Balancing my part-time job or internship responsibilities with my academic commitments is manageable</v>
      </c>
      <c r="L7" s="39">
        <f>AE43</f>
        <v>3.3414634146341462</v>
      </c>
      <c r="M7" s="52" t="str" cm="1">
        <f t="array" ref="M7">_xlfn.IFS(L7&lt;$H$3,$E$2,L7&lt;$H$4,$E$3,L7&lt;$H$5,$E$4,L7&lt;$H$6,$E$5,L7&gt;=$H$6,$E$6)</f>
        <v>Neutral</v>
      </c>
      <c r="N7" s="15"/>
      <c r="O7" s="51" t="s">
        <v>133</v>
      </c>
      <c r="P7" s="92">
        <v>10</v>
      </c>
      <c r="Q7" s="92">
        <v>18</v>
      </c>
      <c r="R7" s="92">
        <v>20</v>
      </c>
      <c r="S7" s="92">
        <v>22</v>
      </c>
      <c r="T7" s="92">
        <v>22</v>
      </c>
      <c r="U7" s="92">
        <v>0</v>
      </c>
      <c r="V7" s="92">
        <v>20</v>
      </c>
      <c r="W7" s="92">
        <v>24</v>
      </c>
      <c r="X7" s="92">
        <v>24</v>
      </c>
      <c r="Y7" s="92">
        <v>20</v>
      </c>
      <c r="Z7" s="5">
        <v>3</v>
      </c>
      <c r="AA7" s="5">
        <v>4</v>
      </c>
      <c r="AB7" s="5">
        <v>4</v>
      </c>
      <c r="AC7" s="5">
        <v>4</v>
      </c>
      <c r="AD7" s="5">
        <v>4</v>
      </c>
      <c r="AE7" s="5">
        <v>4</v>
      </c>
      <c r="AF7" s="5">
        <v>4</v>
      </c>
      <c r="AG7" s="5">
        <v>3</v>
      </c>
      <c r="AH7" s="5">
        <v>5</v>
      </c>
      <c r="AI7" s="81">
        <v>4</v>
      </c>
      <c r="AJ7" s="15"/>
      <c r="AK7" s="49">
        <v>1.02</v>
      </c>
      <c r="AL7" s="44" t="s">
        <v>84</v>
      </c>
      <c r="AM7" s="5" t="s">
        <v>35</v>
      </c>
      <c r="AN7" s="4">
        <v>10</v>
      </c>
      <c r="AO7" s="64">
        <f>AN7/(SUM($AN$5:$AN$9))</f>
        <v>0.24390243902439024</v>
      </c>
      <c r="AP7" s="14"/>
      <c r="AQ7" s="7">
        <v>2.06</v>
      </c>
      <c r="AR7" s="6" t="s">
        <v>57</v>
      </c>
      <c r="AS7" s="19">
        <f t="shared" si="6"/>
        <v>9</v>
      </c>
      <c r="AT7" s="4">
        <v>88</v>
      </c>
      <c r="AU7" s="36">
        <f t="shared" si="1"/>
        <v>6.0689655172413794E-2</v>
      </c>
      <c r="AV7" s="69">
        <f t="shared" si="2"/>
        <v>2.1463414634146343</v>
      </c>
      <c r="AW7" s="14"/>
      <c r="AX7" s="14"/>
      <c r="AY7" s="14"/>
      <c r="AZ7" s="14"/>
      <c r="BA7" s="14"/>
      <c r="BB7" s="14"/>
      <c r="BC7" s="14"/>
      <c r="BD7" s="14"/>
      <c r="BE7" s="14"/>
      <c r="BF7" s="14"/>
      <c r="BG7" s="14"/>
      <c r="BH7" s="14"/>
      <c r="BI7" s="14"/>
      <c r="BJ7" s="14"/>
      <c r="BK7" s="14"/>
      <c r="BL7" s="14"/>
      <c r="BM7" s="14"/>
      <c r="BN7" s="14"/>
      <c r="BO7" s="14"/>
      <c r="BP7" s="14"/>
      <c r="BQ7" s="14"/>
      <c r="BR7" s="14"/>
      <c r="BS7" s="14"/>
      <c r="BT7" s="51" t="s">
        <v>64</v>
      </c>
      <c r="BU7" s="6">
        <v>4</v>
      </c>
      <c r="BV7" s="18">
        <f>BU7/(SUM($BU$7,$BW$7,$BY$7,$CA$7,$CC$7))</f>
        <v>9.7560975609756101E-2</v>
      </c>
      <c r="BW7" s="6">
        <v>2</v>
      </c>
      <c r="BX7" s="18">
        <f>BW7/(SUM($BU$7,$BW$7,$BY$7,$CA$7,$CC$7))</f>
        <v>4.878048780487805E-2</v>
      </c>
      <c r="BY7" s="6">
        <v>14</v>
      </c>
      <c r="BZ7" s="18">
        <f>BY7/(SUM($BU$7,$BW$7,$BY$7,$CA$7,$CC$7))</f>
        <v>0.34146341463414637</v>
      </c>
      <c r="CA7" s="6">
        <v>18</v>
      </c>
      <c r="CB7" s="18">
        <f>CA7/(SUM($BU$7,$BW$7,$BY$7,$CA$7,$CC$7))</f>
        <v>0.43902439024390244</v>
      </c>
      <c r="CC7" s="6">
        <v>3</v>
      </c>
      <c r="CD7" s="77">
        <f>CC7/(SUM($BU$7,$BW$7,$BY$7,$CA$7,$CC$7))</f>
        <v>7.3170731707317069E-2</v>
      </c>
      <c r="CE7" s="15"/>
    </row>
    <row r="8" spans="1:83" ht="83.4" customHeight="1">
      <c r="A8" s="119"/>
      <c r="B8" s="8" t="s">
        <v>72</v>
      </c>
      <c r="C8" s="15"/>
      <c r="D8" s="142" t="s">
        <v>213</v>
      </c>
      <c r="E8" s="143"/>
      <c r="F8" s="5">
        <v>41</v>
      </c>
      <c r="G8" s="142" t="s">
        <v>231</v>
      </c>
      <c r="H8" s="143"/>
      <c r="I8" s="34" t="s">
        <v>252</v>
      </c>
      <c r="J8" s="15"/>
      <c r="K8" s="51" t="str">
        <f>BK1</f>
        <v xml:space="preserve">3.07 I dedicate enough time to socializing and maintaining relationships with friends, family, and significant others. </v>
      </c>
      <c r="L8" s="39">
        <f>AF43</f>
        <v>3.9512195121951219</v>
      </c>
      <c r="M8" s="52" t="str" cm="1">
        <f t="array" ref="M8">_xlfn.IFS(L8&lt;$H$3,$E$2,L8&lt;$H$4,$E$3,L8&lt;$H$5,$E$4,L8&lt;$H$6,$E$5,L8&gt;=$H$6,$E$6)</f>
        <v>Agree</v>
      </c>
      <c r="N8" s="29"/>
      <c r="O8" s="51" t="s">
        <v>134</v>
      </c>
      <c r="P8" s="92">
        <v>6</v>
      </c>
      <c r="Q8" s="92">
        <v>8</v>
      </c>
      <c r="R8" s="92">
        <v>2</v>
      </c>
      <c r="S8" s="92">
        <v>1</v>
      </c>
      <c r="T8" s="92">
        <v>1</v>
      </c>
      <c r="U8" s="92">
        <v>5</v>
      </c>
      <c r="V8" s="92">
        <v>4</v>
      </c>
      <c r="W8" s="92">
        <v>0</v>
      </c>
      <c r="X8" s="92">
        <v>1</v>
      </c>
      <c r="Y8" s="92">
        <v>1</v>
      </c>
      <c r="Z8" s="5">
        <v>3</v>
      </c>
      <c r="AA8" s="5">
        <v>4</v>
      </c>
      <c r="AB8" s="5">
        <v>5</v>
      </c>
      <c r="AC8" s="5">
        <v>5</v>
      </c>
      <c r="AD8" s="5">
        <v>5</v>
      </c>
      <c r="AE8" s="5">
        <v>5</v>
      </c>
      <c r="AF8" s="5">
        <v>5</v>
      </c>
      <c r="AG8" s="5">
        <v>5</v>
      </c>
      <c r="AH8" s="5">
        <v>5</v>
      </c>
      <c r="AI8" s="81">
        <v>3</v>
      </c>
      <c r="AJ8" s="15"/>
      <c r="AK8" s="49">
        <v>1.02</v>
      </c>
      <c r="AL8" s="44" t="s">
        <v>84</v>
      </c>
      <c r="AM8" s="5" t="s">
        <v>36</v>
      </c>
      <c r="AN8" s="4">
        <v>0</v>
      </c>
      <c r="AO8" s="64">
        <f>AN8/(SUM($AN$5:$AN$9))</f>
        <v>0</v>
      </c>
      <c r="AP8" s="14"/>
      <c r="AQ8" s="7">
        <v>2.0699999999999998</v>
      </c>
      <c r="AR8" s="6" t="s">
        <v>58</v>
      </c>
      <c r="AS8" s="19">
        <f t="shared" si="6"/>
        <v>3</v>
      </c>
      <c r="AT8" s="4">
        <v>139</v>
      </c>
      <c r="AU8" s="36">
        <f t="shared" si="1"/>
        <v>9.5862068965517244E-2</v>
      </c>
      <c r="AV8" s="69">
        <f t="shared" si="2"/>
        <v>3.3902439024390243</v>
      </c>
      <c r="AW8" s="14"/>
      <c r="BS8" s="14"/>
      <c r="BT8" s="51" t="s">
        <v>11</v>
      </c>
      <c r="BU8" s="6">
        <v>0</v>
      </c>
      <c r="BV8" s="18">
        <f>BU8/(SUM($BU$8,$BW$8,$BY$8,$CA$8,$CC$8))</f>
        <v>0</v>
      </c>
      <c r="BW8" s="6">
        <v>1</v>
      </c>
      <c r="BX8" s="18">
        <f>BW8/(SUM($BU$8,$BW$8,$BY$8,$CA$8,$CC$8))</f>
        <v>2.4390243902439025E-2</v>
      </c>
      <c r="BY8" s="6">
        <v>12</v>
      </c>
      <c r="BZ8" s="18">
        <f>BY8/(SUM($BU$8,$BW$8,$BY$8,$CA$8,$CC$8))</f>
        <v>0.29268292682926828</v>
      </c>
      <c r="CA8" s="6">
        <v>16</v>
      </c>
      <c r="CB8" s="18">
        <f>CA8/(SUM($BU$8,$BW$8,$BY$8,$CA$8,$CC$8))</f>
        <v>0.3902439024390244</v>
      </c>
      <c r="CC8" s="6">
        <v>12</v>
      </c>
      <c r="CD8" s="77">
        <f>CC8/(SUM($BU$8,$BW$8,$BY$8,$CA$8,$CC$8))</f>
        <v>0.29268292682926828</v>
      </c>
      <c r="CE8" s="15"/>
    </row>
    <row r="9" spans="1:83" ht="92.4" customHeight="1">
      <c r="A9" s="119"/>
      <c r="B9" s="8" t="s">
        <v>73</v>
      </c>
      <c r="C9" s="15"/>
      <c r="D9" s="142" t="s">
        <v>239</v>
      </c>
      <c r="E9" s="143"/>
      <c r="F9" s="27">
        <f>QUARTILE(L2:L11,0)</f>
        <v>3.1463414634146343</v>
      </c>
      <c r="G9" s="139" t="s">
        <v>235</v>
      </c>
      <c r="H9" s="139"/>
      <c r="I9" s="27">
        <f>MEDIAN(L11,L10,L9,L8,L7,L6,L5,L4,L3,L2)</f>
        <v>3.7560975609756095</v>
      </c>
      <c r="J9" s="15"/>
      <c r="K9" s="51" t="str">
        <f>BM1</f>
        <v>3.08 My commute to and from campus is reasonable and does not significantly impact my time.</v>
      </c>
      <c r="L9" s="39">
        <f>AG43</f>
        <v>3.6829268292682928</v>
      </c>
      <c r="M9" s="52" t="str" cm="1">
        <f t="array" ref="M9">_xlfn.IFS(L9&lt;$H$3,$E$2,L9&lt;$H$4,$E$3,L9&lt;$H$5,$E$4,L9&lt;$H$6,$E$5,L9&gt;=$H$6,$E$6)</f>
        <v>Agree</v>
      </c>
      <c r="N9" s="29"/>
      <c r="O9" s="51" t="s">
        <v>135</v>
      </c>
      <c r="P9" s="92">
        <v>5</v>
      </c>
      <c r="Q9" s="92">
        <v>9</v>
      </c>
      <c r="R9" s="92">
        <v>4</v>
      </c>
      <c r="S9" s="92">
        <v>1</v>
      </c>
      <c r="T9" s="92">
        <v>0.25</v>
      </c>
      <c r="U9" s="92">
        <v>0</v>
      </c>
      <c r="V9" s="92">
        <v>2</v>
      </c>
      <c r="W9" s="92">
        <v>8.3000000000000004E-2</v>
      </c>
      <c r="X9" s="92">
        <v>2</v>
      </c>
      <c r="Y9" s="92">
        <v>0.67</v>
      </c>
      <c r="Z9" s="5">
        <v>1</v>
      </c>
      <c r="AA9" s="5">
        <v>5</v>
      </c>
      <c r="AB9" s="5">
        <v>3</v>
      </c>
      <c r="AC9" s="5">
        <v>4</v>
      </c>
      <c r="AD9" s="5">
        <v>5</v>
      </c>
      <c r="AE9" s="5">
        <v>1</v>
      </c>
      <c r="AF9" s="5">
        <v>5</v>
      </c>
      <c r="AG9" s="5">
        <v>4</v>
      </c>
      <c r="AH9" s="5">
        <v>5</v>
      </c>
      <c r="AI9" s="81">
        <v>5</v>
      </c>
      <c r="AJ9" s="15"/>
      <c r="AK9" s="49">
        <v>1.02</v>
      </c>
      <c r="AL9" s="44" t="s">
        <v>84</v>
      </c>
      <c r="AM9" s="5" t="s">
        <v>37</v>
      </c>
      <c r="AN9" s="4">
        <v>1</v>
      </c>
      <c r="AO9" s="64">
        <f>AN9/(SUM($AN$5:$AN$9))</f>
        <v>2.4390243902439025E-2</v>
      </c>
      <c r="AP9" s="14"/>
      <c r="AQ9" s="7">
        <v>2.08</v>
      </c>
      <c r="AR9" s="6" t="s">
        <v>59</v>
      </c>
      <c r="AS9" s="19">
        <f t="shared" si="6"/>
        <v>10</v>
      </c>
      <c r="AT9" s="4">
        <v>78</v>
      </c>
      <c r="AU9" s="36">
        <f t="shared" si="1"/>
        <v>5.3793103448275863E-2</v>
      </c>
      <c r="AV9" s="69">
        <f t="shared" si="2"/>
        <v>1.9024390243902438</v>
      </c>
      <c r="AW9" s="14"/>
      <c r="BS9" s="14"/>
      <c r="BT9" s="51" t="s">
        <v>12</v>
      </c>
      <c r="BU9" s="6">
        <v>2</v>
      </c>
      <c r="BV9" s="18">
        <f>BU9/(SUM($BU$9,$BW$9,$BY$9,$CA$9,$CC$9))</f>
        <v>4.878048780487805E-2</v>
      </c>
      <c r="BW9" s="6">
        <v>2</v>
      </c>
      <c r="BX9" s="18">
        <f>BW9/(SUM($BU$9,$BW$9,$BY$9,$CA$9,$CC$9))</f>
        <v>4.878048780487805E-2</v>
      </c>
      <c r="BY9" s="6">
        <v>14</v>
      </c>
      <c r="BZ9" s="18">
        <f>BY9/(SUM($BU$9,$BW$9,$BY$9,$CA$9,$CC$9))</f>
        <v>0.34146341463414637</v>
      </c>
      <c r="CA9" s="6">
        <v>12</v>
      </c>
      <c r="CB9" s="18">
        <f>CA9/(SUM($BU$9,$BW$9,$BY$9,$CA$9,$CC$9))</f>
        <v>0.29268292682926828</v>
      </c>
      <c r="CC9" s="6">
        <v>11</v>
      </c>
      <c r="CD9" s="77">
        <f>CC9/(SUM($BU$9,$BW$9,$BY$9,$CA$9,$CC$9))</f>
        <v>0.26829268292682928</v>
      </c>
      <c r="CE9" s="15"/>
    </row>
    <row r="10" spans="1:83" ht="66.599999999999994" customHeight="1">
      <c r="A10" s="119"/>
      <c r="B10" s="8" t="s">
        <v>79</v>
      </c>
      <c r="C10" s="15"/>
      <c r="D10" s="142" t="s">
        <v>237</v>
      </c>
      <c r="E10" s="143"/>
      <c r="F10" s="27">
        <f>QUARTILE(L2:L11,1)</f>
        <v>3.6463414634146343</v>
      </c>
      <c r="G10" s="139" t="s">
        <v>241</v>
      </c>
      <c r="H10" s="139"/>
      <c r="I10" s="27">
        <f>PERCENTILE(L2:L11,90%)</f>
        <v>3.9902439024390244</v>
      </c>
      <c r="J10" s="15"/>
      <c r="K10" s="51" t="str">
        <f>BO1</f>
        <v xml:space="preserve">3.09  I prioritize personal care activities such as exercise, cooking, eating, and self-care routines. </v>
      </c>
      <c r="L10" s="39">
        <f>AH43</f>
        <v>3.7317073170731709</v>
      </c>
      <c r="M10" s="52" t="str" cm="1">
        <f t="array" ref="M10">_xlfn.IFS(L10&lt;$H$3,$E$2,L10&lt;$H$4,$E$3,L10&lt;$H$5,$E$4,L10&lt;$H$6,$E$5,L10&gt;=$H$6,$E$6)</f>
        <v>Agree</v>
      </c>
      <c r="N10" s="29"/>
      <c r="O10" s="51" t="s">
        <v>136</v>
      </c>
      <c r="P10" s="92">
        <v>6</v>
      </c>
      <c r="Q10" s="92">
        <v>5</v>
      </c>
      <c r="R10" s="92">
        <v>3</v>
      </c>
      <c r="S10" s="92">
        <v>2</v>
      </c>
      <c r="T10" s="92">
        <v>1</v>
      </c>
      <c r="U10" s="92">
        <v>2</v>
      </c>
      <c r="V10" s="92">
        <v>2</v>
      </c>
      <c r="W10" s="92">
        <v>1</v>
      </c>
      <c r="X10" s="92">
        <v>1</v>
      </c>
      <c r="Y10" s="92">
        <v>1</v>
      </c>
      <c r="Z10" s="5">
        <v>4</v>
      </c>
      <c r="AA10" s="5">
        <v>4</v>
      </c>
      <c r="AB10" s="5">
        <v>3</v>
      </c>
      <c r="AC10" s="5">
        <v>4</v>
      </c>
      <c r="AD10" s="5">
        <v>3</v>
      </c>
      <c r="AE10" s="5">
        <v>3</v>
      </c>
      <c r="AF10" s="5">
        <v>5</v>
      </c>
      <c r="AG10" s="5">
        <v>2</v>
      </c>
      <c r="AH10" s="5">
        <v>3</v>
      </c>
      <c r="AI10" s="81">
        <v>4</v>
      </c>
      <c r="AJ10" s="15"/>
      <c r="AK10" s="49">
        <v>1.03</v>
      </c>
      <c r="AL10" s="45" t="s">
        <v>85</v>
      </c>
      <c r="AM10" s="5" t="s">
        <v>38</v>
      </c>
      <c r="AN10" s="4">
        <v>0</v>
      </c>
      <c r="AO10" s="64">
        <f t="shared" ref="AO10:AO19" si="8">AN10/(SUM($AN$10:$AN$19))</f>
        <v>0</v>
      </c>
      <c r="AP10" s="14"/>
      <c r="AQ10" s="7">
        <v>2.09</v>
      </c>
      <c r="AR10" s="6" t="s">
        <v>60</v>
      </c>
      <c r="AS10" s="19">
        <f t="shared" si="6"/>
        <v>8</v>
      </c>
      <c r="AT10" s="4">
        <v>103</v>
      </c>
      <c r="AU10" s="36">
        <f t="shared" si="1"/>
        <v>7.103448275862069E-2</v>
      </c>
      <c r="AV10" s="69">
        <f t="shared" si="2"/>
        <v>2.5121951219512195</v>
      </c>
      <c r="AW10" s="14"/>
      <c r="BS10" s="14"/>
      <c r="BT10" s="51" t="s">
        <v>65</v>
      </c>
      <c r="BU10" s="6">
        <v>1</v>
      </c>
      <c r="BV10" s="18">
        <f>BU10/(SUM($BU$10,$BW$10,$BY$10,$CA$10,$CC$10))</f>
        <v>2.4390243902439025E-2</v>
      </c>
      <c r="BW10" s="6">
        <v>0</v>
      </c>
      <c r="BX10" s="18">
        <f>BW10/(SUM($BU$10,$BW$10,$BY$10,$CA$10,$CC$10))</f>
        <v>0</v>
      </c>
      <c r="BY10" s="6">
        <v>17</v>
      </c>
      <c r="BZ10" s="18">
        <f>BY10/(SUM($BU$10,$BW$10,$BY$10,$CA$10,$CC$10))</f>
        <v>0.41463414634146339</v>
      </c>
      <c r="CA10" s="6">
        <v>14</v>
      </c>
      <c r="CB10" s="18">
        <f>CA10/(SUM($BU$10,$BW$10,$BY$10,$CA$10,$CC$10))</f>
        <v>0.34146341463414637</v>
      </c>
      <c r="CC10" s="6">
        <v>9</v>
      </c>
      <c r="CD10" s="77">
        <f>CC10/(SUM($BU$10,$BW$10,$BY$10,$CA$10,$CC$10))</f>
        <v>0.21951219512195122</v>
      </c>
      <c r="CE10" s="15"/>
    </row>
    <row r="11" spans="1:83" ht="87.6" customHeight="1">
      <c r="A11" s="119"/>
      <c r="B11" s="8" t="s">
        <v>381</v>
      </c>
      <c r="C11" s="15"/>
      <c r="D11" s="142" t="s">
        <v>236</v>
      </c>
      <c r="E11" s="143"/>
      <c r="F11" s="27">
        <f>QUARTILE(L2:L11,2)</f>
        <v>3.7560975609756095</v>
      </c>
      <c r="G11" s="139" t="s">
        <v>242</v>
      </c>
      <c r="H11" s="139"/>
      <c r="I11" s="27">
        <f>PERCENTILE(L2:L11,80%)</f>
        <v>3.9121951219512194</v>
      </c>
      <c r="J11" s="15"/>
      <c r="K11" s="54" t="str">
        <f>BQ1</f>
        <v xml:space="preserve"> 3.10 I allocate enough time for personal hobbies and interests that provide me with relaxation and enjoyment. </v>
      </c>
      <c r="L11" s="59">
        <f>AI43</f>
        <v>3.7804878048780486</v>
      </c>
      <c r="M11" s="57" t="str" cm="1">
        <f t="array" ref="M11">_xlfn.IFS(L11&lt;$H$3,$E$2,L11&lt;$H$4,$E$3,L11&lt;$H$5,$E$4,L11&lt;$H$6,$E$5,L11&gt;=$H$6,$E$6)</f>
        <v>Agree</v>
      </c>
      <c r="N11" s="29"/>
      <c r="O11" s="51" t="s">
        <v>137</v>
      </c>
      <c r="P11" s="92">
        <v>5</v>
      </c>
      <c r="Q11" s="92">
        <v>10</v>
      </c>
      <c r="R11" s="92">
        <v>4</v>
      </c>
      <c r="S11" s="92">
        <v>2</v>
      </c>
      <c r="T11" s="92">
        <v>5</v>
      </c>
      <c r="U11" s="92">
        <v>1</v>
      </c>
      <c r="V11" s="92">
        <v>1</v>
      </c>
      <c r="W11" s="92">
        <v>1</v>
      </c>
      <c r="X11" s="92">
        <v>1</v>
      </c>
      <c r="Y11" s="92">
        <v>1</v>
      </c>
      <c r="Z11" s="5">
        <v>3</v>
      </c>
      <c r="AA11" s="5">
        <v>5</v>
      </c>
      <c r="AB11" s="5">
        <v>3</v>
      </c>
      <c r="AC11" s="5">
        <v>4</v>
      </c>
      <c r="AD11" s="5">
        <v>4</v>
      </c>
      <c r="AE11" s="5">
        <v>3</v>
      </c>
      <c r="AF11" s="5">
        <v>3</v>
      </c>
      <c r="AG11" s="5">
        <v>3</v>
      </c>
      <c r="AH11" s="5">
        <v>3</v>
      </c>
      <c r="AI11" s="81">
        <v>4</v>
      </c>
      <c r="AJ11" s="15"/>
      <c r="AK11" s="49">
        <v>1.03</v>
      </c>
      <c r="AL11" s="45" t="s">
        <v>85</v>
      </c>
      <c r="AM11" s="5" t="s">
        <v>39</v>
      </c>
      <c r="AN11" s="4">
        <v>0</v>
      </c>
      <c r="AO11" s="64">
        <f t="shared" si="8"/>
        <v>0</v>
      </c>
      <c r="AP11" s="14"/>
      <c r="AQ11" s="70">
        <v>2.1</v>
      </c>
      <c r="AR11" s="41" t="s">
        <v>61</v>
      </c>
      <c r="AS11" s="71">
        <f t="shared" si="6"/>
        <v>5</v>
      </c>
      <c r="AT11" s="67">
        <v>128</v>
      </c>
      <c r="AU11" s="72">
        <f t="shared" si="1"/>
        <v>8.827586206896551E-2</v>
      </c>
      <c r="AV11" s="73">
        <f>AT11/$F$8</f>
        <v>3.1219512195121952</v>
      </c>
      <c r="AW11" s="14"/>
      <c r="BS11" s="14"/>
      <c r="BT11" s="54" t="s">
        <v>66</v>
      </c>
      <c r="BU11" s="41">
        <v>0</v>
      </c>
      <c r="BV11" s="78">
        <f>BU11/(SUM($BU$11,$BW$11,$BY$11,$CA$11,$CC$11))</f>
        <v>0</v>
      </c>
      <c r="BW11" s="41">
        <v>4</v>
      </c>
      <c r="BX11" s="78">
        <f>BW11/(SUM($BU$11,$BW$11,$BY$11,$CA$11,$CC$11))</f>
        <v>9.7560975609756101E-2</v>
      </c>
      <c r="BY11" s="41">
        <v>8</v>
      </c>
      <c r="BZ11" s="78">
        <f>BY11/(SUM($BU$11,$BW$11,$BY$11,$CA$11,$CC$11))</f>
        <v>0.1951219512195122</v>
      </c>
      <c r="CA11" s="41">
        <v>22</v>
      </c>
      <c r="CB11" s="78">
        <f>CA11/(SUM($BU$11,$BW$11,$BY$11,$CA$11,$CC$11))</f>
        <v>0.53658536585365857</v>
      </c>
      <c r="CC11" s="41">
        <v>7</v>
      </c>
      <c r="CD11" s="79">
        <f>CC11/(SUM($BU$11,$BW$11,$BY$11,$CA$11,$CC$11))</f>
        <v>0.17073170731707318</v>
      </c>
      <c r="CE11" s="15"/>
    </row>
    <row r="12" spans="1:83" ht="105.6" customHeight="1">
      <c r="A12" s="120"/>
      <c r="B12" s="8" t="s">
        <v>75</v>
      </c>
      <c r="C12" s="15"/>
      <c r="D12" s="142" t="s">
        <v>238</v>
      </c>
      <c r="E12" s="143"/>
      <c r="F12" s="27">
        <f>QUARTILE(L2:L11,3)</f>
        <v>3.8963414634146343</v>
      </c>
      <c r="G12" s="139" t="s">
        <v>243</v>
      </c>
      <c r="H12" s="139"/>
      <c r="I12" s="27">
        <f>PERCENTILE(L2:L11,10%)</f>
        <v>3.321951219512195</v>
      </c>
      <c r="J12" s="15"/>
      <c r="K12" s="139" t="s">
        <v>245</v>
      </c>
      <c r="L12" s="139"/>
      <c r="M12" s="39">
        <f>STDEV(L2:L11)</f>
        <v>0.32985494261081322</v>
      </c>
      <c r="N12" s="29"/>
      <c r="O12" s="51" t="s">
        <v>138</v>
      </c>
      <c r="P12" s="92">
        <v>6</v>
      </c>
      <c r="Q12" s="92">
        <v>8</v>
      </c>
      <c r="R12" s="92">
        <v>2</v>
      </c>
      <c r="S12" s="92">
        <v>1</v>
      </c>
      <c r="T12" s="92">
        <v>0</v>
      </c>
      <c r="U12" s="92">
        <v>0</v>
      </c>
      <c r="V12" s="92">
        <v>2</v>
      </c>
      <c r="W12" s="92">
        <v>2</v>
      </c>
      <c r="X12" s="92">
        <v>2</v>
      </c>
      <c r="Y12" s="92">
        <v>1</v>
      </c>
      <c r="Z12" s="5">
        <v>3</v>
      </c>
      <c r="AA12" s="5">
        <v>5</v>
      </c>
      <c r="AB12" s="5">
        <v>4</v>
      </c>
      <c r="AC12" s="5">
        <v>4</v>
      </c>
      <c r="AD12" s="5">
        <v>4</v>
      </c>
      <c r="AE12" s="5">
        <v>4</v>
      </c>
      <c r="AF12" s="5">
        <v>3</v>
      </c>
      <c r="AG12" s="5">
        <v>3</v>
      </c>
      <c r="AH12" s="5">
        <v>5</v>
      </c>
      <c r="AI12" s="81">
        <v>4</v>
      </c>
      <c r="AJ12" s="15"/>
      <c r="AK12" s="49">
        <v>1.03</v>
      </c>
      <c r="AL12" s="45" t="s">
        <v>85</v>
      </c>
      <c r="AM12" s="5" t="s">
        <v>40</v>
      </c>
      <c r="AN12" s="4">
        <v>33</v>
      </c>
      <c r="AO12" s="64">
        <f t="shared" si="8"/>
        <v>0.80487804878048785</v>
      </c>
      <c r="AP12" s="14"/>
      <c r="AQ12" s="14"/>
      <c r="AR12" s="15"/>
      <c r="AS12" s="15"/>
      <c r="AT12" s="14"/>
      <c r="AU12" s="14"/>
      <c r="AV12" s="14"/>
      <c r="AW12" s="14"/>
      <c r="BS12" s="14"/>
      <c r="BT12" s="15"/>
      <c r="BU12" s="15"/>
      <c r="BV12" s="15"/>
      <c r="BW12" s="15"/>
      <c r="BX12" s="15"/>
      <c r="BY12" s="15"/>
      <c r="BZ12" s="15"/>
      <c r="CA12" s="15"/>
      <c r="CB12" s="15"/>
      <c r="CC12" s="15"/>
      <c r="CD12" s="15"/>
      <c r="CE12" s="15"/>
    </row>
    <row r="13" spans="1:83" ht="43.2" customHeight="1">
      <c r="A13" s="7" t="s">
        <v>16</v>
      </c>
      <c r="B13" s="9" t="s">
        <v>26</v>
      </c>
      <c r="C13" s="14"/>
      <c r="D13" s="142" t="s">
        <v>240</v>
      </c>
      <c r="E13" s="143"/>
      <c r="F13" s="17">
        <f>QUARTILE(L2:L11,4)</f>
        <v>4.3414634146341466</v>
      </c>
      <c r="G13" s="139" t="s">
        <v>244</v>
      </c>
      <c r="H13" s="139"/>
      <c r="I13" s="17">
        <f>PERCENTILE(L2:L11,20%)</f>
        <v>3.575609756097561</v>
      </c>
      <c r="J13" s="14"/>
      <c r="K13" s="139" t="s">
        <v>246</v>
      </c>
      <c r="L13" s="139"/>
      <c r="M13" s="39">
        <f>VAR(L2:L11)</f>
        <v>0.10880428316478288</v>
      </c>
      <c r="N13" s="31"/>
      <c r="O13" s="60" t="s">
        <v>139</v>
      </c>
      <c r="P13" s="93">
        <v>7</v>
      </c>
      <c r="Q13" s="93">
        <v>6</v>
      </c>
      <c r="R13" s="93">
        <v>1</v>
      </c>
      <c r="S13" s="93">
        <v>1</v>
      </c>
      <c r="T13" s="93">
        <v>2</v>
      </c>
      <c r="U13" s="93">
        <v>1</v>
      </c>
      <c r="V13" s="93">
        <v>2</v>
      </c>
      <c r="W13" s="93">
        <v>1</v>
      </c>
      <c r="X13" s="93">
        <v>1</v>
      </c>
      <c r="Y13" s="93">
        <v>2</v>
      </c>
      <c r="Z13" s="5">
        <v>4</v>
      </c>
      <c r="AA13" s="5">
        <v>4</v>
      </c>
      <c r="AB13" s="5">
        <v>4</v>
      </c>
      <c r="AC13" s="5">
        <v>4</v>
      </c>
      <c r="AD13" s="5">
        <v>5</v>
      </c>
      <c r="AE13" s="5">
        <v>4</v>
      </c>
      <c r="AF13" s="5">
        <v>4</v>
      </c>
      <c r="AG13" s="5">
        <v>5</v>
      </c>
      <c r="AH13" s="5">
        <v>5</v>
      </c>
      <c r="AI13" s="81">
        <v>5</v>
      </c>
      <c r="AJ13" s="14"/>
      <c r="AK13" s="49">
        <v>1.03</v>
      </c>
      <c r="AL13" s="45" t="s">
        <v>85</v>
      </c>
      <c r="AM13" s="5" t="s">
        <v>41</v>
      </c>
      <c r="AN13" s="4">
        <v>0</v>
      </c>
      <c r="AO13" s="64">
        <f t="shared" si="8"/>
        <v>0</v>
      </c>
      <c r="AP13" s="14"/>
    </row>
    <row r="14" spans="1:83" ht="43.2" customHeight="1">
      <c r="A14" s="6" t="s">
        <v>24</v>
      </c>
      <c r="B14" s="9" t="s">
        <v>25</v>
      </c>
      <c r="C14" s="15"/>
      <c r="D14" s="15"/>
      <c r="E14" s="15"/>
      <c r="F14" s="15"/>
      <c r="G14" s="15"/>
      <c r="H14" s="15"/>
      <c r="I14" s="15"/>
      <c r="J14" s="15"/>
      <c r="K14" s="15"/>
      <c r="L14" s="15"/>
      <c r="M14" s="15"/>
      <c r="N14" s="29"/>
      <c r="O14" s="51" t="s">
        <v>140</v>
      </c>
      <c r="P14" s="92">
        <v>5</v>
      </c>
      <c r="Q14" s="92">
        <v>4</v>
      </c>
      <c r="R14" s="92">
        <v>4</v>
      </c>
      <c r="S14" s="92">
        <v>2</v>
      </c>
      <c r="T14" s="92">
        <v>1</v>
      </c>
      <c r="U14" s="92">
        <v>1</v>
      </c>
      <c r="V14" s="92">
        <v>4</v>
      </c>
      <c r="W14" s="92">
        <v>1</v>
      </c>
      <c r="X14" s="92">
        <v>1</v>
      </c>
      <c r="Y14" s="92">
        <v>1</v>
      </c>
      <c r="Z14" s="5">
        <v>2</v>
      </c>
      <c r="AA14" s="5">
        <v>4</v>
      </c>
      <c r="AB14" s="5">
        <v>4</v>
      </c>
      <c r="AC14" s="5">
        <v>3</v>
      </c>
      <c r="AD14" s="5">
        <v>4</v>
      </c>
      <c r="AE14" s="5">
        <v>2</v>
      </c>
      <c r="AF14" s="5">
        <v>4</v>
      </c>
      <c r="AG14" s="5">
        <v>1</v>
      </c>
      <c r="AH14" s="5">
        <v>3</v>
      </c>
      <c r="AI14" s="81">
        <v>2</v>
      </c>
      <c r="AJ14" s="15"/>
      <c r="AK14" s="49">
        <v>1.03</v>
      </c>
      <c r="AL14" s="45" t="s">
        <v>85</v>
      </c>
      <c r="AM14" s="5" t="s">
        <v>42</v>
      </c>
      <c r="AN14" s="4">
        <v>0</v>
      </c>
      <c r="AO14" s="64">
        <f t="shared" si="8"/>
        <v>0</v>
      </c>
      <c r="AP14" s="14"/>
    </row>
    <row r="15" spans="1:83" ht="26.4">
      <c r="A15" s="118" t="s">
        <v>17</v>
      </c>
      <c r="B15" s="84" t="s">
        <v>78</v>
      </c>
      <c r="C15" s="15"/>
      <c r="D15" s="96" t="s">
        <v>253</v>
      </c>
      <c r="E15" s="61" t="s">
        <v>260</v>
      </c>
      <c r="F15" s="97" t="s">
        <v>254</v>
      </c>
      <c r="G15" s="96" t="s">
        <v>253</v>
      </c>
      <c r="H15" s="61" t="s">
        <v>260</v>
      </c>
      <c r="I15" s="97" t="s">
        <v>254</v>
      </c>
      <c r="J15" s="15"/>
      <c r="K15" s="96" t="s">
        <v>253</v>
      </c>
      <c r="L15" s="61" t="s">
        <v>260</v>
      </c>
      <c r="M15" s="97" t="s">
        <v>254</v>
      </c>
      <c r="N15" s="29"/>
      <c r="O15" s="51" t="s">
        <v>141</v>
      </c>
      <c r="P15" s="92">
        <v>8</v>
      </c>
      <c r="Q15" s="92">
        <v>8</v>
      </c>
      <c r="R15" s="92">
        <v>2</v>
      </c>
      <c r="S15" s="92">
        <v>2</v>
      </c>
      <c r="T15" s="92">
        <v>2</v>
      </c>
      <c r="U15" s="92">
        <v>0</v>
      </c>
      <c r="V15" s="92">
        <v>1</v>
      </c>
      <c r="W15" s="92">
        <v>1</v>
      </c>
      <c r="X15" s="92">
        <v>1</v>
      </c>
      <c r="Y15" s="92">
        <v>1</v>
      </c>
      <c r="Z15" s="5">
        <v>3</v>
      </c>
      <c r="AA15" s="5">
        <v>4</v>
      </c>
      <c r="AB15" s="5">
        <v>3</v>
      </c>
      <c r="AC15" s="5">
        <v>4</v>
      </c>
      <c r="AD15" s="5">
        <v>4</v>
      </c>
      <c r="AE15" s="5">
        <v>4</v>
      </c>
      <c r="AF15" s="5">
        <v>4</v>
      </c>
      <c r="AG15" s="5">
        <v>3</v>
      </c>
      <c r="AH15" s="5">
        <v>4</v>
      </c>
      <c r="AI15" s="81">
        <v>4</v>
      </c>
      <c r="AJ15" s="15"/>
      <c r="AK15" s="49">
        <v>1.03</v>
      </c>
      <c r="AL15" s="45" t="s">
        <v>85</v>
      </c>
      <c r="AM15" s="5" t="s">
        <v>43</v>
      </c>
      <c r="AN15" s="4">
        <v>4</v>
      </c>
      <c r="AO15" s="64">
        <f t="shared" si="8"/>
        <v>9.7560975609756101E-2</v>
      </c>
      <c r="AP15" s="14"/>
    </row>
    <row r="16" spans="1:83" ht="26.4" customHeight="1">
      <c r="A16" s="119"/>
      <c r="B16" s="85" t="s">
        <v>172</v>
      </c>
      <c r="C16" s="15"/>
      <c r="D16" s="51" t="s">
        <v>261</v>
      </c>
      <c r="E16" s="50">
        <f>CORREL(Table3[Q3.01 Rating],Table3[Q3.02 Rating])</f>
        <v>8.5462281906977966E-2</v>
      </c>
      <c r="F16" s="81" t="str" cm="1">
        <f t="array" ref="F16">_xlfn.IFS(E16&lt;-0.8,"Very Weak",E16&lt;0,"Weak",E16=0,"No Correlation",E16&lt;=0.8,"Strong",E16&gt;0.8,"Very Strong")</f>
        <v>Strong</v>
      </c>
      <c r="G16" s="51" t="s">
        <v>316</v>
      </c>
      <c r="H16" s="50">
        <f>CORREL(Table3[Q2.01 Response],Table3[Q2.02 Response])</f>
        <v>0.17237827061785535</v>
      </c>
      <c r="I16" s="81" t="str" cm="1">
        <f t="array" ref="I16">_xlfn.IFS(H16&lt;-0.8,"Very Weak",H16&lt;0,"Weak",H16=0,"No Correlation",H16&lt;=0.8,"Strong",H16&gt;0.8,"Very Strong")</f>
        <v>Strong</v>
      </c>
      <c r="J16" s="15"/>
      <c r="K16" s="51" t="s">
        <v>361</v>
      </c>
      <c r="L16" s="50">
        <f>CORREL(Table3[Q2.01 Response],Table3[Q3.01 Rating])</f>
        <v>0.34537192980406328</v>
      </c>
      <c r="M16" s="81" t="str" cm="1">
        <f t="array" ref="M16">_xlfn.IFS(L16&lt;-0.8,"Very Weak",L16&lt;0,"Weak",L16=0,"No Correlation",L16&lt;=0.8,"Strong",L16&gt;0.8,"Very Strong")</f>
        <v>Strong</v>
      </c>
      <c r="N16" s="29"/>
      <c r="O16" s="51" t="s">
        <v>142</v>
      </c>
      <c r="P16" s="92">
        <v>9</v>
      </c>
      <c r="Q16" s="92">
        <v>5</v>
      </c>
      <c r="R16" s="92">
        <v>4</v>
      </c>
      <c r="S16" s="92">
        <v>4</v>
      </c>
      <c r="T16" s="92">
        <v>4</v>
      </c>
      <c r="U16" s="92">
        <v>8</v>
      </c>
      <c r="V16" s="92">
        <v>4</v>
      </c>
      <c r="W16" s="92">
        <v>1</v>
      </c>
      <c r="X16" s="92">
        <v>2</v>
      </c>
      <c r="Y16" s="92">
        <v>24</v>
      </c>
      <c r="Z16" s="5">
        <v>3</v>
      </c>
      <c r="AA16" s="5">
        <v>5</v>
      </c>
      <c r="AB16" s="5">
        <v>5</v>
      </c>
      <c r="AC16" s="5">
        <v>5</v>
      </c>
      <c r="AD16" s="5">
        <v>5</v>
      </c>
      <c r="AE16" s="5">
        <v>3</v>
      </c>
      <c r="AF16" s="5">
        <v>3</v>
      </c>
      <c r="AG16" s="5">
        <v>5</v>
      </c>
      <c r="AH16" s="5">
        <v>5</v>
      </c>
      <c r="AI16" s="81">
        <v>5</v>
      </c>
      <c r="AJ16" s="15"/>
      <c r="AK16" s="49">
        <v>1.03</v>
      </c>
      <c r="AL16" s="45" t="s">
        <v>85</v>
      </c>
      <c r="AM16" s="5" t="s">
        <v>44</v>
      </c>
      <c r="AN16" s="4">
        <v>0</v>
      </c>
      <c r="AO16" s="64">
        <f t="shared" si="8"/>
        <v>0</v>
      </c>
      <c r="AP16" s="14"/>
    </row>
    <row r="17" spans="1:42" ht="13.2" customHeight="1">
      <c r="A17" s="119"/>
      <c r="B17" s="85" t="s">
        <v>173</v>
      </c>
      <c r="C17" s="15"/>
      <c r="D17" s="51" t="s">
        <v>262</v>
      </c>
      <c r="E17" s="50">
        <f>CORREL(Table3[Q3.01 Rating],Table3[Q3.03 Rating])</f>
        <v>0.19749739314216042</v>
      </c>
      <c r="F17" s="81" t="str" cm="1">
        <f t="array" ref="F17">_xlfn.IFS(E17&lt;-0.8,"Very Weak",E17&lt;0,"Weak",E17=0,"No Correlation",E17&lt;=0.8,"Strong",E17&gt;0.8,"Very Strong")</f>
        <v>Strong</v>
      </c>
      <c r="G17" s="51" t="s">
        <v>317</v>
      </c>
      <c r="H17" s="50">
        <f>CORREL(Table3[Q2.01 Response],Table3[Q2.03 Response])</f>
        <v>0.38874155126234922</v>
      </c>
      <c r="I17" s="81" t="str" cm="1">
        <f t="array" ref="I17">_xlfn.IFS(H17&lt;-0.8,"Very Weak",H17&lt;0,"Weak",H17=0,"No Correlation",H17&lt;=0.8,"Strong",H17&gt;0.8,"Very Strong")</f>
        <v>Strong</v>
      </c>
      <c r="J17" s="15"/>
      <c r="K17" s="51" t="s">
        <v>362</v>
      </c>
      <c r="L17" s="50">
        <f>CORREL(Table3[Q2.02 Response],Table3[Q3.02 Rating])</f>
        <v>6.1559536912250872E-3</v>
      </c>
      <c r="M17" s="81" t="str" cm="1">
        <f t="array" ref="M17">_xlfn.IFS(L17&lt;-0.8,"Very Weak",L17&lt;0,"Weak",L17=0,"No Correlation",L17&lt;=0.8,"Strong",L17&gt;0.8,"Very Strong")</f>
        <v>Strong</v>
      </c>
      <c r="N17" s="29"/>
      <c r="O17" s="51" t="s">
        <v>143</v>
      </c>
      <c r="P17" s="92">
        <v>6</v>
      </c>
      <c r="Q17" s="92">
        <v>5</v>
      </c>
      <c r="R17" s="92">
        <v>1</v>
      </c>
      <c r="S17" s="92">
        <v>2</v>
      </c>
      <c r="T17" s="92">
        <v>2</v>
      </c>
      <c r="U17" s="92">
        <v>0</v>
      </c>
      <c r="V17" s="92">
        <v>2</v>
      </c>
      <c r="W17" s="92">
        <v>1</v>
      </c>
      <c r="X17" s="92">
        <v>2</v>
      </c>
      <c r="Y17" s="92">
        <v>2</v>
      </c>
      <c r="Z17" s="5">
        <v>3</v>
      </c>
      <c r="AA17" s="5">
        <v>3</v>
      </c>
      <c r="AB17" s="5">
        <v>2</v>
      </c>
      <c r="AC17" s="5">
        <v>3</v>
      </c>
      <c r="AD17" s="5">
        <v>4</v>
      </c>
      <c r="AE17" s="5">
        <v>3</v>
      </c>
      <c r="AF17" s="5">
        <v>4</v>
      </c>
      <c r="AG17" s="5">
        <v>4</v>
      </c>
      <c r="AH17" s="5">
        <v>4</v>
      </c>
      <c r="AI17" s="81">
        <v>4</v>
      </c>
      <c r="AJ17" s="15"/>
      <c r="AK17" s="49">
        <v>1.03</v>
      </c>
      <c r="AL17" s="45" t="s">
        <v>85</v>
      </c>
      <c r="AM17" s="5" t="s">
        <v>45</v>
      </c>
      <c r="AN17" s="4">
        <v>0</v>
      </c>
      <c r="AO17" s="64">
        <f t="shared" si="8"/>
        <v>0</v>
      </c>
      <c r="AP17" s="14"/>
    </row>
    <row r="18" spans="1:42" ht="39.6" customHeight="1">
      <c r="A18" s="119"/>
      <c r="B18" s="85" t="s">
        <v>174</v>
      </c>
      <c r="C18" s="15"/>
      <c r="D18" s="51" t="s">
        <v>263</v>
      </c>
      <c r="E18" s="50">
        <f>CORREL(Table3[Q3.01 Rating],Table3[Q3.04 Rating])</f>
        <v>0.19964408496485653</v>
      </c>
      <c r="F18" s="81" t="str" cm="1">
        <f t="array" ref="F18">_xlfn.IFS(E18&lt;-0.8,"Very Weak",E18&lt;0,"Weak",E18=0,"No Correlation",E18&lt;=0.8,"Strong",E18&gt;0.8,"Very Strong")</f>
        <v>Strong</v>
      </c>
      <c r="G18" s="51" t="s">
        <v>318</v>
      </c>
      <c r="H18" s="50">
        <f>CORREL(Table3[Q2.01 Response],Table3[Q2.04 Response])</f>
        <v>0.49042507454832829</v>
      </c>
      <c r="I18" s="81" t="str" cm="1">
        <f t="array" ref="I18">_xlfn.IFS(H18&lt;-0.8,"Very Weak",H18&lt;0,"Weak",H18=0,"No Correlation",H18&lt;=0.8,"Strong",H18&gt;0.8,"Very Strong")</f>
        <v>Strong</v>
      </c>
      <c r="J18" s="15"/>
      <c r="K18" s="51" t="s">
        <v>363</v>
      </c>
      <c r="L18" s="50">
        <f>CORREL(Table3[Q2.03 Response],Table3[Q3.03 Rating])</f>
        <v>7.2828885903394452E-2</v>
      </c>
      <c r="M18" s="81" t="str" cm="1">
        <f t="array" ref="M18">_xlfn.IFS(L18&lt;-0.8,"Very Weak",L18&lt;0,"Weak",L18=0,"No Correlation",L18&lt;=0.8,"Strong",L18&gt;0.8,"Very Strong")</f>
        <v>Strong</v>
      </c>
      <c r="N18" s="29"/>
      <c r="O18" s="51" t="s">
        <v>144</v>
      </c>
      <c r="P18" s="92">
        <v>8</v>
      </c>
      <c r="Q18" s="92">
        <v>5</v>
      </c>
      <c r="R18" s="92">
        <v>2</v>
      </c>
      <c r="S18" s="92">
        <v>2</v>
      </c>
      <c r="T18" s="92">
        <v>2</v>
      </c>
      <c r="U18" s="92">
        <v>1</v>
      </c>
      <c r="V18" s="92">
        <v>3</v>
      </c>
      <c r="W18" s="92">
        <v>1</v>
      </c>
      <c r="X18" s="92">
        <v>2</v>
      </c>
      <c r="Y18" s="92">
        <v>1</v>
      </c>
      <c r="Z18" s="5">
        <v>3</v>
      </c>
      <c r="AA18" s="5">
        <v>4</v>
      </c>
      <c r="AB18" s="5">
        <v>4</v>
      </c>
      <c r="AC18" s="5">
        <v>4</v>
      </c>
      <c r="AD18" s="5">
        <v>4</v>
      </c>
      <c r="AE18" s="5">
        <v>4</v>
      </c>
      <c r="AF18" s="5">
        <v>3</v>
      </c>
      <c r="AG18" s="5">
        <v>3</v>
      </c>
      <c r="AH18" s="5">
        <v>4</v>
      </c>
      <c r="AI18" s="81">
        <v>4</v>
      </c>
      <c r="AJ18" s="15"/>
      <c r="AK18" s="49">
        <v>1.03</v>
      </c>
      <c r="AL18" s="45" t="s">
        <v>85</v>
      </c>
      <c r="AM18" s="5" t="s">
        <v>46</v>
      </c>
      <c r="AN18" s="4">
        <v>0</v>
      </c>
      <c r="AO18" s="64">
        <f t="shared" si="8"/>
        <v>0</v>
      </c>
      <c r="AP18" s="14"/>
    </row>
    <row r="19" spans="1:42" ht="79.2" customHeight="1">
      <c r="A19" s="119"/>
      <c r="B19" s="85" t="s">
        <v>175</v>
      </c>
      <c r="C19" s="15"/>
      <c r="D19" s="51" t="s">
        <v>264</v>
      </c>
      <c r="E19" s="50">
        <f>CORREL(Table3[Q3.01 Rating],Table3[Q3.05 Rating])</f>
        <v>-1.573264989428446E-2</v>
      </c>
      <c r="F19" s="81" t="str" cm="1">
        <f t="array" ref="F19">_xlfn.IFS(E19&lt;-0.8,"Very Weak",E19&lt;0,"Weak",E19=0,"No Correlation",E19&lt;=0.8,"Strong",E19&gt;0.8,"Very Strong")</f>
        <v>Weak</v>
      </c>
      <c r="G19" s="51" t="s">
        <v>319</v>
      </c>
      <c r="H19" s="50">
        <f>CORREL(Table3[Q2.01 Response],Table3[Q2.05 Response])</f>
        <v>0.49895120740247206</v>
      </c>
      <c r="I19" s="81" t="str" cm="1">
        <f t="array" ref="I19">_xlfn.IFS(H19&lt;-0.8,"Very Weak",H19&lt;0,"Weak",H19=0,"No Correlation",H19&lt;=0.8,"Strong",H19&gt;0.8,"Very Strong")</f>
        <v>Strong</v>
      </c>
      <c r="J19" s="15"/>
      <c r="K19" s="51" t="s">
        <v>364</v>
      </c>
      <c r="L19" s="50">
        <f>CORREL(Table3[Q2.04 Response],Table3[Q3.04 Rating])</f>
        <v>0.22137744750509236</v>
      </c>
      <c r="M19" s="81" t="str" cm="1">
        <f t="array" ref="M19">_xlfn.IFS(L19&lt;-0.8,"Very Weak",L19&lt;0,"Weak",L19=0,"No Correlation",L19&lt;=0.8,"Strong",L19&gt;0.8,"Very Strong")</f>
        <v>Strong</v>
      </c>
      <c r="N19" s="29"/>
      <c r="O19" s="51" t="s">
        <v>145</v>
      </c>
      <c r="P19" s="92">
        <v>8</v>
      </c>
      <c r="Q19" s="92">
        <v>4</v>
      </c>
      <c r="R19" s="92">
        <v>4</v>
      </c>
      <c r="S19" s="92">
        <v>2</v>
      </c>
      <c r="T19" s="92">
        <v>1</v>
      </c>
      <c r="U19" s="92">
        <v>2</v>
      </c>
      <c r="V19" s="92">
        <v>4</v>
      </c>
      <c r="W19" s="92">
        <v>1</v>
      </c>
      <c r="X19" s="92">
        <v>2</v>
      </c>
      <c r="Y19" s="92">
        <v>2</v>
      </c>
      <c r="Z19" s="5">
        <v>3</v>
      </c>
      <c r="AA19" s="5">
        <v>4</v>
      </c>
      <c r="AB19" s="5">
        <v>3</v>
      </c>
      <c r="AC19" s="5">
        <v>4</v>
      </c>
      <c r="AD19" s="5">
        <v>4</v>
      </c>
      <c r="AE19" s="5">
        <v>3</v>
      </c>
      <c r="AF19" s="5">
        <v>4</v>
      </c>
      <c r="AG19" s="5">
        <v>3</v>
      </c>
      <c r="AH19" s="5">
        <v>4</v>
      </c>
      <c r="AI19" s="81">
        <v>4</v>
      </c>
      <c r="AJ19" s="15"/>
      <c r="AK19" s="49">
        <v>1.03</v>
      </c>
      <c r="AL19" s="45" t="s">
        <v>85</v>
      </c>
      <c r="AM19" s="5" t="s">
        <v>47</v>
      </c>
      <c r="AN19" s="4">
        <v>4</v>
      </c>
      <c r="AO19" s="64">
        <f t="shared" si="8"/>
        <v>9.7560975609756101E-2</v>
      </c>
      <c r="AP19" s="14"/>
    </row>
    <row r="20" spans="1:42" ht="39.6" customHeight="1">
      <c r="A20" s="119"/>
      <c r="B20" s="85" t="s">
        <v>176</v>
      </c>
      <c r="C20" s="15"/>
      <c r="D20" s="51" t="s">
        <v>265</v>
      </c>
      <c r="E20" s="50">
        <f>CORREL(Table3[Q3.01 Rating],Table3[Q3.06 Rating])</f>
        <v>0.23223803471091906</v>
      </c>
      <c r="F20" s="81" t="str" cm="1">
        <f t="array" ref="F20">_xlfn.IFS(E20&lt;-0.8,"Very Weak",E20&lt;0,"Weak",E20=0,"No Correlation",E20&lt;=0.8,"Strong",E20&gt;0.8,"Very Strong")</f>
        <v>Strong</v>
      </c>
      <c r="G20" s="51" t="s">
        <v>320</v>
      </c>
      <c r="H20" s="50">
        <f>CORREL(Table3[Q2.01 Response],Table3[Q2.06 Response])</f>
        <v>0.34627875480642289</v>
      </c>
      <c r="I20" s="81" t="str" cm="1">
        <f t="array" ref="I20">_xlfn.IFS(H20&lt;-0.8,"Very Weak",H20&lt;0,"Weak",H20=0,"No Correlation",H20&lt;=0.8,"Strong",H20&gt;0.8,"Very Strong")</f>
        <v>Strong</v>
      </c>
      <c r="J20" s="15"/>
      <c r="K20" s="51" t="s">
        <v>365</v>
      </c>
      <c r="L20" s="50">
        <f>CORREL(Table3[Q2.05 Response],Table3[Q3.05 Rating])</f>
        <v>-5.3180691583508324E-3</v>
      </c>
      <c r="M20" s="81" t="str" cm="1">
        <f t="array" ref="M20">_xlfn.IFS(L20&lt;-0.8,"Very Weak",L20&lt;0,"Weak",L20=0,"No Correlation",L20&lt;=0.8,"Strong",L20&gt;0.8,"Very Strong")</f>
        <v>Weak</v>
      </c>
      <c r="N20" s="29"/>
      <c r="O20" s="51" t="s">
        <v>146</v>
      </c>
      <c r="P20" s="92">
        <v>7</v>
      </c>
      <c r="Q20" s="92">
        <v>5</v>
      </c>
      <c r="R20" s="92">
        <v>2</v>
      </c>
      <c r="S20" s="92">
        <v>1</v>
      </c>
      <c r="T20" s="92">
        <v>1</v>
      </c>
      <c r="U20" s="92">
        <v>0</v>
      </c>
      <c r="V20" s="92">
        <v>2</v>
      </c>
      <c r="W20" s="92">
        <v>1</v>
      </c>
      <c r="X20" s="92">
        <v>1</v>
      </c>
      <c r="Y20" s="92">
        <v>4</v>
      </c>
      <c r="Z20" s="5">
        <v>4</v>
      </c>
      <c r="AA20" s="5">
        <v>4</v>
      </c>
      <c r="AB20" s="5">
        <v>4</v>
      </c>
      <c r="AC20" s="5">
        <v>4</v>
      </c>
      <c r="AD20" s="5">
        <v>3</v>
      </c>
      <c r="AE20" s="5">
        <v>3</v>
      </c>
      <c r="AF20" s="5">
        <v>4</v>
      </c>
      <c r="AG20" s="5">
        <v>4</v>
      </c>
      <c r="AH20" s="5">
        <v>4</v>
      </c>
      <c r="AI20" s="81">
        <v>4</v>
      </c>
      <c r="AJ20" s="15"/>
      <c r="AK20" s="49">
        <v>1.04</v>
      </c>
      <c r="AL20" s="46" t="s">
        <v>86</v>
      </c>
      <c r="AM20" s="5" t="s">
        <v>48</v>
      </c>
      <c r="AN20" s="4">
        <v>15</v>
      </c>
      <c r="AO20" s="64">
        <f>AN20/(SUM($AN$20:$AN$24))</f>
        <v>0.36585365853658536</v>
      </c>
      <c r="AP20" s="14"/>
    </row>
    <row r="21" spans="1:42" ht="26.4">
      <c r="A21" s="119"/>
      <c r="B21" s="86"/>
      <c r="C21" s="15"/>
      <c r="D21" s="51" t="s">
        <v>266</v>
      </c>
      <c r="E21" s="50">
        <f>CORREL(Table3[Q3.01 Rating],Table3[Q3.07 Rating])</f>
        <v>0.22874641697338272</v>
      </c>
      <c r="F21" s="81" t="str" cm="1">
        <f t="array" ref="F21">_xlfn.IFS(E21&lt;-0.8,"Very Weak",E21&lt;0,"Weak",E21=0,"No Correlation",E21&lt;=0.8,"Strong",E21&gt;0.8,"Very Strong")</f>
        <v>Strong</v>
      </c>
      <c r="G21" s="51" t="s">
        <v>321</v>
      </c>
      <c r="H21" s="50">
        <f>CORREL(Table3[Q2.01 Response],Table3[Q2.07 Response])</f>
        <v>0.43351811822708181</v>
      </c>
      <c r="I21" s="81" t="str" cm="1">
        <f t="array" ref="I21">_xlfn.IFS(H21&lt;-0.8,"Very Weak",H21&lt;0,"Weak",H21=0,"No Correlation",H21&lt;=0.8,"Strong",H21&gt;0.8,"Very Strong")</f>
        <v>Strong</v>
      </c>
      <c r="J21" s="15"/>
      <c r="K21" s="51" t="s">
        <v>366</v>
      </c>
      <c r="L21" s="50">
        <f>CORREL(Table3[Q2.06 Response],Table3[Q3.06 Rating])</f>
        <v>0.27723136354799777</v>
      </c>
      <c r="M21" s="81" t="str" cm="1">
        <f t="array" ref="M21">_xlfn.IFS(L21&lt;-0.8,"Very Weak",L21&lt;0,"Weak",L21=0,"No Correlation",L21&lt;=0.8,"Strong",L21&gt;0.8,"Very Strong")</f>
        <v>Strong</v>
      </c>
      <c r="N21" s="29"/>
      <c r="O21" s="51" t="s">
        <v>147</v>
      </c>
      <c r="P21" s="92">
        <v>6</v>
      </c>
      <c r="Q21" s="92">
        <v>9</v>
      </c>
      <c r="R21" s="92">
        <v>2</v>
      </c>
      <c r="S21" s="92">
        <v>1</v>
      </c>
      <c r="T21" s="92">
        <v>0</v>
      </c>
      <c r="U21" s="92">
        <v>0</v>
      </c>
      <c r="V21" s="92">
        <v>2</v>
      </c>
      <c r="W21" s="92">
        <v>1</v>
      </c>
      <c r="X21" s="92">
        <v>2</v>
      </c>
      <c r="Y21" s="92">
        <v>1</v>
      </c>
      <c r="Z21" s="5">
        <v>4</v>
      </c>
      <c r="AA21" s="5">
        <v>5</v>
      </c>
      <c r="AB21" s="5">
        <v>4</v>
      </c>
      <c r="AC21" s="5">
        <v>5</v>
      </c>
      <c r="AD21" s="5">
        <v>4</v>
      </c>
      <c r="AE21" s="5">
        <v>3</v>
      </c>
      <c r="AF21" s="5">
        <v>5</v>
      </c>
      <c r="AG21" s="5">
        <v>5</v>
      </c>
      <c r="AH21" s="5">
        <v>5</v>
      </c>
      <c r="AI21" s="81">
        <v>5</v>
      </c>
      <c r="AJ21" s="15"/>
      <c r="AK21" s="49">
        <v>1.04</v>
      </c>
      <c r="AL21" s="46" t="s">
        <v>86</v>
      </c>
      <c r="AM21" s="5" t="s">
        <v>49</v>
      </c>
      <c r="AN21" s="4">
        <v>14</v>
      </c>
      <c r="AO21" s="64">
        <f>AN21/(SUM($AN$20:$AN$24))</f>
        <v>0.34146341463414637</v>
      </c>
      <c r="AP21" s="14"/>
    </row>
    <row r="22" spans="1:42" ht="13.2" customHeight="1">
      <c r="A22" s="119"/>
      <c r="B22" s="84" t="s">
        <v>77</v>
      </c>
      <c r="C22" s="15"/>
      <c r="D22" s="51" t="s">
        <v>267</v>
      </c>
      <c r="E22" s="50">
        <f>CORREL(Table3[Q3.01 Rating],Table3[Q3.08 Rating])</f>
        <v>0.41793825486650149</v>
      </c>
      <c r="F22" s="81" t="str" cm="1">
        <f t="array" ref="F22">_xlfn.IFS(E22&lt;-0.8,"Very Weak",E22&lt;0,"Weak",E22=0,"No Correlation",E22&lt;=0.8,"Strong",E22&gt;0.8,"Very Strong")</f>
        <v>Strong</v>
      </c>
      <c r="G22" s="51" t="s">
        <v>322</v>
      </c>
      <c r="H22" s="50">
        <f>CORREL(Table3[Q2.01 Response],Table3[Q2.08 Response])</f>
        <v>0.45812784840671372</v>
      </c>
      <c r="I22" s="81" t="str" cm="1">
        <f t="array" ref="I22">_xlfn.IFS(H22&lt;-0.8,"Very Weak",H22&lt;0,"Weak",H22=0,"No Correlation",H22&lt;=0.8,"Strong",H22&gt;0.8,"Very Strong")</f>
        <v>Strong</v>
      </c>
      <c r="J22" s="15"/>
      <c r="K22" s="51" t="s">
        <v>367</v>
      </c>
      <c r="L22" s="50">
        <f>CORREL(Table3[Q2.07 Response],Table3[Q3.07 Rating])</f>
        <v>0.15111164642941385</v>
      </c>
      <c r="M22" s="81" t="str" cm="1">
        <f t="array" ref="M22">_xlfn.IFS(L22&lt;-0.8,"Very Weak",L22&lt;0,"Weak",L22=0,"No Correlation",L22&lt;=0.8,"Strong",L22&gt;0.8,"Very Strong")</f>
        <v>Strong</v>
      </c>
      <c r="N22" s="29"/>
      <c r="O22" s="51" t="s">
        <v>148</v>
      </c>
      <c r="P22" s="92">
        <v>8</v>
      </c>
      <c r="Q22" s="92">
        <v>5</v>
      </c>
      <c r="R22" s="92">
        <v>2</v>
      </c>
      <c r="S22" s="92">
        <v>1</v>
      </c>
      <c r="T22" s="92">
        <v>1</v>
      </c>
      <c r="U22" s="92">
        <v>3</v>
      </c>
      <c r="V22" s="92">
        <v>1</v>
      </c>
      <c r="W22" s="92">
        <v>1</v>
      </c>
      <c r="X22" s="92">
        <v>1</v>
      </c>
      <c r="Y22" s="92">
        <v>1</v>
      </c>
      <c r="Z22" s="5">
        <v>3</v>
      </c>
      <c r="AA22" s="5">
        <v>4</v>
      </c>
      <c r="AB22" s="5">
        <v>3</v>
      </c>
      <c r="AC22" s="5">
        <v>3</v>
      </c>
      <c r="AD22" s="5">
        <v>3</v>
      </c>
      <c r="AE22" s="5">
        <v>4</v>
      </c>
      <c r="AF22" s="5">
        <v>4</v>
      </c>
      <c r="AG22" s="5">
        <v>5</v>
      </c>
      <c r="AH22" s="5">
        <v>3</v>
      </c>
      <c r="AI22" s="81">
        <v>4</v>
      </c>
      <c r="AJ22" s="15"/>
      <c r="AK22" s="49">
        <v>1.04</v>
      </c>
      <c r="AL22" s="46" t="s">
        <v>86</v>
      </c>
      <c r="AM22" s="5" t="s">
        <v>50</v>
      </c>
      <c r="AN22" s="4">
        <v>8</v>
      </c>
      <c r="AO22" s="64">
        <f>AN22/(SUM($AN$20:$AN$24))</f>
        <v>0.1951219512195122</v>
      </c>
      <c r="AP22" s="14"/>
    </row>
    <row r="23" spans="1:42" ht="105.6" customHeight="1">
      <c r="A23" s="119"/>
      <c r="B23" s="85" t="s">
        <v>19</v>
      </c>
      <c r="C23" s="15"/>
      <c r="D23" s="51" t="s">
        <v>268</v>
      </c>
      <c r="E23" s="50">
        <f>CORREL(Table3[Q3.01 Rating],Table3[Q3.09 Rating])</f>
        <v>-1.323640071584024E-2</v>
      </c>
      <c r="F23" s="81" t="str" cm="1">
        <f t="array" ref="F23">_xlfn.IFS(E23&lt;-0.8,"Very Weak",E23&lt;0,"Weak",E23=0,"No Correlation",E23&lt;=0.8,"Strong",E23&gt;0.8,"Very Strong")</f>
        <v>Weak</v>
      </c>
      <c r="G23" s="51" t="s">
        <v>323</v>
      </c>
      <c r="H23" s="50">
        <f>CORREL(Table3[Q2.01 Response],Table3[Q2.09 Response])</f>
        <v>0.48122069766293785</v>
      </c>
      <c r="I23" s="81" t="str" cm="1">
        <f t="array" ref="I23">_xlfn.IFS(H23&lt;-0.8,"Very Weak",H23&lt;0,"Weak",H23=0,"No Correlation",H23&lt;=0.8,"Strong",H23&gt;0.8,"Very Strong")</f>
        <v>Strong</v>
      </c>
      <c r="J23" s="15"/>
      <c r="K23" s="51" t="s">
        <v>368</v>
      </c>
      <c r="L23" s="50">
        <f>CORREL(Table3[Q2.08 Response],Table3[Q3.08 Rating])</f>
        <v>-7.8944107002681757E-2</v>
      </c>
      <c r="M23" s="81" t="str" cm="1">
        <f t="array" ref="M23">_xlfn.IFS(L23&lt;-0.8,"Very Weak",L23&lt;0,"Weak",L23=0,"No Correlation",L23&lt;=0.8,"Strong",L23&gt;0.8,"Very Strong")</f>
        <v>Weak</v>
      </c>
      <c r="N23" s="29"/>
      <c r="O23" s="51" t="s">
        <v>149</v>
      </c>
      <c r="P23" s="92">
        <v>5</v>
      </c>
      <c r="Q23" s="92">
        <v>4</v>
      </c>
      <c r="R23" s="92">
        <v>2</v>
      </c>
      <c r="S23" s="92">
        <v>2</v>
      </c>
      <c r="T23" s="92">
        <v>3</v>
      </c>
      <c r="U23" s="92">
        <v>1</v>
      </c>
      <c r="V23" s="92">
        <v>2</v>
      </c>
      <c r="W23" s="92">
        <v>1</v>
      </c>
      <c r="X23" s="92">
        <v>2</v>
      </c>
      <c r="Y23" s="92">
        <v>3</v>
      </c>
      <c r="Z23" s="5">
        <v>3</v>
      </c>
      <c r="AA23" s="5">
        <v>5</v>
      </c>
      <c r="AB23" s="5">
        <v>3</v>
      </c>
      <c r="AC23" s="5">
        <v>4</v>
      </c>
      <c r="AD23" s="5">
        <v>4</v>
      </c>
      <c r="AE23" s="5">
        <v>4</v>
      </c>
      <c r="AF23" s="5">
        <v>5</v>
      </c>
      <c r="AG23" s="5">
        <v>4</v>
      </c>
      <c r="AH23" s="5">
        <v>4</v>
      </c>
      <c r="AI23" s="81">
        <v>4</v>
      </c>
      <c r="AJ23" s="15"/>
      <c r="AK23" s="49">
        <v>1.04</v>
      </c>
      <c r="AL23" s="46" t="s">
        <v>86</v>
      </c>
      <c r="AM23" s="5" t="s">
        <v>51</v>
      </c>
      <c r="AN23" s="4">
        <v>4</v>
      </c>
      <c r="AO23" s="64">
        <f>AN23/(SUM($AN$20:$AN$24))</f>
        <v>9.7560975609756101E-2</v>
      </c>
      <c r="AP23" s="14"/>
    </row>
    <row r="24" spans="1:42">
      <c r="A24" s="119"/>
      <c r="B24" s="85" t="s">
        <v>177</v>
      </c>
      <c r="C24" s="15"/>
      <c r="D24" s="51" t="s">
        <v>269</v>
      </c>
      <c r="E24" s="50">
        <f>CORREL(Table3[Q3.01 Rating],Table3[Q3.10 Rating])</f>
        <v>0.15386767520013778</v>
      </c>
      <c r="F24" s="81" t="str" cm="1">
        <f t="array" ref="F24">_xlfn.IFS(E24&lt;-0.8,"Very Weak",E24&lt;0,"Weak",E24=0,"No Correlation",E24&lt;=0.8,"Strong",E24&gt;0.8,"Very Strong")</f>
        <v>Strong</v>
      </c>
      <c r="G24" s="51" t="s">
        <v>324</v>
      </c>
      <c r="H24" s="50">
        <f>CORREL(Table3[Q2.01 Response],Table3[Q2.10 Response])</f>
        <v>0.55691342904219943</v>
      </c>
      <c r="I24" s="81" t="str" cm="1">
        <f t="array" ref="I24">_xlfn.IFS(H24&lt;-0.8,"Very Weak",H24&lt;0,"Weak",H24=0,"No Correlation",H24&lt;=0.8,"Strong",H24&gt;0.8,"Very Strong")</f>
        <v>Strong</v>
      </c>
      <c r="J24" s="15"/>
      <c r="K24" s="51" t="s">
        <v>369</v>
      </c>
      <c r="L24" s="50">
        <f>CORREL(Table3[Q2.09 Response],Table3[Q3.09 Rating])</f>
        <v>0.21547202221660314</v>
      </c>
      <c r="M24" s="81" t="str" cm="1">
        <f t="array" ref="M24">_xlfn.IFS(L24&lt;-0.8,"Very Weak",L24&lt;0,"Weak",L24=0,"No Correlation",L24&lt;=0.8,"Strong",L24&gt;0.8,"Very Strong")</f>
        <v>Strong</v>
      </c>
      <c r="N24" s="29"/>
      <c r="O24" s="51" t="s">
        <v>150</v>
      </c>
      <c r="P24" s="92">
        <v>8</v>
      </c>
      <c r="Q24" s="92">
        <v>8</v>
      </c>
      <c r="R24" s="92">
        <v>2</v>
      </c>
      <c r="S24" s="92">
        <v>2</v>
      </c>
      <c r="T24" s="92">
        <v>1</v>
      </c>
      <c r="U24" s="92">
        <v>0</v>
      </c>
      <c r="V24" s="92">
        <v>2</v>
      </c>
      <c r="W24" s="92">
        <v>1</v>
      </c>
      <c r="X24" s="92">
        <v>2</v>
      </c>
      <c r="Y24" s="92">
        <v>2</v>
      </c>
      <c r="Z24" s="5">
        <v>4</v>
      </c>
      <c r="AA24" s="5">
        <v>5</v>
      </c>
      <c r="AB24" s="5">
        <v>4</v>
      </c>
      <c r="AC24" s="5">
        <v>4</v>
      </c>
      <c r="AD24" s="5">
        <v>4</v>
      </c>
      <c r="AE24" s="5">
        <v>3</v>
      </c>
      <c r="AF24" s="5">
        <v>5</v>
      </c>
      <c r="AG24" s="5">
        <v>5</v>
      </c>
      <c r="AH24" s="5">
        <v>3</v>
      </c>
      <c r="AI24" s="81">
        <v>4</v>
      </c>
      <c r="AJ24" s="15"/>
      <c r="AK24" s="49">
        <v>1.04</v>
      </c>
      <c r="AL24" s="46" t="s">
        <v>86</v>
      </c>
      <c r="AM24" s="55" t="s">
        <v>52</v>
      </c>
      <c r="AN24" s="67">
        <v>0</v>
      </c>
      <c r="AO24" s="68">
        <f>AN24/(SUM($AN$20:$AN$24))</f>
        <v>0</v>
      </c>
      <c r="AP24" s="14"/>
    </row>
    <row r="25" spans="1:42" ht="13.2" customHeight="1">
      <c r="A25" s="119"/>
      <c r="B25" s="85" t="s">
        <v>178</v>
      </c>
      <c r="C25" s="15"/>
      <c r="D25" s="51" t="s">
        <v>270</v>
      </c>
      <c r="E25" s="50">
        <f>CORREL(Table3[Q3.02 Rating],Table3[Q3.03 Rating])</f>
        <v>0.18614773388793593</v>
      </c>
      <c r="F25" s="81" t="str" cm="1">
        <f t="array" ref="F25">_xlfn.IFS(E25&lt;-0.8,"Very Weak",E25&lt;0,"Weak",E25=0,"No Correlation",E25&lt;=0.8,"Strong",E25&gt;0.8,"Very Strong")</f>
        <v>Strong</v>
      </c>
      <c r="G25" s="51" t="s">
        <v>325</v>
      </c>
      <c r="H25" s="50">
        <f>CORREL(Table3[Q2.02 Response],Table3[Q2.03 Response])</f>
        <v>0.63475902342231072</v>
      </c>
      <c r="I25" s="81" t="str" cm="1">
        <f t="array" ref="I25">_xlfn.IFS(H25&lt;-0.8,"Very Weak",H25&lt;0,"Weak",H25=0,"No Correlation",H25&lt;=0.8,"Strong",H25&gt;0.8,"Very Strong")</f>
        <v>Strong</v>
      </c>
      <c r="J25" s="15"/>
      <c r="K25" s="54" t="s">
        <v>370</v>
      </c>
      <c r="L25" s="91">
        <f>CORREL(Table3[Q2.10 Response],Table3[Q3.10 Rating])</f>
        <v>0.20330783870866045</v>
      </c>
      <c r="M25" s="82" t="str" cm="1">
        <f t="array" ref="M25">_xlfn.IFS(L25&lt;-0.8,"Very Weak",L25&lt;0,"Weak",L25=0,"No Correlation",L25&lt;=0.8,"Strong",L25&gt;0.8,"Very Strong")</f>
        <v>Strong</v>
      </c>
      <c r="N25" s="29"/>
      <c r="O25" s="51" t="s">
        <v>151</v>
      </c>
      <c r="P25" s="92">
        <v>7</v>
      </c>
      <c r="Q25" s="92">
        <v>6</v>
      </c>
      <c r="R25" s="92">
        <v>4</v>
      </c>
      <c r="S25" s="92">
        <v>3</v>
      </c>
      <c r="T25" s="92">
        <v>2</v>
      </c>
      <c r="U25" s="92">
        <v>3</v>
      </c>
      <c r="V25" s="92">
        <v>2</v>
      </c>
      <c r="W25" s="92">
        <v>1</v>
      </c>
      <c r="X25" s="92">
        <v>2</v>
      </c>
      <c r="Y25" s="92">
        <v>3</v>
      </c>
      <c r="Z25" s="5">
        <v>3</v>
      </c>
      <c r="AA25" s="5">
        <v>4</v>
      </c>
      <c r="AB25" s="5">
        <v>3</v>
      </c>
      <c r="AC25" s="5">
        <v>4</v>
      </c>
      <c r="AD25" s="5">
        <v>4</v>
      </c>
      <c r="AE25" s="5">
        <v>4</v>
      </c>
      <c r="AF25" s="5">
        <v>4</v>
      </c>
      <c r="AG25" s="5">
        <v>3</v>
      </c>
      <c r="AH25" s="5">
        <v>3</v>
      </c>
      <c r="AI25" s="81">
        <v>3</v>
      </c>
      <c r="AJ25" s="15"/>
      <c r="AK25" s="15"/>
      <c r="AL25" s="14"/>
      <c r="AM25" s="15"/>
      <c r="AN25" s="14"/>
      <c r="AO25" s="14"/>
      <c r="AP25" s="14"/>
    </row>
    <row r="26" spans="1:42" ht="13.2" customHeight="1">
      <c r="A26" s="119"/>
      <c r="B26" s="85" t="s">
        <v>179</v>
      </c>
      <c r="C26" s="15"/>
      <c r="D26" s="51" t="s">
        <v>271</v>
      </c>
      <c r="E26" s="50">
        <f>CORREL(Table3[Q3.02 Rating],Table3[Q3.04 Rating])</f>
        <v>0.60854848032238984</v>
      </c>
      <c r="F26" s="81" t="str" cm="1">
        <f t="array" ref="F26">_xlfn.IFS(E26&lt;-0.8,"Very Weak",E26&lt;0,"Weak",E26=0,"No Correlation",E26&lt;=0.8,"Strong",E26&gt;0.8,"Very Strong")</f>
        <v>Strong</v>
      </c>
      <c r="G26" s="51" t="s">
        <v>326</v>
      </c>
      <c r="H26" s="50">
        <f>CORREL(Table3[Q2.02 Response],Table3[Q2.04 Response])</f>
        <v>0.49245574261358988</v>
      </c>
      <c r="I26" s="81" t="str" cm="1">
        <f t="array" ref="I26">_xlfn.IFS(H26&lt;-0.8,"Very Weak",H26&lt;0,"Weak",H26=0,"No Correlation",H26&lt;=0.8,"Strong",H26&gt;0.8,"Very Strong")</f>
        <v>Strong</v>
      </c>
      <c r="J26" s="15"/>
      <c r="K26" s="100"/>
      <c r="L26" s="101"/>
      <c r="M26" s="100"/>
      <c r="N26" s="29"/>
      <c r="O26" s="51" t="s">
        <v>152</v>
      </c>
      <c r="P26" s="92">
        <v>7</v>
      </c>
      <c r="Q26" s="92">
        <v>8</v>
      </c>
      <c r="R26" s="92">
        <v>2</v>
      </c>
      <c r="S26" s="92">
        <v>1</v>
      </c>
      <c r="T26" s="92">
        <v>1</v>
      </c>
      <c r="U26" s="92">
        <v>1</v>
      </c>
      <c r="V26" s="92">
        <v>1</v>
      </c>
      <c r="W26" s="92">
        <v>1</v>
      </c>
      <c r="X26" s="92">
        <v>1</v>
      </c>
      <c r="Y26" s="92">
        <v>1</v>
      </c>
      <c r="Z26" s="5">
        <v>3</v>
      </c>
      <c r="AA26" s="5">
        <v>5</v>
      </c>
      <c r="AB26" s="5">
        <v>5</v>
      </c>
      <c r="AC26" s="5">
        <v>5</v>
      </c>
      <c r="AD26" s="5">
        <v>5</v>
      </c>
      <c r="AE26" s="5">
        <v>4</v>
      </c>
      <c r="AF26" s="5">
        <v>5</v>
      </c>
      <c r="AG26" s="5">
        <v>5</v>
      </c>
      <c r="AH26" s="5">
        <v>3</v>
      </c>
      <c r="AI26" s="81">
        <v>3</v>
      </c>
      <c r="AJ26" s="15"/>
    </row>
    <row r="27" spans="1:42" ht="14.4" customHeight="1">
      <c r="A27" s="119"/>
      <c r="B27" s="85" t="s">
        <v>180</v>
      </c>
      <c r="C27" s="15"/>
      <c r="D27" s="51" t="s">
        <v>272</v>
      </c>
      <c r="E27" s="83">
        <f>CORREL(Table3[Q3.02 Rating],Table3[Q3.05 Rating])</f>
        <v>6.1564487533085917E-2</v>
      </c>
      <c r="F27" s="81" t="str" cm="1">
        <f t="array" ref="F27">_xlfn.IFS(E27&lt;-0.8,"Very Weak",E27&lt;0,"Weak",E27=0,"No Correlation",E27&lt;=0.8,"Strong",E27&gt;0.8,"Very Strong")</f>
        <v>Strong</v>
      </c>
      <c r="G27" s="51" t="s">
        <v>327</v>
      </c>
      <c r="H27" s="83">
        <f>CORREL(Table3[Q2.02 Response],Table3[Q2.05 Response])</f>
        <v>0.43599933617192488</v>
      </c>
      <c r="I27" s="81" t="str" cm="1">
        <f t="array" ref="I27">_xlfn.IFS(H27&lt;-0.8,"Very Weak",H27&lt;0,"Weak",H27=0,"No Correlation",H27&lt;=0.8,"Strong",H27&gt;0.8,"Very Strong")</f>
        <v>Strong</v>
      </c>
      <c r="J27" s="90"/>
      <c r="K27" s="144" t="s">
        <v>382</v>
      </c>
      <c r="L27" s="145"/>
      <c r="M27" s="146"/>
      <c r="N27" s="29"/>
      <c r="O27" s="4" t="s">
        <v>153</v>
      </c>
      <c r="P27" s="94">
        <v>6</v>
      </c>
      <c r="Q27" s="94">
        <v>6</v>
      </c>
      <c r="R27" s="94">
        <v>2</v>
      </c>
      <c r="S27" s="94">
        <v>3</v>
      </c>
      <c r="T27" s="94">
        <v>2</v>
      </c>
      <c r="U27" s="94">
        <v>0</v>
      </c>
      <c r="V27" s="94">
        <v>4</v>
      </c>
      <c r="W27" s="94">
        <v>1</v>
      </c>
      <c r="X27" s="94">
        <v>1.5</v>
      </c>
      <c r="Y27" s="94">
        <v>0.5</v>
      </c>
      <c r="Z27" s="5">
        <v>3</v>
      </c>
      <c r="AA27" s="5">
        <v>5</v>
      </c>
      <c r="AB27" s="5">
        <v>3</v>
      </c>
      <c r="AC27" s="5">
        <v>4</v>
      </c>
      <c r="AD27" s="5">
        <v>4</v>
      </c>
      <c r="AE27" s="5">
        <v>1</v>
      </c>
      <c r="AF27" s="5">
        <v>3</v>
      </c>
      <c r="AG27" s="5">
        <v>4</v>
      </c>
      <c r="AH27" s="5">
        <v>4</v>
      </c>
      <c r="AI27" s="81">
        <v>2</v>
      </c>
      <c r="AJ27" s="15"/>
    </row>
    <row r="28" spans="1:42" ht="14.4" customHeight="1">
      <c r="A28" s="119"/>
      <c r="B28" s="85" t="s">
        <v>181</v>
      </c>
      <c r="C28" s="15"/>
      <c r="D28" s="51" t="s">
        <v>273</v>
      </c>
      <c r="E28" s="83">
        <f>CORREL(Table3[Q3.02 Rating],Table3[Q3.06 Rating])</f>
        <v>-9.6473910749517625E-2</v>
      </c>
      <c r="F28" s="81" t="str" cm="1">
        <f t="array" ref="F28">_xlfn.IFS(E28&lt;-0.8,"Very Weak",E28&lt;0,"Weak",E28=0,"No Correlation",E28&lt;=0.8,"Strong",E28&gt;0.8,"Very Strong")</f>
        <v>Weak</v>
      </c>
      <c r="G28" s="51" t="s">
        <v>328</v>
      </c>
      <c r="H28" s="83">
        <f>CORREL(Table3[Q2.02 Response],Table3[Q2.06 Response])</f>
        <v>-4.798139155513724E-2</v>
      </c>
      <c r="I28" s="81" t="str" cm="1">
        <f t="array" ref="I28">_xlfn.IFS(H28&lt;-0.8,"Very Weak",H28&lt;0,"Weak",H28=0,"No Correlation",H28&lt;=0.8,"Strong",H28&gt;0.8,"Very Strong")</f>
        <v>Weak</v>
      </c>
      <c r="J28" s="90"/>
      <c r="K28" s="147"/>
      <c r="L28" s="148"/>
      <c r="M28" s="149"/>
      <c r="N28" s="29"/>
      <c r="O28" s="4" t="s">
        <v>154</v>
      </c>
      <c r="P28" s="94">
        <v>6</v>
      </c>
      <c r="Q28" s="94">
        <v>7</v>
      </c>
      <c r="R28" s="94">
        <v>3</v>
      </c>
      <c r="S28" s="94">
        <v>2</v>
      </c>
      <c r="T28" s="94">
        <v>2</v>
      </c>
      <c r="U28" s="94">
        <v>0</v>
      </c>
      <c r="V28" s="94">
        <v>2</v>
      </c>
      <c r="W28" s="94">
        <v>0.3</v>
      </c>
      <c r="X28" s="94">
        <v>0.3</v>
      </c>
      <c r="Y28" s="94">
        <v>1</v>
      </c>
      <c r="Z28" s="5">
        <v>3</v>
      </c>
      <c r="AA28" s="5">
        <v>4</v>
      </c>
      <c r="AB28" s="5">
        <v>3</v>
      </c>
      <c r="AC28" s="5">
        <v>4</v>
      </c>
      <c r="AD28" s="5">
        <v>3</v>
      </c>
      <c r="AE28" s="5">
        <v>1</v>
      </c>
      <c r="AF28" s="5">
        <v>3</v>
      </c>
      <c r="AG28" s="5">
        <v>3</v>
      </c>
      <c r="AH28" s="5">
        <v>3</v>
      </c>
      <c r="AI28" s="81">
        <v>3</v>
      </c>
      <c r="AJ28" s="15"/>
    </row>
    <row r="29" spans="1:42" ht="14.4" customHeight="1">
      <c r="A29" s="119"/>
      <c r="B29" s="85" t="s">
        <v>182</v>
      </c>
      <c r="C29" s="15"/>
      <c r="D29" s="51" t="s">
        <v>274</v>
      </c>
      <c r="E29" s="83">
        <f>CORREL(Table3[Q3.02 Rating],Table3[Q3.07 Rating])</f>
        <v>0.11585547554763814</v>
      </c>
      <c r="F29" s="81" t="str" cm="1">
        <f t="array" ref="F29">_xlfn.IFS(E29&lt;-0.8,"Very Weak",E29&lt;0,"Weak",E29=0,"No Correlation",E29&lt;=0.8,"Strong",E29&gt;0.8,"Very Strong")</f>
        <v>Strong</v>
      </c>
      <c r="G29" s="51" t="s">
        <v>329</v>
      </c>
      <c r="H29" s="83">
        <f>CORREL(Table3[Q2.02 Response],Table3[Q2.07 Response])</f>
        <v>0.54562050484413527</v>
      </c>
      <c r="I29" s="81" t="str" cm="1">
        <f t="array" ref="I29">_xlfn.IFS(H29&lt;-0.8,"Very Weak",H29&lt;0,"Weak",H29=0,"No Correlation",H29&lt;=0.8,"Strong",H29&gt;0.8,"Very Strong")</f>
        <v>Strong</v>
      </c>
      <c r="J29" s="90"/>
      <c r="K29" s="147"/>
      <c r="L29" s="148"/>
      <c r="M29" s="149"/>
      <c r="N29" s="29"/>
      <c r="O29" s="4" t="s">
        <v>155</v>
      </c>
      <c r="P29" s="94">
        <v>8</v>
      </c>
      <c r="Q29" s="94">
        <v>5</v>
      </c>
      <c r="R29" s="94">
        <v>3</v>
      </c>
      <c r="S29" s="94">
        <v>2</v>
      </c>
      <c r="T29" s="94">
        <v>3</v>
      </c>
      <c r="U29" s="94">
        <v>5</v>
      </c>
      <c r="V29" s="94">
        <v>5</v>
      </c>
      <c r="W29" s="94">
        <v>3</v>
      </c>
      <c r="X29" s="94">
        <v>4</v>
      </c>
      <c r="Y29" s="94">
        <v>5</v>
      </c>
      <c r="Z29" s="5">
        <v>3</v>
      </c>
      <c r="AA29" s="5">
        <v>4</v>
      </c>
      <c r="AB29" s="5">
        <v>4</v>
      </c>
      <c r="AC29" s="5">
        <v>3</v>
      </c>
      <c r="AD29" s="5">
        <v>3</v>
      </c>
      <c r="AE29" s="5">
        <v>3</v>
      </c>
      <c r="AF29" s="5">
        <v>4</v>
      </c>
      <c r="AG29" s="5">
        <v>4</v>
      </c>
      <c r="AH29" s="5">
        <v>3</v>
      </c>
      <c r="AI29" s="81">
        <v>3</v>
      </c>
      <c r="AJ29" s="15"/>
    </row>
    <row r="30" spans="1:42" ht="26.4" customHeight="1">
      <c r="A30" s="119"/>
      <c r="B30" s="85" t="s">
        <v>183</v>
      </c>
      <c r="C30" s="15"/>
      <c r="D30" s="51" t="s">
        <v>275</v>
      </c>
      <c r="E30" s="83">
        <f>CORREL(Table3[Q3.02 Rating],Table3[Q3.08 Rating])</f>
        <v>0.18120286608831104</v>
      </c>
      <c r="F30" s="81" t="str" cm="1">
        <f t="array" ref="F30">_xlfn.IFS(E30&lt;-0.8,"Very Weak",E30&lt;0,"Weak",E30=0,"No Correlation",E30&lt;=0.8,"Strong",E30&gt;0.8,"Very Strong")</f>
        <v>Strong</v>
      </c>
      <c r="G30" s="51" t="s">
        <v>330</v>
      </c>
      <c r="H30" s="83">
        <f>CORREL(Table3[Q2.02 Response],Table3[Q2.08 Response])</f>
        <v>0.54383106590811714</v>
      </c>
      <c r="I30" s="81" t="str" cm="1">
        <f t="array" ref="I30">_xlfn.IFS(H30&lt;-0.8,"Very Weak",H30&lt;0,"Weak",H30=0,"No Correlation",H30&lt;=0.8,"Strong",H30&gt;0.8,"Very Strong")</f>
        <v>Strong</v>
      </c>
      <c r="J30" s="90"/>
      <c r="K30" s="147"/>
      <c r="L30" s="148"/>
      <c r="M30" s="149"/>
      <c r="N30" s="29"/>
      <c r="O30" s="4" t="s">
        <v>156</v>
      </c>
      <c r="P30" s="94">
        <v>7</v>
      </c>
      <c r="Q30" s="94">
        <v>8</v>
      </c>
      <c r="R30" s="94">
        <v>3</v>
      </c>
      <c r="S30" s="94">
        <v>0</v>
      </c>
      <c r="T30" s="94">
        <v>2</v>
      </c>
      <c r="U30" s="94">
        <v>0</v>
      </c>
      <c r="V30" s="94">
        <v>1</v>
      </c>
      <c r="W30" s="94">
        <v>1</v>
      </c>
      <c r="X30" s="94">
        <v>1</v>
      </c>
      <c r="Y30" s="94">
        <v>1</v>
      </c>
      <c r="Z30" s="5">
        <v>4</v>
      </c>
      <c r="AA30" s="5">
        <v>3</v>
      </c>
      <c r="AB30" s="5">
        <v>4</v>
      </c>
      <c r="AC30" s="5">
        <v>3</v>
      </c>
      <c r="AD30" s="5">
        <v>4</v>
      </c>
      <c r="AE30" s="5">
        <v>3</v>
      </c>
      <c r="AF30" s="5">
        <v>4</v>
      </c>
      <c r="AG30" s="5">
        <v>5</v>
      </c>
      <c r="AH30" s="5">
        <v>4</v>
      </c>
      <c r="AI30" s="81">
        <v>4</v>
      </c>
      <c r="AJ30" s="15"/>
    </row>
    <row r="31" spans="1:42" ht="14.4" customHeight="1">
      <c r="A31" s="119"/>
      <c r="B31" s="85" t="s">
        <v>184</v>
      </c>
      <c r="C31" s="15"/>
      <c r="D31" s="51" t="s">
        <v>276</v>
      </c>
      <c r="E31" s="83">
        <f>CORREL(Table3[Q3.02 Rating],Table3[Q3.09 Rating])</f>
        <v>0.11104976711760274</v>
      </c>
      <c r="F31" s="81" t="str" cm="1">
        <f t="array" ref="F31">_xlfn.IFS(E31&lt;-0.8,"Very Weak",E31&lt;0,"Weak",E31=0,"No Correlation",E31&lt;=0.8,"Strong",E31&gt;0.8,"Very Strong")</f>
        <v>Strong</v>
      </c>
      <c r="G31" s="51" t="s">
        <v>331</v>
      </c>
      <c r="H31" s="83">
        <f>CORREL(Table3[Q2.02 Response],Table3[Q2.09 Response])</f>
        <v>0.52531361040576963</v>
      </c>
      <c r="I31" s="81" t="str" cm="1">
        <f t="array" ref="I31">_xlfn.IFS(H31&lt;-0.8,"Very Weak",H31&lt;0,"Weak",H31=0,"No Correlation",H31&lt;=0.8,"Strong",H31&gt;0.8,"Very Strong")</f>
        <v>Strong</v>
      </c>
      <c r="J31" s="90"/>
      <c r="K31" s="147"/>
      <c r="L31" s="148"/>
      <c r="M31" s="149"/>
      <c r="N31" s="29"/>
      <c r="O31" s="4" t="s">
        <v>157</v>
      </c>
      <c r="P31" s="94">
        <v>5</v>
      </c>
      <c r="Q31" s="94">
        <v>4</v>
      </c>
      <c r="R31" s="94">
        <v>1</v>
      </c>
      <c r="S31" s="94">
        <v>1</v>
      </c>
      <c r="T31" s="94">
        <v>1</v>
      </c>
      <c r="U31" s="94">
        <v>4</v>
      </c>
      <c r="V31" s="94">
        <v>4</v>
      </c>
      <c r="W31" s="94">
        <v>1</v>
      </c>
      <c r="X31" s="94">
        <v>1</v>
      </c>
      <c r="Y31" s="94">
        <v>2</v>
      </c>
      <c r="Z31" s="5">
        <v>2</v>
      </c>
      <c r="AA31" s="5">
        <v>3</v>
      </c>
      <c r="AB31" s="5">
        <v>3</v>
      </c>
      <c r="AC31" s="5">
        <v>2</v>
      </c>
      <c r="AD31" s="5">
        <v>3</v>
      </c>
      <c r="AE31" s="5">
        <v>4</v>
      </c>
      <c r="AF31" s="5">
        <v>4</v>
      </c>
      <c r="AG31" s="5">
        <v>4</v>
      </c>
      <c r="AH31" s="5">
        <v>3</v>
      </c>
      <c r="AI31" s="81">
        <v>4</v>
      </c>
      <c r="AJ31" s="15"/>
    </row>
    <row r="32" spans="1:42" ht="26.4" customHeight="1">
      <c r="A32" s="119"/>
      <c r="B32" s="85" t="s">
        <v>185</v>
      </c>
      <c r="C32" s="15"/>
      <c r="D32" s="51" t="s">
        <v>277</v>
      </c>
      <c r="E32" s="83">
        <f>CORREL(Table3[Q3.02 Rating],Table3[Q3.10 Rating])</f>
        <v>0.17245662462745615</v>
      </c>
      <c r="F32" s="81" t="str" cm="1">
        <f t="array" ref="F32">_xlfn.IFS(E32&lt;-0.8,"Very Weak",E32&lt;0,"Weak",E32=0,"No Correlation",E32&lt;=0.8,"Strong",E32&gt;0.8,"Very Strong")</f>
        <v>Strong</v>
      </c>
      <c r="G32" s="51" t="s">
        <v>332</v>
      </c>
      <c r="H32" s="83">
        <f>CORREL(Table3[Q2.02 Response],Table3[Q2.10 Response])</f>
        <v>0.32302376345876765</v>
      </c>
      <c r="I32" s="81" t="str" cm="1">
        <f t="array" ref="I32">_xlfn.IFS(H32&lt;-0.8,"Very Weak",H32&lt;0,"Weak",H32=0,"No Correlation",H32&lt;=0.8,"Strong",H32&gt;0.8,"Very Strong")</f>
        <v>Strong</v>
      </c>
      <c r="J32" s="90"/>
      <c r="K32" s="147"/>
      <c r="L32" s="148"/>
      <c r="M32" s="149"/>
      <c r="N32" s="29"/>
      <c r="O32" s="4" t="s">
        <v>158</v>
      </c>
      <c r="P32" s="94">
        <v>5</v>
      </c>
      <c r="Q32" s="94">
        <v>2</v>
      </c>
      <c r="R32" s="94">
        <v>2</v>
      </c>
      <c r="S32" s="94">
        <v>2</v>
      </c>
      <c r="T32" s="94">
        <v>2</v>
      </c>
      <c r="U32" s="94">
        <v>4</v>
      </c>
      <c r="V32" s="94">
        <v>2</v>
      </c>
      <c r="W32" s="94">
        <v>1</v>
      </c>
      <c r="X32" s="94">
        <v>2</v>
      </c>
      <c r="Y32" s="94">
        <v>2</v>
      </c>
      <c r="Z32" s="5">
        <v>4</v>
      </c>
      <c r="AA32" s="5">
        <v>5</v>
      </c>
      <c r="AB32" s="5">
        <v>4</v>
      </c>
      <c r="AC32" s="5">
        <v>5</v>
      </c>
      <c r="AD32" s="5">
        <v>4</v>
      </c>
      <c r="AE32" s="5">
        <v>4</v>
      </c>
      <c r="AF32" s="5">
        <v>5</v>
      </c>
      <c r="AG32" s="5">
        <v>3</v>
      </c>
      <c r="AH32" s="5">
        <v>3</v>
      </c>
      <c r="AI32" s="81">
        <v>4</v>
      </c>
      <c r="AJ32" s="15"/>
    </row>
    <row r="33" spans="1:36" ht="14.4" customHeight="1">
      <c r="A33" s="119"/>
      <c r="B33" s="85" t="s">
        <v>101</v>
      </c>
      <c r="C33" s="15"/>
      <c r="D33" s="51" t="s">
        <v>278</v>
      </c>
      <c r="E33" s="83">
        <f>CORREL(Table3[Q3.03 Rating],Table3[Q3.04 Rating])</f>
        <v>0.50892205124355661</v>
      </c>
      <c r="F33" s="81" t="str" cm="1">
        <f t="array" ref="F33">_xlfn.IFS(E33&lt;-0.8,"Very Weak",E33&lt;0,"Weak",E33=0,"No Correlation",E33&lt;=0.8,"Strong",E33&gt;0.8,"Very Strong")</f>
        <v>Strong</v>
      </c>
      <c r="G33" s="51" t="s">
        <v>333</v>
      </c>
      <c r="H33" s="83">
        <f>CORREL(Table3[Q2.03 Response],Table3[Q2.04 Response])</f>
        <v>0.89246838200655632</v>
      </c>
      <c r="I33" s="81" t="str" cm="1">
        <f t="array" ref="I33">_xlfn.IFS(H33&lt;-0.8,"Very Weak",H33&lt;0,"Weak",H33=0,"No Correlation",H33&lt;=0.8,"Strong",H33&gt;0.8,"Very Strong")</f>
        <v>Very Strong</v>
      </c>
      <c r="J33" s="90"/>
      <c r="K33" s="147"/>
      <c r="L33" s="148"/>
      <c r="M33" s="149"/>
      <c r="N33" s="29"/>
      <c r="O33" s="4" t="s">
        <v>159</v>
      </c>
      <c r="P33" s="94">
        <v>4</v>
      </c>
      <c r="Q33" s="94">
        <v>9</v>
      </c>
      <c r="R33" s="94">
        <v>4</v>
      </c>
      <c r="S33" s="94">
        <v>1</v>
      </c>
      <c r="T33" s="94">
        <v>1</v>
      </c>
      <c r="U33" s="94">
        <v>1</v>
      </c>
      <c r="V33" s="94">
        <v>1</v>
      </c>
      <c r="W33" s="94">
        <v>1</v>
      </c>
      <c r="X33" s="94">
        <v>1</v>
      </c>
      <c r="Y33" s="94">
        <v>1</v>
      </c>
      <c r="Z33" s="5">
        <v>2</v>
      </c>
      <c r="AA33" s="5">
        <v>4</v>
      </c>
      <c r="AB33" s="5">
        <v>4</v>
      </c>
      <c r="AC33" s="5">
        <v>4</v>
      </c>
      <c r="AD33" s="5">
        <v>4</v>
      </c>
      <c r="AE33" s="5">
        <v>4</v>
      </c>
      <c r="AF33" s="5">
        <v>4</v>
      </c>
      <c r="AG33" s="5">
        <v>4</v>
      </c>
      <c r="AH33" s="5">
        <v>3</v>
      </c>
      <c r="AI33" s="81">
        <v>4</v>
      </c>
      <c r="AJ33" s="15"/>
    </row>
    <row r="34" spans="1:36" ht="13.2" customHeight="1">
      <c r="A34" s="119"/>
      <c r="B34" s="86"/>
      <c r="C34" s="15"/>
      <c r="D34" s="51" t="s">
        <v>279</v>
      </c>
      <c r="E34" s="83">
        <f>CORREL(Table3[Q3.03 Rating],Table3[Q3.05 Rating])</f>
        <v>0.56870332568003679</v>
      </c>
      <c r="F34" s="81" t="str" cm="1">
        <f t="array" ref="F34">_xlfn.IFS(E34&lt;-0.8,"Very Weak",E34&lt;0,"Weak",E34=0,"No Correlation",E34&lt;=0.8,"Strong",E34&gt;0.8,"Very Strong")</f>
        <v>Strong</v>
      </c>
      <c r="G34" s="51" t="s">
        <v>334</v>
      </c>
      <c r="H34" s="83">
        <f>CORREL(Table3[Q2.03 Response],Table3[Q2.05 Response])</f>
        <v>0.84009509137101368</v>
      </c>
      <c r="I34" s="81" t="str" cm="1">
        <f t="array" ref="I34">_xlfn.IFS(H34&lt;-0.8,"Very Weak",H34&lt;0,"Weak",H34=0,"No Correlation",H34&lt;=0.8,"Strong",H34&gt;0.8,"Very Strong")</f>
        <v>Very Strong</v>
      </c>
      <c r="J34" s="90"/>
      <c r="K34" s="147"/>
      <c r="L34" s="148"/>
      <c r="M34" s="149"/>
      <c r="N34" s="29"/>
      <c r="O34" s="4" t="s">
        <v>160</v>
      </c>
      <c r="P34" s="94">
        <v>6</v>
      </c>
      <c r="Q34" s="94">
        <v>3</v>
      </c>
      <c r="R34" s="94">
        <v>3</v>
      </c>
      <c r="S34" s="94">
        <v>1</v>
      </c>
      <c r="T34" s="94">
        <v>2</v>
      </c>
      <c r="U34" s="94">
        <v>1</v>
      </c>
      <c r="V34" s="94">
        <v>3</v>
      </c>
      <c r="W34" s="94">
        <v>1</v>
      </c>
      <c r="X34" s="94">
        <v>3</v>
      </c>
      <c r="Y34" s="94">
        <v>1</v>
      </c>
      <c r="Z34" s="5">
        <v>1</v>
      </c>
      <c r="AA34" s="5">
        <v>5</v>
      </c>
      <c r="AB34" s="5">
        <v>3</v>
      </c>
      <c r="AC34" s="5">
        <v>4</v>
      </c>
      <c r="AD34" s="5">
        <v>3</v>
      </c>
      <c r="AE34" s="5">
        <v>3</v>
      </c>
      <c r="AF34" s="5">
        <v>3</v>
      </c>
      <c r="AG34" s="5">
        <v>3</v>
      </c>
      <c r="AH34" s="5">
        <v>4</v>
      </c>
      <c r="AI34" s="81">
        <v>4</v>
      </c>
      <c r="AJ34" s="15"/>
    </row>
    <row r="35" spans="1:36" ht="14.4" customHeight="1">
      <c r="A35" s="119"/>
      <c r="B35" s="84" t="s">
        <v>76</v>
      </c>
      <c r="C35" s="15"/>
      <c r="D35" s="51" t="s">
        <v>280</v>
      </c>
      <c r="E35" s="83">
        <f>CORREL(Table3[Q3.03 Rating],Table3[Q3.06 Rating])</f>
        <v>0.51563146495918266</v>
      </c>
      <c r="F35" s="81" t="str" cm="1">
        <f t="array" ref="F35">_xlfn.IFS(E35&lt;-0.8,"Very Weak",E35&lt;0,"Weak",E35=0,"No Correlation",E35&lt;=0.8,"Strong",E35&gt;0.8,"Very Strong")</f>
        <v>Strong</v>
      </c>
      <c r="G35" s="51" t="s">
        <v>335</v>
      </c>
      <c r="H35" s="83">
        <f>CORREL(Table3[Q2.03 Response],Table3[Q2.06 Response])</f>
        <v>0.21632895490723772</v>
      </c>
      <c r="I35" s="81" t="str" cm="1">
        <f t="array" ref="I35">_xlfn.IFS(H35&lt;-0.8,"Very Weak",H35&lt;0,"Weak",H35=0,"No Correlation",H35&lt;=0.8,"Strong",H35&gt;0.8,"Very Strong")</f>
        <v>Strong</v>
      </c>
      <c r="J35" s="90"/>
      <c r="K35" s="147"/>
      <c r="L35" s="148"/>
      <c r="M35" s="149"/>
      <c r="N35" s="29"/>
      <c r="O35" s="4" t="s">
        <v>161</v>
      </c>
      <c r="P35" s="94">
        <v>6</v>
      </c>
      <c r="Q35" s="94">
        <v>6</v>
      </c>
      <c r="R35" s="94">
        <v>2</v>
      </c>
      <c r="S35" s="94">
        <v>2</v>
      </c>
      <c r="T35" s="94">
        <v>2</v>
      </c>
      <c r="U35" s="94">
        <v>2</v>
      </c>
      <c r="V35" s="94">
        <v>1</v>
      </c>
      <c r="W35" s="94">
        <v>1</v>
      </c>
      <c r="X35" s="94">
        <v>1</v>
      </c>
      <c r="Y35" s="94">
        <v>1</v>
      </c>
      <c r="Z35" s="5">
        <v>3</v>
      </c>
      <c r="AA35" s="5">
        <v>5</v>
      </c>
      <c r="AB35" s="5">
        <v>5</v>
      </c>
      <c r="AC35" s="5">
        <v>5</v>
      </c>
      <c r="AD35" s="5">
        <v>4</v>
      </c>
      <c r="AE35" s="5">
        <v>4</v>
      </c>
      <c r="AF35" s="5">
        <v>4</v>
      </c>
      <c r="AG35" s="5">
        <v>4</v>
      </c>
      <c r="AH35" s="5">
        <v>4</v>
      </c>
      <c r="AI35" s="81">
        <v>4</v>
      </c>
      <c r="AJ35" s="15"/>
    </row>
    <row r="36" spans="1:36" ht="26.4" customHeight="1">
      <c r="A36" s="119"/>
      <c r="B36" s="85" t="s">
        <v>8</v>
      </c>
      <c r="C36" s="15"/>
      <c r="D36" s="51" t="s">
        <v>281</v>
      </c>
      <c r="E36" s="83">
        <f>CORREL(Table3[Q3.03 Rating],Table3[Q3.07 Rating])</f>
        <v>0.15997760626959168</v>
      </c>
      <c r="F36" s="81" t="str" cm="1">
        <f t="array" ref="F36">_xlfn.IFS(E36&lt;-0.8,"Very Weak",E36&lt;0,"Weak",E36=0,"No Correlation",E36&lt;=0.8,"Strong",E36&gt;0.8,"Very Strong")</f>
        <v>Strong</v>
      </c>
      <c r="G36" s="51" t="s">
        <v>336</v>
      </c>
      <c r="H36" s="83">
        <f>CORREL(Table3[Q2.03 Response],Table3[Q2.07 Response])</f>
        <v>0.62483712876550779</v>
      </c>
      <c r="I36" s="81" t="str" cm="1">
        <f t="array" ref="I36">_xlfn.IFS(H36&lt;-0.8,"Very Weak",H36&lt;0,"Weak",H36=0,"No Correlation",H36&lt;=0.8,"Strong",H36&gt;0.8,"Very Strong")</f>
        <v>Strong</v>
      </c>
      <c r="J36" s="90"/>
      <c r="K36" s="147"/>
      <c r="L36" s="148"/>
      <c r="M36" s="149"/>
      <c r="N36" s="29"/>
      <c r="O36" s="4" t="s">
        <v>162</v>
      </c>
      <c r="P36" s="94">
        <v>8</v>
      </c>
      <c r="Q36" s="94">
        <v>12</v>
      </c>
      <c r="R36" s="94">
        <v>2</v>
      </c>
      <c r="S36" s="94">
        <v>4</v>
      </c>
      <c r="T36" s="94">
        <v>4</v>
      </c>
      <c r="U36" s="94">
        <v>7</v>
      </c>
      <c r="V36" s="94">
        <v>20</v>
      </c>
      <c r="W36" s="94">
        <v>2</v>
      </c>
      <c r="X36" s="94">
        <v>1</v>
      </c>
      <c r="Y36" s="94">
        <v>6</v>
      </c>
      <c r="Z36" s="5">
        <v>3</v>
      </c>
      <c r="AA36" s="5">
        <v>3</v>
      </c>
      <c r="AB36" s="5">
        <v>3</v>
      </c>
      <c r="AC36" s="5">
        <v>3</v>
      </c>
      <c r="AD36" s="5">
        <v>5</v>
      </c>
      <c r="AE36" s="5">
        <v>4</v>
      </c>
      <c r="AF36" s="5">
        <v>5</v>
      </c>
      <c r="AG36" s="5">
        <v>3</v>
      </c>
      <c r="AH36" s="5">
        <v>3</v>
      </c>
      <c r="AI36" s="81">
        <v>4</v>
      </c>
      <c r="AJ36" s="15"/>
    </row>
    <row r="37" spans="1:36" ht="14.4" customHeight="1">
      <c r="A37" s="119"/>
      <c r="B37" s="85" t="s">
        <v>3</v>
      </c>
      <c r="C37" s="15"/>
      <c r="D37" s="51" t="s">
        <v>282</v>
      </c>
      <c r="E37" s="83">
        <f>CORREL(Table3[Q3.03 Rating],Table3[Q3.08 Rating])</f>
        <v>0.18054997448118754</v>
      </c>
      <c r="F37" s="81" t="str" cm="1">
        <f t="array" ref="F37">_xlfn.IFS(E37&lt;-0.8,"Very Weak",E37&lt;0,"Weak",E37=0,"No Correlation",E37&lt;=0.8,"Strong",E37&gt;0.8,"Very Strong")</f>
        <v>Strong</v>
      </c>
      <c r="G37" s="51" t="s">
        <v>337</v>
      </c>
      <c r="H37" s="83">
        <f>CORREL(Table3[Q2.03 Response],Table3[Q2.08 Response])</f>
        <v>0.87893948948732425</v>
      </c>
      <c r="I37" s="81" t="str" cm="1">
        <f t="array" ref="I37">_xlfn.IFS(H37&lt;-0.8,"Very Weak",H37&lt;0,"Weak",H37=0,"No Correlation",H37&lt;=0.8,"Strong",H37&gt;0.8,"Very Strong")</f>
        <v>Very Strong</v>
      </c>
      <c r="J37" s="90"/>
      <c r="K37" s="147"/>
      <c r="L37" s="148"/>
      <c r="M37" s="149"/>
      <c r="N37" s="29"/>
      <c r="O37" s="4" t="s">
        <v>163</v>
      </c>
      <c r="P37" s="94">
        <v>6</v>
      </c>
      <c r="Q37" s="94">
        <v>2</v>
      </c>
      <c r="R37" s="94">
        <v>1</v>
      </c>
      <c r="S37" s="94">
        <v>3</v>
      </c>
      <c r="T37" s="94">
        <v>3</v>
      </c>
      <c r="U37" s="94">
        <v>1</v>
      </c>
      <c r="V37" s="94">
        <v>3</v>
      </c>
      <c r="W37" s="94">
        <v>3</v>
      </c>
      <c r="X37" s="94">
        <v>1</v>
      </c>
      <c r="Y37" s="94">
        <v>1</v>
      </c>
      <c r="Z37" s="5">
        <v>3</v>
      </c>
      <c r="AA37" s="5">
        <v>5</v>
      </c>
      <c r="AB37" s="5">
        <v>3</v>
      </c>
      <c r="AC37" s="5">
        <v>5</v>
      </c>
      <c r="AD37" s="5">
        <v>4</v>
      </c>
      <c r="AE37" s="5">
        <v>3</v>
      </c>
      <c r="AF37" s="5">
        <v>5</v>
      </c>
      <c r="AG37" s="5">
        <v>3</v>
      </c>
      <c r="AH37" s="5">
        <v>5</v>
      </c>
      <c r="AI37" s="81">
        <v>5</v>
      </c>
      <c r="AJ37" s="15"/>
    </row>
    <row r="38" spans="1:36">
      <c r="A38" s="119"/>
      <c r="B38" s="85" t="s">
        <v>4</v>
      </c>
      <c r="C38" s="15"/>
      <c r="D38" s="51" t="s">
        <v>283</v>
      </c>
      <c r="E38" s="50">
        <f>CORREL(Table3[Q3.03 Rating],Table3[Q3.09 Rating])</f>
        <v>0.38383890253407366</v>
      </c>
      <c r="F38" s="81" t="str" cm="1">
        <f t="array" ref="F38">_xlfn.IFS(E38&lt;-0.8,"Very Weak",E38&lt;0,"Weak",E38=0,"No Correlation",E38&lt;=0.8,"Strong",E38&gt;0.8,"Very Strong")</f>
        <v>Strong</v>
      </c>
      <c r="G38" s="51" t="s">
        <v>338</v>
      </c>
      <c r="H38" s="50">
        <f>CORREL(Table3[Q2.03 Response],Table3[Q2.09 Response])</f>
        <v>0.92831373226731051</v>
      </c>
      <c r="I38" s="81" t="str" cm="1">
        <f t="array" ref="I38">_xlfn.IFS(H38&lt;-0.8,"Very Weak",H38&lt;0,"Weak",H38=0,"No Correlation",H38&lt;=0.8,"Strong",H38&gt;0.8,"Very Strong")</f>
        <v>Very Strong</v>
      </c>
      <c r="J38" s="15"/>
      <c r="K38" s="147"/>
      <c r="L38" s="148"/>
      <c r="M38" s="149"/>
      <c r="N38" s="29"/>
      <c r="O38" s="51" t="s">
        <v>247</v>
      </c>
      <c r="P38" s="92">
        <v>6</v>
      </c>
      <c r="Q38" s="92">
        <v>8</v>
      </c>
      <c r="R38" s="92">
        <v>2</v>
      </c>
      <c r="S38" s="92">
        <v>0</v>
      </c>
      <c r="T38" s="92">
        <v>0</v>
      </c>
      <c r="U38" s="92">
        <v>0</v>
      </c>
      <c r="V38" s="92">
        <v>3</v>
      </c>
      <c r="W38" s="92">
        <v>1</v>
      </c>
      <c r="X38" s="92">
        <v>1</v>
      </c>
      <c r="Y38" s="92">
        <v>3</v>
      </c>
      <c r="Z38" s="5">
        <v>4</v>
      </c>
      <c r="AA38" s="5">
        <v>5</v>
      </c>
      <c r="AB38" s="5">
        <v>2</v>
      </c>
      <c r="AC38" s="5">
        <v>2</v>
      </c>
      <c r="AD38" s="5">
        <v>1</v>
      </c>
      <c r="AE38" s="5">
        <v>1</v>
      </c>
      <c r="AF38" s="5">
        <v>4</v>
      </c>
      <c r="AG38" s="5">
        <v>5</v>
      </c>
      <c r="AH38" s="5">
        <v>1</v>
      </c>
      <c r="AI38" s="81">
        <v>4</v>
      </c>
      <c r="AJ38" s="29"/>
    </row>
    <row r="39" spans="1:36">
      <c r="A39" s="119"/>
      <c r="B39" s="85" t="s">
        <v>5</v>
      </c>
      <c r="C39" s="15"/>
      <c r="D39" s="51" t="s">
        <v>284</v>
      </c>
      <c r="E39" s="50">
        <f>CORREL(Table3[Q3.03 Rating],Table3[Q3.10 Rating])</f>
        <v>-4.7504696373253351E-2</v>
      </c>
      <c r="F39" s="81" t="str" cm="1">
        <f t="array" ref="F39">_xlfn.IFS(E39&lt;-0.8,"Very Weak",E39&lt;0,"Weak",E39=0,"No Correlation",E39&lt;=0.8,"Strong",E39&gt;0.8,"Very Strong")</f>
        <v>Weak</v>
      </c>
      <c r="G39" s="51" t="s">
        <v>339</v>
      </c>
      <c r="H39" s="50">
        <f>CORREL(Table3[Q2.03 Response],Table3[Q2.10 Response])</f>
        <v>0.64004606506492101</v>
      </c>
      <c r="I39" s="81" t="str" cm="1">
        <f t="array" ref="I39">_xlfn.IFS(H39&lt;-0.8,"Very Weak",H39&lt;0,"Weak",H39=0,"No Correlation",H39&lt;=0.8,"Strong",H39&gt;0.8,"Very Strong")</f>
        <v>Strong</v>
      </c>
      <c r="J39" s="15"/>
      <c r="K39" s="147"/>
      <c r="L39" s="148"/>
      <c r="M39" s="149"/>
      <c r="N39" s="29"/>
      <c r="O39" s="51" t="s">
        <v>248</v>
      </c>
      <c r="P39" s="92">
        <v>5.5</v>
      </c>
      <c r="Q39" s="92">
        <v>7</v>
      </c>
      <c r="R39" s="92">
        <v>3</v>
      </c>
      <c r="S39" s="92">
        <v>2</v>
      </c>
      <c r="T39" s="92">
        <v>0</v>
      </c>
      <c r="U39" s="92">
        <v>0</v>
      </c>
      <c r="V39" s="92">
        <v>1</v>
      </c>
      <c r="W39" s="92">
        <v>0.5</v>
      </c>
      <c r="X39" s="92">
        <v>2</v>
      </c>
      <c r="Y39" s="92">
        <v>3</v>
      </c>
      <c r="Z39" s="5">
        <v>4</v>
      </c>
      <c r="AA39" s="5">
        <v>5</v>
      </c>
      <c r="AB39" s="5">
        <v>3</v>
      </c>
      <c r="AC39" s="5">
        <v>3</v>
      </c>
      <c r="AD39" s="5">
        <v>4</v>
      </c>
      <c r="AE39" s="5">
        <v>4</v>
      </c>
      <c r="AF39" s="5">
        <v>3</v>
      </c>
      <c r="AG39" s="5">
        <v>4</v>
      </c>
      <c r="AH39" s="5">
        <v>4</v>
      </c>
      <c r="AI39" s="81">
        <v>5</v>
      </c>
      <c r="AJ39" s="29"/>
    </row>
    <row r="40" spans="1:36">
      <c r="A40" s="119"/>
      <c r="B40" s="85" t="s">
        <v>6</v>
      </c>
      <c r="C40" s="15"/>
      <c r="D40" s="51" t="s">
        <v>285</v>
      </c>
      <c r="E40" s="50">
        <f>CORREL(Table3[Q3.04 Rating],Table3[Q3.05 Rating])</f>
        <v>0.48434641999229405</v>
      </c>
      <c r="F40" s="81" t="str" cm="1">
        <f t="array" ref="F40">_xlfn.IFS(E40&lt;-0.8,"Very Weak",E40&lt;0,"Weak",E40=0,"No Correlation",E40&lt;=0.8,"Strong",E40&gt;0.8,"Very Strong")</f>
        <v>Strong</v>
      </c>
      <c r="G40" s="51" t="s">
        <v>340</v>
      </c>
      <c r="H40" s="50">
        <f>CORREL(Table3[Q2.04 Response],Table3[Q2.05 Response])</f>
        <v>0.96952229381249999</v>
      </c>
      <c r="I40" s="81" t="str" cm="1">
        <f t="array" ref="I40">_xlfn.IFS(H40&lt;-0.8,"Very Weak",H40&lt;0,"Weak",H40=0,"No Correlation",H40&lt;=0.8,"Strong",H40&gt;0.8,"Very Strong")</f>
        <v>Very Strong</v>
      </c>
      <c r="J40" s="15"/>
      <c r="K40" s="147"/>
      <c r="L40" s="148"/>
      <c r="M40" s="149"/>
      <c r="N40" s="29"/>
      <c r="O40" s="51" t="s">
        <v>249</v>
      </c>
      <c r="P40" s="92">
        <v>9</v>
      </c>
      <c r="Q40" s="92">
        <v>8</v>
      </c>
      <c r="R40" s="92">
        <v>10</v>
      </c>
      <c r="S40" s="92">
        <v>20</v>
      </c>
      <c r="T40" s="92">
        <v>24</v>
      </c>
      <c r="U40" s="92">
        <v>15</v>
      </c>
      <c r="V40" s="92">
        <v>7</v>
      </c>
      <c r="W40" s="92">
        <v>5</v>
      </c>
      <c r="X40" s="92">
        <v>13</v>
      </c>
      <c r="Y40" s="92">
        <v>9</v>
      </c>
      <c r="Z40" s="5">
        <v>4</v>
      </c>
      <c r="AA40" s="5">
        <v>5</v>
      </c>
      <c r="AB40" s="5">
        <v>3</v>
      </c>
      <c r="AC40" s="5">
        <v>5</v>
      </c>
      <c r="AD40" s="5">
        <v>3</v>
      </c>
      <c r="AE40" s="5">
        <v>3</v>
      </c>
      <c r="AF40" s="5">
        <v>3</v>
      </c>
      <c r="AG40" s="5">
        <v>5</v>
      </c>
      <c r="AH40" s="5">
        <v>3</v>
      </c>
      <c r="AI40" s="81">
        <v>3</v>
      </c>
      <c r="AJ40" s="29"/>
    </row>
    <row r="41" spans="1:36">
      <c r="A41" s="119"/>
      <c r="B41" s="85" t="s">
        <v>7</v>
      </c>
      <c r="C41" s="15"/>
      <c r="D41" s="51" t="s">
        <v>286</v>
      </c>
      <c r="E41" s="50">
        <f>CORREL(Table3[Q3.04 Rating],Table3[Q3.06 Rating])</f>
        <v>0.26785033392435509</v>
      </c>
      <c r="F41" s="81" t="str" cm="1">
        <f t="array" ref="F41">_xlfn.IFS(E41&lt;-0.8,"Very Weak",E41&lt;0,"Weak",E41=0,"No Correlation",E41&lt;=0.8,"Strong",E41&gt;0.8,"Very Strong")</f>
        <v>Strong</v>
      </c>
      <c r="G41" s="51" t="s">
        <v>341</v>
      </c>
      <c r="H41" s="50">
        <f>CORREL(Table3[Q2.04 Response],Table3[Q2.06 Response])</f>
        <v>0.46399044046542587</v>
      </c>
      <c r="I41" s="81" t="str" cm="1">
        <f t="array" ref="I41">_xlfn.IFS(H41&lt;-0.8,"Very Weak",H41&lt;0,"Weak",H41=0,"No Correlation",H41&lt;=0.8,"Strong",H41&gt;0.8,"Very Strong")</f>
        <v>Strong</v>
      </c>
      <c r="J41" s="15"/>
      <c r="K41" s="147"/>
      <c r="L41" s="148"/>
      <c r="M41" s="149"/>
      <c r="N41" s="29"/>
      <c r="O41" s="51" t="s">
        <v>250</v>
      </c>
      <c r="P41" s="92">
        <v>8</v>
      </c>
      <c r="Q41" s="92">
        <v>2</v>
      </c>
      <c r="R41" s="92">
        <v>1</v>
      </c>
      <c r="S41" s="92">
        <v>2</v>
      </c>
      <c r="T41" s="92">
        <v>2</v>
      </c>
      <c r="U41" s="92">
        <v>2</v>
      </c>
      <c r="V41" s="92">
        <v>2</v>
      </c>
      <c r="W41" s="92">
        <v>2</v>
      </c>
      <c r="X41" s="92">
        <v>2</v>
      </c>
      <c r="Y41" s="92">
        <v>2</v>
      </c>
      <c r="Z41" s="5">
        <v>3</v>
      </c>
      <c r="AA41" s="5">
        <v>3</v>
      </c>
      <c r="AB41" s="5">
        <v>4</v>
      </c>
      <c r="AC41" s="5">
        <v>2</v>
      </c>
      <c r="AD41" s="5">
        <v>4</v>
      </c>
      <c r="AE41" s="5">
        <v>4</v>
      </c>
      <c r="AF41" s="5">
        <v>2</v>
      </c>
      <c r="AG41" s="5">
        <v>2</v>
      </c>
      <c r="AH41" s="5">
        <v>4</v>
      </c>
      <c r="AI41" s="81">
        <v>2</v>
      </c>
      <c r="AJ41" s="29"/>
    </row>
    <row r="42" spans="1:36" ht="13.2" customHeight="1">
      <c r="A42" s="119"/>
      <c r="B42" s="85" t="s">
        <v>186</v>
      </c>
      <c r="C42" s="15"/>
      <c r="D42" s="51" t="s">
        <v>287</v>
      </c>
      <c r="E42" s="50">
        <f>CORREL(Table3[Q3.04 Rating],Table3[Q3.07 Rating])</f>
        <v>0.36937419868799698</v>
      </c>
      <c r="F42" s="81" t="str" cm="1">
        <f t="array" ref="F42">_xlfn.IFS(E42&lt;-0.8,"Very Weak",E42&lt;0,"Weak",E42=0,"No Correlation",E42&lt;=0.8,"Strong",E42&gt;0.8,"Very Strong")</f>
        <v>Strong</v>
      </c>
      <c r="G42" s="51" t="s">
        <v>342</v>
      </c>
      <c r="H42" s="50">
        <f>CORREL(Table3[Q2.04 Response],Table3[Q2.07 Response])</f>
        <v>0.65429063459019665</v>
      </c>
      <c r="I42" s="81" t="str" cm="1">
        <f t="array" ref="I42">_xlfn.IFS(H42&lt;-0.8,"Very Weak",H42&lt;0,"Weak",H42=0,"No Correlation",H42&lt;=0.8,"Strong",H42&gt;0.8,"Very Strong")</f>
        <v>Strong</v>
      </c>
      <c r="J42" s="15"/>
      <c r="K42" s="147"/>
      <c r="L42" s="148"/>
      <c r="M42" s="149"/>
      <c r="N42" s="29"/>
      <c r="O42" s="54" t="s">
        <v>251</v>
      </c>
      <c r="P42" s="95">
        <v>8</v>
      </c>
      <c r="Q42" s="95">
        <v>5</v>
      </c>
      <c r="R42" s="95">
        <v>5</v>
      </c>
      <c r="S42" s="95">
        <v>5</v>
      </c>
      <c r="T42" s="95">
        <v>8</v>
      </c>
      <c r="U42" s="95">
        <v>3</v>
      </c>
      <c r="V42" s="95">
        <v>8</v>
      </c>
      <c r="W42" s="95">
        <v>8</v>
      </c>
      <c r="X42" s="95">
        <v>8</v>
      </c>
      <c r="Y42" s="95">
        <v>8</v>
      </c>
      <c r="Z42" s="55">
        <v>4</v>
      </c>
      <c r="AA42" s="55">
        <v>5</v>
      </c>
      <c r="AB42" s="55">
        <v>5</v>
      </c>
      <c r="AC42" s="55">
        <v>5</v>
      </c>
      <c r="AD42" s="55">
        <v>5</v>
      </c>
      <c r="AE42" s="55">
        <v>5</v>
      </c>
      <c r="AF42" s="55">
        <v>5</v>
      </c>
      <c r="AG42" s="55">
        <v>4</v>
      </c>
      <c r="AH42" s="55">
        <v>5</v>
      </c>
      <c r="AI42" s="82">
        <v>5</v>
      </c>
      <c r="AJ42" s="29"/>
    </row>
    <row r="43" spans="1:36" ht="26.4" customHeight="1">
      <c r="A43" s="119"/>
      <c r="B43" s="85" t="s">
        <v>187</v>
      </c>
      <c r="C43" s="15"/>
      <c r="D43" s="51" t="s">
        <v>288</v>
      </c>
      <c r="E43" s="50">
        <f>CORREL(Table3[Q3.04 Rating],Table3[Q3.08 Rating])</f>
        <v>0.22293763118885176</v>
      </c>
      <c r="F43" s="81" t="str" cm="1">
        <f t="array" ref="F43">_xlfn.IFS(E43&lt;-0.8,"Very Weak",E43&lt;0,"Weak",E43=0,"No Correlation",E43&lt;=0.8,"Strong",E43&gt;0.8,"Very Strong")</f>
        <v>Strong</v>
      </c>
      <c r="G43" s="51" t="s">
        <v>343</v>
      </c>
      <c r="H43" s="50">
        <f>CORREL(Table3[Q2.04 Response],Table3[Q2.08 Response])</f>
        <v>0.80632928630438228</v>
      </c>
      <c r="I43" s="81" t="str" cm="1">
        <f t="array" ref="I43">_xlfn.IFS(H43&lt;-0.8,"Very Weak",H43&lt;0,"Weak",H43=0,"No Correlation",H43&lt;=0.8,"Strong",H43&gt;0.8,"Very Strong")</f>
        <v>Very Strong</v>
      </c>
      <c r="J43" s="15"/>
      <c r="K43" s="147"/>
      <c r="L43" s="148"/>
      <c r="M43" s="149"/>
      <c r="N43" s="29"/>
      <c r="O43" s="6" t="s">
        <v>171</v>
      </c>
      <c r="P43" s="39">
        <f>(SUM(P2:P42))/($F$8)</f>
        <v>6.7682926829268295</v>
      </c>
      <c r="Q43" s="39">
        <f t="shared" ref="Q43:Y43" si="9">(SUM(Q2:Q42))/($F$8)</f>
        <v>6.4634146341463419</v>
      </c>
      <c r="R43" s="39">
        <f t="shared" si="9"/>
        <v>3.2195121951219514</v>
      </c>
      <c r="S43" s="39">
        <f t="shared" si="9"/>
        <v>2.8536585365853657</v>
      </c>
      <c r="T43" s="39">
        <f t="shared" si="9"/>
        <v>2.9817073170731709</v>
      </c>
      <c r="U43" s="39">
        <f t="shared" si="9"/>
        <v>2.1341463414634148</v>
      </c>
      <c r="V43" s="39">
        <f t="shared" si="9"/>
        <v>3.3902439024390243</v>
      </c>
      <c r="W43" s="39">
        <f t="shared" si="9"/>
        <v>1.9117804878048779</v>
      </c>
      <c r="X43" s="39">
        <f t="shared" si="9"/>
        <v>2.5073170731707317</v>
      </c>
      <c r="Y43" s="39">
        <f t="shared" si="9"/>
        <v>3.1260975609756101</v>
      </c>
      <c r="Z43" s="39">
        <f t="shared" ref="Z43:AI43" si="10">(SUM(Z2:Z42))/($F$8)</f>
        <v>3.1463414634146343</v>
      </c>
      <c r="AA43" s="39">
        <f t="shared" si="10"/>
        <v>4.3414634146341466</v>
      </c>
      <c r="AB43" s="39">
        <f t="shared" si="10"/>
        <v>3.6341463414634148</v>
      </c>
      <c r="AC43" s="39">
        <f t="shared" si="10"/>
        <v>3.8780487804878048</v>
      </c>
      <c r="AD43" s="39">
        <f t="shared" si="10"/>
        <v>3.9024390243902438</v>
      </c>
      <c r="AE43" s="39">
        <f t="shared" si="10"/>
        <v>3.3414634146341462</v>
      </c>
      <c r="AF43" s="39">
        <f t="shared" si="10"/>
        <v>3.9512195121951219</v>
      </c>
      <c r="AG43" s="39">
        <f t="shared" si="10"/>
        <v>3.6829268292682928</v>
      </c>
      <c r="AH43" s="39">
        <f t="shared" si="10"/>
        <v>3.7317073170731709</v>
      </c>
      <c r="AI43" s="39">
        <f t="shared" si="10"/>
        <v>3.7804878048780486</v>
      </c>
      <c r="AJ43" s="15"/>
    </row>
    <row r="44" spans="1:36" ht="26.4" customHeight="1" thickBot="1">
      <c r="A44" s="119"/>
      <c r="B44" s="85" t="s">
        <v>188</v>
      </c>
      <c r="C44" s="15"/>
      <c r="D44" s="51" t="s">
        <v>289</v>
      </c>
      <c r="E44" s="50">
        <f>CORREL(Table3[Q3.04 Rating],Table3[Q3.09 Rating])</f>
        <v>0.46969698044387614</v>
      </c>
      <c r="F44" s="81" t="str" cm="1">
        <f t="array" ref="F44">_xlfn.IFS(E44&lt;-0.8,"Very Weak",E44&lt;0,"Weak",E44=0,"No Correlation",E44&lt;=0.8,"Strong",E44&gt;0.8,"Very Strong")</f>
        <v>Strong</v>
      </c>
      <c r="G44" s="51" t="s">
        <v>344</v>
      </c>
      <c r="H44" s="50">
        <f>CORREL(Table3[Q2.04 Response],Table3[Q2.09 Response])</f>
        <v>0.92374775003918763</v>
      </c>
      <c r="I44" s="81" t="str" cm="1">
        <f t="array" ref="I44">_xlfn.IFS(H44&lt;-0.8,"Very Weak",H44&lt;0,"Weak",H44=0,"No Correlation",H44&lt;=0.8,"Strong",H44&gt;0.8,"Very Strong")</f>
        <v>Very Strong</v>
      </c>
      <c r="J44" s="15"/>
      <c r="K44" s="147"/>
      <c r="L44" s="148"/>
      <c r="M44" s="149"/>
      <c r="N44" s="15"/>
      <c r="O44" s="15"/>
      <c r="P44" s="15"/>
      <c r="Q44" s="15"/>
      <c r="R44" s="15"/>
      <c r="S44" s="15"/>
      <c r="T44" s="15"/>
      <c r="U44" s="15"/>
      <c r="V44" s="15"/>
      <c r="W44" s="15"/>
      <c r="X44" s="15"/>
      <c r="Y44" s="15"/>
      <c r="Z44" s="15"/>
      <c r="AA44" s="15"/>
      <c r="AB44" s="15"/>
      <c r="AC44" s="15"/>
      <c r="AD44" s="15"/>
      <c r="AE44" s="15"/>
      <c r="AF44" s="15"/>
      <c r="AG44" s="15"/>
      <c r="AH44" s="15"/>
      <c r="AI44" s="15"/>
      <c r="AJ44" s="15"/>
    </row>
    <row r="45" spans="1:36" ht="39.6" customHeight="1" thickBot="1">
      <c r="A45" s="119"/>
      <c r="B45" s="85" t="s">
        <v>189</v>
      </c>
      <c r="C45" s="15"/>
      <c r="D45" s="51" t="s">
        <v>290</v>
      </c>
      <c r="E45" s="50">
        <f>CORREL(Table3[Q3.04 Rating],Table3[Q3.10 Rating])</f>
        <v>0.19873889194990524</v>
      </c>
      <c r="F45" s="81" t="str" cm="1">
        <f t="array" ref="F45">_xlfn.IFS(E45&lt;-0.8,"Very Weak",E45&lt;0,"Weak",E45=0,"No Correlation",E45&lt;=0.8,"Strong",E45&gt;0.8,"Very Strong")</f>
        <v>Strong</v>
      </c>
      <c r="G45" s="51" t="s">
        <v>345</v>
      </c>
      <c r="H45" s="50">
        <f>CORREL(Table3[Q2.04 Response],Table3[Q2.10 Response])</f>
        <v>0.63985881795567279</v>
      </c>
      <c r="I45" s="81" t="str" cm="1">
        <f t="array" ref="I45">_xlfn.IFS(H45&lt;-0.8,"Very Weak",H45&lt;0,"Weak",H45=0,"No Correlation",H45&lt;=0.8,"Strong",H45&gt;0.8,"Very Strong")</f>
        <v>Strong</v>
      </c>
      <c r="J45" s="15"/>
      <c r="K45" s="147"/>
      <c r="L45" s="148"/>
      <c r="M45" s="149"/>
      <c r="N45" s="15"/>
      <c r="O45" s="107" t="s">
        <v>383</v>
      </c>
      <c r="P45" s="104" t="s">
        <v>306</v>
      </c>
      <c r="Q45" s="105" t="s">
        <v>307</v>
      </c>
      <c r="R45" s="105" t="s">
        <v>308</v>
      </c>
      <c r="S45" s="105" t="s">
        <v>309</v>
      </c>
      <c r="T45" s="105" t="s">
        <v>310</v>
      </c>
      <c r="U45" s="105" t="s">
        <v>311</v>
      </c>
      <c r="V45" s="105" t="s">
        <v>312</v>
      </c>
      <c r="W45" s="105" t="s">
        <v>313</v>
      </c>
      <c r="X45" s="105" t="s">
        <v>314</v>
      </c>
      <c r="Y45" s="105" t="s">
        <v>315</v>
      </c>
      <c r="Z45" s="105" t="s">
        <v>198</v>
      </c>
      <c r="AA45" s="105" t="s">
        <v>197</v>
      </c>
      <c r="AB45" s="105" t="s">
        <v>200</v>
      </c>
      <c r="AC45" s="105" t="s">
        <v>202</v>
      </c>
      <c r="AD45" s="105" t="s">
        <v>204</v>
      </c>
      <c r="AE45" s="105" t="s">
        <v>206</v>
      </c>
      <c r="AF45" s="105" t="s">
        <v>208</v>
      </c>
      <c r="AG45" s="105" t="s">
        <v>210</v>
      </c>
      <c r="AH45" s="105" t="s">
        <v>212</v>
      </c>
      <c r="AI45" s="108" t="s">
        <v>169</v>
      </c>
      <c r="AJ45" s="15"/>
    </row>
    <row r="46" spans="1:36" ht="26.4" customHeight="1">
      <c r="A46" s="119"/>
      <c r="B46" s="85" t="s">
        <v>190</v>
      </c>
      <c r="C46" s="15"/>
      <c r="D46" s="51" t="s">
        <v>291</v>
      </c>
      <c r="E46" s="50">
        <f>CORREL(Table3[Q3.05 Rating],Table3[Q3.06 Rating])</f>
        <v>0.46186392414257632</v>
      </c>
      <c r="F46" s="81" t="str" cm="1">
        <f t="array" ref="F46">_xlfn.IFS(E46&lt;-0.8,"Very Weak",E46&lt;0,"Weak",E46=0,"No Correlation",E46&lt;=0.8,"Strong",E46&gt;0.8,"Very Strong")</f>
        <v>Strong</v>
      </c>
      <c r="G46" s="51" t="s">
        <v>346</v>
      </c>
      <c r="H46" s="50">
        <f>CORREL(Table3[Q2.05 Response],Table3[Q2.06 Response])</f>
        <v>0.52318816114949496</v>
      </c>
      <c r="I46" s="81" t="str" cm="1">
        <f t="array" ref="I46">_xlfn.IFS(H46&lt;-0.8,"Very Weak",H46&lt;0,"Weak",H46=0,"No Correlation",H46&lt;=0.8,"Strong",H46&gt;0.8,"Very Strong")</f>
        <v>Strong</v>
      </c>
      <c r="J46" s="15"/>
      <c r="K46" s="147"/>
      <c r="L46" s="148"/>
      <c r="M46" s="149"/>
      <c r="N46" s="15"/>
      <c r="O46" s="106" t="s">
        <v>306</v>
      </c>
      <c r="P46" s="109">
        <v>1</v>
      </c>
      <c r="Q46" s="110"/>
      <c r="R46" s="110"/>
      <c r="S46" s="110"/>
      <c r="T46" s="110"/>
      <c r="U46" s="110"/>
      <c r="V46" s="110"/>
      <c r="W46" s="110"/>
      <c r="X46" s="110"/>
      <c r="Y46" s="111"/>
      <c r="Z46" s="109"/>
      <c r="AA46" s="110"/>
      <c r="AB46" s="110"/>
      <c r="AC46" s="110"/>
      <c r="AD46" s="110"/>
      <c r="AE46" s="110"/>
      <c r="AF46" s="110"/>
      <c r="AG46" s="110"/>
      <c r="AH46" s="110"/>
      <c r="AI46" s="111"/>
      <c r="AJ46" s="15"/>
    </row>
    <row r="47" spans="1:36" ht="39.6" customHeight="1">
      <c r="A47" s="119"/>
      <c r="B47" s="85" t="s">
        <v>191</v>
      </c>
      <c r="C47" s="15"/>
      <c r="D47" s="51" t="s">
        <v>292</v>
      </c>
      <c r="E47" s="50">
        <f>CORREL(Table3[Q3.05 Rating],Table3[Q3.07 Rating])</f>
        <v>0.29197274744072477</v>
      </c>
      <c r="F47" s="81" t="str" cm="1">
        <f t="array" ref="F47">_xlfn.IFS(E47&lt;-0.8,"Very Weak",E47&lt;0,"Weak",E47=0,"No Correlation",E47&lt;=0.8,"Strong",E47&gt;0.8,"Very Strong")</f>
        <v>Strong</v>
      </c>
      <c r="G47" s="51" t="s">
        <v>347</v>
      </c>
      <c r="H47" s="50">
        <f>CORREL(Table3[Q2.05 Response],Table3[Q2.07 Response])</f>
        <v>0.61289752935665631</v>
      </c>
      <c r="I47" s="81" t="str" cm="1">
        <f t="array" ref="I47">_xlfn.IFS(H47&lt;-0.8,"Very Weak",H47&lt;0,"Weak",H47=0,"No Correlation",H47&lt;=0.8,"Strong",H47&gt;0.8,"Very Strong")</f>
        <v>Strong</v>
      </c>
      <c r="J47" s="15"/>
      <c r="K47" s="147"/>
      <c r="L47" s="148"/>
      <c r="M47" s="149"/>
      <c r="N47" s="15"/>
      <c r="O47" s="102" t="s">
        <v>307</v>
      </c>
      <c r="P47" s="112">
        <v>0.17237827061785535</v>
      </c>
      <c r="Q47" s="113">
        <v>1</v>
      </c>
      <c r="R47" s="113"/>
      <c r="S47" s="113"/>
      <c r="T47" s="113"/>
      <c r="U47" s="113"/>
      <c r="V47" s="113"/>
      <c r="W47" s="113"/>
      <c r="X47" s="113"/>
      <c r="Y47" s="114"/>
      <c r="Z47" s="112"/>
      <c r="AA47" s="113"/>
      <c r="AB47" s="113"/>
      <c r="AC47" s="113"/>
      <c r="AD47" s="113"/>
      <c r="AE47" s="113"/>
      <c r="AF47" s="113"/>
      <c r="AG47" s="113"/>
      <c r="AH47" s="113"/>
      <c r="AI47" s="114"/>
      <c r="AJ47" s="15"/>
    </row>
    <row r="48" spans="1:36" ht="39.6" customHeight="1">
      <c r="A48" s="119"/>
      <c r="B48" s="85" t="s">
        <v>192</v>
      </c>
      <c r="C48" s="15"/>
      <c r="D48" s="51" t="s">
        <v>293</v>
      </c>
      <c r="E48" s="50">
        <f>CORREL(Table3[Q3.05 Rating],Table3[Q3.08 Rating])</f>
        <v>7.8840011956229597E-2</v>
      </c>
      <c r="F48" s="81" t="str" cm="1">
        <f t="array" ref="F48">_xlfn.IFS(E48&lt;-0.8,"Very Weak",E48&lt;0,"Weak",E48=0,"No Correlation",E48&lt;=0.8,"Strong",E48&gt;0.8,"Very Strong")</f>
        <v>Strong</v>
      </c>
      <c r="G48" s="51" t="s">
        <v>348</v>
      </c>
      <c r="H48" s="50">
        <f>CORREL(Table3[Q2.05 Response],Table3[Q2.08 Response])</f>
        <v>0.76627340228715068</v>
      </c>
      <c r="I48" s="81" t="str" cm="1">
        <f t="array" ref="I48">_xlfn.IFS(H48&lt;-0.8,"Very Weak",H48&lt;0,"Weak",H48=0,"No Correlation",H48&lt;=0.8,"Strong",H48&gt;0.8,"Very Strong")</f>
        <v>Strong</v>
      </c>
      <c r="J48" s="15"/>
      <c r="K48" s="147"/>
      <c r="L48" s="148"/>
      <c r="M48" s="149"/>
      <c r="N48" s="15"/>
      <c r="O48" s="102" t="s">
        <v>308</v>
      </c>
      <c r="P48" s="112">
        <v>0.38874155126234922</v>
      </c>
      <c r="Q48" s="113">
        <v>0.63475902342231072</v>
      </c>
      <c r="R48" s="113">
        <v>1</v>
      </c>
      <c r="S48" s="113"/>
      <c r="T48" s="113"/>
      <c r="U48" s="113"/>
      <c r="V48" s="113"/>
      <c r="W48" s="113"/>
      <c r="X48" s="113"/>
      <c r="Y48" s="114"/>
      <c r="Z48" s="112"/>
      <c r="AA48" s="113"/>
      <c r="AB48" s="113"/>
      <c r="AC48" s="113"/>
      <c r="AD48" s="113"/>
      <c r="AE48" s="113"/>
      <c r="AF48" s="113"/>
      <c r="AG48" s="113"/>
      <c r="AH48" s="113"/>
      <c r="AI48" s="114"/>
      <c r="AJ48" s="15"/>
    </row>
    <row r="49" spans="1:36" ht="39.6" customHeight="1">
      <c r="A49" s="119"/>
      <c r="B49" s="85" t="s">
        <v>193</v>
      </c>
      <c r="C49" s="15"/>
      <c r="D49" s="51" t="s">
        <v>294</v>
      </c>
      <c r="E49" s="50">
        <f>CORREL(Table3[Q3.05 Rating],Table3[Q3.09 Rating])</f>
        <v>0.62574156919252644</v>
      </c>
      <c r="F49" s="81" t="str" cm="1">
        <f t="array" ref="F49">_xlfn.IFS(E49&lt;-0.8,"Very Weak",E49&lt;0,"Weak",E49=0,"No Correlation",E49&lt;=0.8,"Strong",E49&gt;0.8,"Very Strong")</f>
        <v>Strong</v>
      </c>
      <c r="G49" s="51" t="s">
        <v>349</v>
      </c>
      <c r="H49" s="50">
        <f>CORREL(Table3[Q2.05 Response],Table3[Q2.09 Response])</f>
        <v>0.89574829577801851</v>
      </c>
      <c r="I49" s="81" t="str" cm="1">
        <f t="array" ref="I49">_xlfn.IFS(H49&lt;-0.8,"Very Weak",H49&lt;0,"Weak",H49=0,"No Correlation",H49&lt;=0.8,"Strong",H49&gt;0.8,"Very Strong")</f>
        <v>Very Strong</v>
      </c>
      <c r="J49" s="15"/>
      <c r="K49" s="147"/>
      <c r="L49" s="148"/>
      <c r="M49" s="149"/>
      <c r="N49" s="15"/>
      <c r="O49" s="102" t="s">
        <v>309</v>
      </c>
      <c r="P49" s="112">
        <v>0.49042507454832829</v>
      </c>
      <c r="Q49" s="113">
        <v>0.49245574261358988</v>
      </c>
      <c r="R49" s="113">
        <v>0.89246838200655632</v>
      </c>
      <c r="S49" s="113">
        <v>1</v>
      </c>
      <c r="T49" s="113"/>
      <c r="U49" s="113"/>
      <c r="V49" s="113"/>
      <c r="W49" s="113"/>
      <c r="X49" s="113"/>
      <c r="Y49" s="114"/>
      <c r="Z49" s="112"/>
      <c r="AA49" s="113"/>
      <c r="AB49" s="113"/>
      <c r="AC49" s="113"/>
      <c r="AD49" s="113"/>
      <c r="AE49" s="113"/>
      <c r="AF49" s="113"/>
      <c r="AG49" s="113"/>
      <c r="AH49" s="113"/>
      <c r="AI49" s="114"/>
      <c r="AJ49" s="15"/>
    </row>
    <row r="50" spans="1:36" ht="26.4" customHeight="1">
      <c r="A50" s="119"/>
      <c r="B50" s="85" t="s">
        <v>194</v>
      </c>
      <c r="C50" s="15"/>
      <c r="D50" s="51" t="s">
        <v>295</v>
      </c>
      <c r="E50" s="50">
        <f>CORREL(Table3[Q3.05 Rating],Table3[Q3.10 Rating])</f>
        <v>0.15118843599055767</v>
      </c>
      <c r="F50" s="81" t="str" cm="1">
        <f t="array" ref="F50">_xlfn.IFS(E50&lt;-0.8,"Very Weak",E50&lt;0,"Weak",E50=0,"No Correlation",E50&lt;=0.8,"Strong",E50&gt;0.8,"Very Strong")</f>
        <v>Strong</v>
      </c>
      <c r="G50" s="51" t="s">
        <v>350</v>
      </c>
      <c r="H50" s="50">
        <f>CORREL(Table3[Q2.05 Response],Table3[Q2.10 Response])</f>
        <v>0.61784857835450546</v>
      </c>
      <c r="I50" s="81" t="str" cm="1">
        <f t="array" ref="I50">_xlfn.IFS(H50&lt;-0.8,"Very Weak",H50&lt;0,"Weak",H50=0,"No Correlation",H50&lt;=0.8,"Strong",H50&gt;0.8,"Very Strong")</f>
        <v>Strong</v>
      </c>
      <c r="J50" s="15"/>
      <c r="K50" s="147"/>
      <c r="L50" s="148"/>
      <c r="M50" s="149"/>
      <c r="N50" s="15"/>
      <c r="O50" s="102" t="s">
        <v>310</v>
      </c>
      <c r="P50" s="112">
        <v>0.49895120740247206</v>
      </c>
      <c r="Q50" s="113">
        <v>0.43599933617192488</v>
      </c>
      <c r="R50" s="113">
        <v>0.84009509137101368</v>
      </c>
      <c r="S50" s="113">
        <v>0.96952229381249999</v>
      </c>
      <c r="T50" s="113">
        <v>1</v>
      </c>
      <c r="U50" s="113"/>
      <c r="V50" s="113"/>
      <c r="W50" s="113"/>
      <c r="X50" s="113"/>
      <c r="Y50" s="114"/>
      <c r="Z50" s="112"/>
      <c r="AA50" s="113"/>
      <c r="AB50" s="113"/>
      <c r="AC50" s="113"/>
      <c r="AD50" s="113"/>
      <c r="AE50" s="113"/>
      <c r="AF50" s="113"/>
      <c r="AG50" s="113"/>
      <c r="AH50" s="113"/>
      <c r="AI50" s="114"/>
      <c r="AJ50" s="15"/>
    </row>
    <row r="51" spans="1:36" ht="39.6" customHeight="1">
      <c r="A51" s="119"/>
      <c r="B51" s="85" t="s">
        <v>111</v>
      </c>
      <c r="C51" s="15"/>
      <c r="D51" s="51" t="s">
        <v>296</v>
      </c>
      <c r="E51" s="50">
        <f>CORREL(Table3[Q3.06 Rating],Table3[Q3.07 Rating])</f>
        <v>0.22124103565538372</v>
      </c>
      <c r="F51" s="81" t="str" cm="1">
        <f t="array" ref="F51">_xlfn.IFS(E51&lt;-0.8,"Very Weak",E51&lt;0,"Weak",E51=0,"No Correlation",E51&lt;=0.8,"Strong",E51&gt;0.8,"Very Strong")</f>
        <v>Strong</v>
      </c>
      <c r="G51" s="51" t="s">
        <v>351</v>
      </c>
      <c r="H51" s="50">
        <f>CORREL(Table3[Q2.06 Response],Table3[Q2.07 Response])</f>
        <v>0.31155661491538583</v>
      </c>
      <c r="I51" s="81" t="str" cm="1">
        <f t="array" ref="I51">_xlfn.IFS(H51&lt;-0.8,"Very Weak",H51&lt;0,"Weak",H51=0,"No Correlation",H51&lt;=0.8,"Strong",H51&gt;0.8,"Very Strong")</f>
        <v>Strong</v>
      </c>
      <c r="J51" s="15"/>
      <c r="K51" s="147"/>
      <c r="L51" s="148"/>
      <c r="M51" s="149"/>
      <c r="N51" s="15"/>
      <c r="O51" s="102" t="s">
        <v>311</v>
      </c>
      <c r="P51" s="112">
        <v>0.34627875480642289</v>
      </c>
      <c r="Q51" s="113">
        <v>-4.798139155513724E-2</v>
      </c>
      <c r="R51" s="113">
        <v>0.21632895490723772</v>
      </c>
      <c r="S51" s="113">
        <v>0.46399044046542587</v>
      </c>
      <c r="T51" s="113">
        <v>0.52318816114949496</v>
      </c>
      <c r="U51" s="113">
        <v>1</v>
      </c>
      <c r="V51" s="113"/>
      <c r="W51" s="113"/>
      <c r="X51" s="113"/>
      <c r="Y51" s="114"/>
      <c r="Z51" s="112"/>
      <c r="AA51" s="113"/>
      <c r="AB51" s="113"/>
      <c r="AC51" s="113"/>
      <c r="AD51" s="113"/>
      <c r="AE51" s="113"/>
      <c r="AF51" s="113"/>
      <c r="AG51" s="113"/>
      <c r="AH51" s="113"/>
      <c r="AI51" s="114"/>
      <c r="AJ51" s="15"/>
    </row>
    <row r="52" spans="1:36" ht="13.8">
      <c r="A52" s="119"/>
      <c r="B52" s="86"/>
      <c r="C52" s="15"/>
      <c r="D52" s="51" t="s">
        <v>297</v>
      </c>
      <c r="E52" s="50">
        <f>CORREL(Table3[Q3.06 Rating],Table3[Q3.08 Rating])</f>
        <v>7.6403026480934499E-2</v>
      </c>
      <c r="F52" s="81" t="str" cm="1">
        <f t="array" ref="F52">_xlfn.IFS(E52&lt;-0.8,"Very Weak",E52&lt;0,"Weak",E52=0,"No Correlation",E52&lt;=0.8,"Strong",E52&gt;0.8,"Very Strong")</f>
        <v>Strong</v>
      </c>
      <c r="G52" s="51" t="s">
        <v>352</v>
      </c>
      <c r="H52" s="50">
        <f>CORREL(Table3[Q2.06 Response],Table3[Q2.08 Response])</f>
        <v>3.7839921774857968E-2</v>
      </c>
      <c r="I52" s="81" t="str" cm="1">
        <f t="array" ref="I52">_xlfn.IFS(H52&lt;-0.8,"Very Weak",H52&lt;0,"Weak",H52=0,"No Correlation",H52&lt;=0.8,"Strong",H52&gt;0.8,"Very Strong")</f>
        <v>Strong</v>
      </c>
      <c r="J52" s="15"/>
      <c r="K52" s="147"/>
      <c r="L52" s="148"/>
      <c r="M52" s="149"/>
      <c r="N52" s="15"/>
      <c r="O52" s="102" t="s">
        <v>312</v>
      </c>
      <c r="P52" s="112">
        <v>0.43351811822708181</v>
      </c>
      <c r="Q52" s="113">
        <v>0.54562050484413527</v>
      </c>
      <c r="R52" s="113">
        <v>0.62483712876550779</v>
      </c>
      <c r="S52" s="113">
        <v>0.65429063459019665</v>
      </c>
      <c r="T52" s="113">
        <v>0.61289752935665631</v>
      </c>
      <c r="U52" s="113">
        <v>0.31155661491538583</v>
      </c>
      <c r="V52" s="113">
        <v>1</v>
      </c>
      <c r="W52" s="113"/>
      <c r="X52" s="113"/>
      <c r="Y52" s="114"/>
      <c r="Z52" s="112"/>
      <c r="AA52" s="113"/>
      <c r="AB52" s="113"/>
      <c r="AC52" s="113"/>
      <c r="AD52" s="113"/>
      <c r="AE52" s="113"/>
      <c r="AF52" s="113"/>
      <c r="AG52" s="113"/>
      <c r="AH52" s="113"/>
      <c r="AI52" s="114"/>
      <c r="AJ52" s="15"/>
    </row>
    <row r="53" spans="1:36" ht="13.8">
      <c r="A53" s="119"/>
      <c r="B53" s="87" t="s">
        <v>20</v>
      </c>
      <c r="C53" s="15"/>
      <c r="D53" s="51" t="s">
        <v>298</v>
      </c>
      <c r="E53" s="50">
        <f>CORREL(Table3[Q3.06 Rating],Table3[Q3.09 Rating])</f>
        <v>0.28900745664639338</v>
      </c>
      <c r="F53" s="81" t="str" cm="1">
        <f t="array" ref="F53">_xlfn.IFS(E53&lt;-0.8,"Very Weak",E53&lt;0,"Weak",E53=0,"No Correlation",E53&lt;=0.8,"Strong",E53&gt;0.8,"Very Strong")</f>
        <v>Strong</v>
      </c>
      <c r="G53" s="51" t="s">
        <v>353</v>
      </c>
      <c r="H53" s="50">
        <f>CORREL(Table3[Q2.06 Response],Table3[Q2.09 Response])</f>
        <v>0.23351509846957078</v>
      </c>
      <c r="I53" s="81" t="str" cm="1">
        <f t="array" ref="I53">_xlfn.IFS(H53&lt;-0.8,"Very Weak",H53&lt;0,"Weak",H53=0,"No Correlation",H53&lt;=0.8,"Strong",H53&gt;0.8,"Very Strong")</f>
        <v>Strong</v>
      </c>
      <c r="J53" s="15"/>
      <c r="K53" s="147"/>
      <c r="L53" s="148"/>
      <c r="M53" s="149"/>
      <c r="N53" s="15"/>
      <c r="O53" s="102" t="s">
        <v>313</v>
      </c>
      <c r="P53" s="112">
        <v>0.45812784840671372</v>
      </c>
      <c r="Q53" s="113">
        <v>0.54383106590811714</v>
      </c>
      <c r="R53" s="113">
        <v>0.87893948948732425</v>
      </c>
      <c r="S53" s="113">
        <v>0.80632928630438228</v>
      </c>
      <c r="T53" s="113">
        <v>0.76627340228715068</v>
      </c>
      <c r="U53" s="113">
        <v>3.7839921774857968E-2</v>
      </c>
      <c r="V53" s="113">
        <v>0.72007451809524503</v>
      </c>
      <c r="W53" s="113">
        <v>1</v>
      </c>
      <c r="X53" s="113"/>
      <c r="Y53" s="114"/>
      <c r="Z53" s="112"/>
      <c r="AA53" s="113"/>
      <c r="AB53" s="113"/>
      <c r="AC53" s="113"/>
      <c r="AD53" s="113"/>
      <c r="AE53" s="113"/>
      <c r="AF53" s="113"/>
      <c r="AG53" s="113"/>
      <c r="AH53" s="113"/>
      <c r="AI53" s="114"/>
      <c r="AJ53" s="15"/>
    </row>
    <row r="54" spans="1:36" ht="118.8" customHeight="1">
      <c r="A54" s="119"/>
      <c r="B54" s="85" t="s">
        <v>21</v>
      </c>
      <c r="C54" s="15"/>
      <c r="D54" s="51" t="s">
        <v>299</v>
      </c>
      <c r="E54" s="50">
        <f>CORREL(Table3[Q3.06 Rating],Table3[Q3.10 Rating])</f>
        <v>0.11500351955989609</v>
      </c>
      <c r="F54" s="81" t="str" cm="1">
        <f t="array" ref="F54">_xlfn.IFS(E54&lt;-0.8,"Very Weak",E54&lt;0,"Weak",E54=0,"No Correlation",E54&lt;=0.8,"Strong",E54&gt;0.8,"Very Strong")</f>
        <v>Strong</v>
      </c>
      <c r="G54" s="51" t="s">
        <v>354</v>
      </c>
      <c r="H54" s="50">
        <f>CORREL(Table3[Q2.06 Response],Table3[Q2.10 Response])</f>
        <v>0.41725283135372082</v>
      </c>
      <c r="I54" s="81" t="str" cm="1">
        <f t="array" ref="I54">_xlfn.IFS(H54&lt;-0.8,"Very Weak",H54&lt;0,"Weak",H54=0,"No Correlation",H54&lt;=0.8,"Strong",H54&gt;0.8,"Very Strong")</f>
        <v>Strong</v>
      </c>
      <c r="J54" s="15"/>
      <c r="K54" s="147"/>
      <c r="L54" s="148"/>
      <c r="M54" s="149"/>
      <c r="N54" s="15"/>
      <c r="O54" s="102" t="s">
        <v>314</v>
      </c>
      <c r="P54" s="112">
        <v>0.48122069766293785</v>
      </c>
      <c r="Q54" s="113">
        <v>0.52531361040576963</v>
      </c>
      <c r="R54" s="113">
        <v>0.92831373226731051</v>
      </c>
      <c r="S54" s="113">
        <v>0.92374775003918763</v>
      </c>
      <c r="T54" s="113">
        <v>0.89574829577801851</v>
      </c>
      <c r="U54" s="113">
        <v>0.23351509846957078</v>
      </c>
      <c r="V54" s="113">
        <v>0.66819313528130864</v>
      </c>
      <c r="W54" s="113">
        <v>0.93892762590161405</v>
      </c>
      <c r="X54" s="113">
        <v>1</v>
      </c>
      <c r="Y54" s="114"/>
      <c r="Z54" s="112"/>
      <c r="AA54" s="113"/>
      <c r="AB54" s="113"/>
      <c r="AC54" s="113"/>
      <c r="AD54" s="113"/>
      <c r="AE54" s="113"/>
      <c r="AF54" s="113"/>
      <c r="AG54" s="113"/>
      <c r="AH54" s="113"/>
      <c r="AI54" s="114"/>
      <c r="AJ54" s="15"/>
    </row>
    <row r="55" spans="1:36" ht="39.6" customHeight="1" thickBot="1">
      <c r="A55" s="119"/>
      <c r="B55" s="85" t="s">
        <v>22</v>
      </c>
      <c r="C55" s="15"/>
      <c r="D55" s="51" t="s">
        <v>300</v>
      </c>
      <c r="E55" s="50">
        <f>CORREL(Table3[Q3.07 Rating],Table3[Q3.08 Rating])</f>
        <v>0.31426514247040677</v>
      </c>
      <c r="F55" s="81" t="str" cm="1">
        <f t="array" ref="F55">_xlfn.IFS(E55&lt;-0.8,"Very Weak",E55&lt;0,"Weak",E55=0,"No Correlation",E55&lt;=0.8,"Strong",E55&gt;0.8,"Very Strong")</f>
        <v>Strong</v>
      </c>
      <c r="G55" s="51" t="s">
        <v>355</v>
      </c>
      <c r="H55" s="50">
        <f>CORREL(Table3[Q2.07 Response],Table3[Q2.08 Response])</f>
        <v>0.72007451809524503</v>
      </c>
      <c r="I55" s="81" t="str" cm="1">
        <f t="array" ref="I55">_xlfn.IFS(H55&lt;-0.8,"Very Weak",H55&lt;0,"Weak",H55=0,"No Correlation",H55&lt;=0.8,"Strong",H55&gt;0.8,"Very Strong")</f>
        <v>Strong</v>
      </c>
      <c r="J55" s="15"/>
      <c r="K55" s="147"/>
      <c r="L55" s="148"/>
      <c r="M55" s="149"/>
      <c r="N55" s="15"/>
      <c r="O55" s="103" t="s">
        <v>315</v>
      </c>
      <c r="P55" s="115">
        <v>0.55691342904219943</v>
      </c>
      <c r="Q55" s="116">
        <v>0.32302376345876765</v>
      </c>
      <c r="R55" s="116">
        <v>0.64004606506492101</v>
      </c>
      <c r="S55" s="116">
        <v>0.63985881795567279</v>
      </c>
      <c r="T55" s="116">
        <v>0.61784857835450546</v>
      </c>
      <c r="U55" s="116">
        <v>0.41725283135372082</v>
      </c>
      <c r="V55" s="116">
        <v>0.58330119421053683</v>
      </c>
      <c r="W55" s="116">
        <v>0.62980418206586231</v>
      </c>
      <c r="X55" s="116">
        <v>0.64714336639894909</v>
      </c>
      <c r="Y55" s="117">
        <v>1</v>
      </c>
      <c r="Z55" s="115"/>
      <c r="AA55" s="116"/>
      <c r="AB55" s="116"/>
      <c r="AC55" s="116"/>
      <c r="AD55" s="116"/>
      <c r="AE55" s="116"/>
      <c r="AF55" s="116"/>
      <c r="AG55" s="116"/>
      <c r="AH55" s="116"/>
      <c r="AI55" s="117"/>
      <c r="AJ55" s="15"/>
    </row>
    <row r="56" spans="1:36" ht="13.2" customHeight="1">
      <c r="A56" s="119"/>
      <c r="B56" s="85" t="s">
        <v>112</v>
      </c>
      <c r="C56" s="15"/>
      <c r="D56" s="51" t="s">
        <v>301</v>
      </c>
      <c r="E56" s="50">
        <f>CORREL(Table3[Q3.07 Rating],Table3[Q3.09 Rating])</f>
        <v>0.1158184236187131</v>
      </c>
      <c r="F56" s="81" t="str" cm="1">
        <f t="array" ref="F56">_xlfn.IFS(E56&lt;-0.8,"Very Weak",E56&lt;0,"Weak",E56=0,"No Correlation",E56&lt;=0.8,"Strong",E56&gt;0.8,"Very Strong")</f>
        <v>Strong</v>
      </c>
      <c r="G56" s="51" t="s">
        <v>356</v>
      </c>
      <c r="H56" s="50">
        <f>CORREL(Table3[Q2.07 Response],Table3[Q2.09 Response])</f>
        <v>0.66819313528130864</v>
      </c>
      <c r="I56" s="81" t="str" cm="1">
        <f t="array" ref="I56">_xlfn.IFS(H56&lt;-0.8,"Very Weak",H56&lt;0,"Weak",H56=0,"No Correlation",H56&lt;=0.8,"Strong",H56&gt;0.8,"Very Strong")</f>
        <v>Strong</v>
      </c>
      <c r="J56" s="15"/>
      <c r="K56" s="147"/>
      <c r="L56" s="148"/>
      <c r="M56" s="149"/>
      <c r="N56" s="15"/>
      <c r="O56" s="102" t="s">
        <v>198</v>
      </c>
      <c r="P56" s="112">
        <v>0.34537192980406328</v>
      </c>
      <c r="Q56" s="113">
        <v>-5.8483736342177267E-2</v>
      </c>
      <c r="R56" s="113">
        <v>-5.1499429770833577E-2</v>
      </c>
      <c r="S56" s="113">
        <v>8.366707650460771E-2</v>
      </c>
      <c r="T56" s="113">
        <v>0.14193914788510167</v>
      </c>
      <c r="U56" s="113">
        <v>0.13533227319740534</v>
      </c>
      <c r="V56" s="113">
        <v>-3.2021300307177515E-2</v>
      </c>
      <c r="W56" s="113">
        <v>5.5019145159438378E-2</v>
      </c>
      <c r="X56" s="113">
        <v>5.2086877593410116E-2</v>
      </c>
      <c r="Y56" s="113">
        <v>0.10195937509721338</v>
      </c>
      <c r="Z56" s="109">
        <v>1</v>
      </c>
      <c r="AA56" s="110"/>
      <c r="AB56" s="110"/>
      <c r="AC56" s="110"/>
      <c r="AD56" s="110"/>
      <c r="AE56" s="110"/>
      <c r="AF56" s="110"/>
      <c r="AG56" s="110"/>
      <c r="AH56" s="110"/>
      <c r="AI56" s="111"/>
      <c r="AJ56" s="15"/>
    </row>
    <row r="57" spans="1:36" ht="13.2" customHeight="1">
      <c r="A57" s="119"/>
      <c r="B57" s="85" t="s">
        <v>113</v>
      </c>
      <c r="C57" s="15"/>
      <c r="D57" s="51" t="s">
        <v>302</v>
      </c>
      <c r="E57" s="50">
        <f>CORREL(Table3[Q3.07 Rating],Table3[Q3.10 Rating])</f>
        <v>0.33596928421238681</v>
      </c>
      <c r="F57" s="81" t="str" cm="1">
        <f t="array" ref="F57">_xlfn.IFS(E57&lt;-0.8,"Very Weak",E57&lt;0,"Weak",E57=0,"No Correlation",E57&lt;=0.8,"Strong",E57&gt;0.8,"Very Strong")</f>
        <v>Strong</v>
      </c>
      <c r="G57" s="51" t="s">
        <v>357</v>
      </c>
      <c r="H57" s="50">
        <f>CORREL(Table3[Q2.07 Response],Table3[Q2.10 Response])</f>
        <v>0.58330119421053683</v>
      </c>
      <c r="I57" s="81" t="str" cm="1">
        <f t="array" ref="I57">_xlfn.IFS(H57&lt;-0.8,"Very Weak",H57&lt;0,"Weak",H57=0,"No Correlation",H57&lt;=0.8,"Strong",H57&gt;0.8,"Very Strong")</f>
        <v>Strong</v>
      </c>
      <c r="J57" s="15"/>
      <c r="K57" s="147"/>
      <c r="L57" s="148"/>
      <c r="M57" s="149"/>
      <c r="N57" s="15"/>
      <c r="O57" s="102" t="s">
        <v>197</v>
      </c>
      <c r="P57" s="112">
        <v>-0.16152854144632353</v>
      </c>
      <c r="Q57" s="113">
        <v>6.1559536912250872E-3</v>
      </c>
      <c r="R57" s="113">
        <v>9.1204984228421049E-2</v>
      </c>
      <c r="S57" s="113">
        <v>8.4083761914808361E-2</v>
      </c>
      <c r="T57" s="113">
        <v>8.5807184712170317E-2</v>
      </c>
      <c r="U57" s="113">
        <v>6.2404037807383683E-2</v>
      </c>
      <c r="V57" s="113">
        <v>-0.20558116281058783</v>
      </c>
      <c r="W57" s="113">
        <v>-2.0778263178343099E-2</v>
      </c>
      <c r="X57" s="113">
        <v>6.5802212741578006E-2</v>
      </c>
      <c r="Y57" s="113">
        <v>7.9241535376677358E-2</v>
      </c>
      <c r="Z57" s="112">
        <v>8.5462281906977966E-2</v>
      </c>
      <c r="AA57" s="113">
        <v>1</v>
      </c>
      <c r="AB57" s="113"/>
      <c r="AC57" s="113"/>
      <c r="AD57" s="113"/>
      <c r="AE57" s="113"/>
      <c r="AF57" s="113"/>
      <c r="AG57" s="113"/>
      <c r="AH57" s="113"/>
      <c r="AI57" s="114"/>
      <c r="AJ57" s="15"/>
    </row>
    <row r="58" spans="1:36" ht="13.8">
      <c r="A58" s="119"/>
      <c r="B58" s="88"/>
      <c r="C58" s="15"/>
      <c r="D58" s="51" t="s">
        <v>303</v>
      </c>
      <c r="E58" s="50">
        <f>CORREL(Table3[Q3.08 Rating],Table3[Q3.09 Rating])</f>
        <v>0.14221128637809416</v>
      </c>
      <c r="F58" s="81" t="str" cm="1">
        <f t="array" ref="F58">_xlfn.IFS(E58&lt;-0.8,"Very Weak",E58&lt;0,"Weak",E58=0,"No Correlation",E58&lt;=0.8,"Strong",E58&gt;0.8,"Very Strong")</f>
        <v>Strong</v>
      </c>
      <c r="G58" s="51" t="s">
        <v>358</v>
      </c>
      <c r="H58" s="50">
        <f>CORREL(Table3[Q2.08 Response],Table3[Q2.09 Response])</f>
        <v>0.93892762590161405</v>
      </c>
      <c r="I58" s="81" t="str" cm="1">
        <f t="array" ref="I58">_xlfn.IFS(H58&lt;-0.8,"Very Weak",H58&lt;0,"Weak",H58=0,"No Correlation",H58&lt;=0.8,"Strong",H58&gt;0.8,"Very Strong")</f>
        <v>Very Strong</v>
      </c>
      <c r="J58" s="15"/>
      <c r="K58" s="147"/>
      <c r="L58" s="148"/>
      <c r="M58" s="149"/>
      <c r="N58" s="15"/>
      <c r="O58" s="102" t="s">
        <v>200</v>
      </c>
      <c r="P58" s="112">
        <v>0.26946731054648337</v>
      </c>
      <c r="Q58" s="113">
        <v>-5.0886585611611404E-4</v>
      </c>
      <c r="R58" s="113">
        <v>7.2828885903394452E-2</v>
      </c>
      <c r="S58" s="113">
        <v>5.8455600214643594E-3</v>
      </c>
      <c r="T58" s="113">
        <v>3.5442582277473343E-2</v>
      </c>
      <c r="U58" s="113">
        <v>0.17990153749882315</v>
      </c>
      <c r="V58" s="113">
        <v>6.4919259435841032E-3</v>
      </c>
      <c r="W58" s="113">
        <v>0.12227659850900782</v>
      </c>
      <c r="X58" s="113">
        <v>6.8016314500295758E-2</v>
      </c>
      <c r="Y58" s="113">
        <v>0.2493514323826681</v>
      </c>
      <c r="Z58" s="112">
        <v>0.19749739314216042</v>
      </c>
      <c r="AA58" s="113">
        <v>0.18614773388793593</v>
      </c>
      <c r="AB58" s="113">
        <v>1</v>
      </c>
      <c r="AC58" s="113"/>
      <c r="AD58" s="113"/>
      <c r="AE58" s="113"/>
      <c r="AF58" s="113"/>
      <c r="AG58" s="113"/>
      <c r="AH58" s="113"/>
      <c r="AI58" s="114"/>
      <c r="AJ58" s="15"/>
    </row>
    <row r="59" spans="1:36" ht="39" customHeight="1">
      <c r="A59" s="119"/>
      <c r="B59" s="153" t="s">
        <v>14</v>
      </c>
      <c r="C59" s="15"/>
      <c r="D59" s="51" t="s">
        <v>304</v>
      </c>
      <c r="E59" s="50">
        <f>CORREL(Table3[Q3.08 Rating],Table3[Q3.10 Rating])</f>
        <v>0.38351099659730387</v>
      </c>
      <c r="F59" s="81" t="str" cm="1">
        <f t="array" ref="F59">_xlfn.IFS(E59&lt;-0.8,"Very Weak",E59&lt;0,"Weak",E59=0,"No Correlation",E59&lt;=0.8,"Strong",E59&gt;0.8,"Very Strong")</f>
        <v>Strong</v>
      </c>
      <c r="G59" s="51" t="s">
        <v>359</v>
      </c>
      <c r="H59" s="50">
        <f>CORREL(Table3[Q2.08 Response],Table3[Q2.10 Response])</f>
        <v>0.62980418206586231</v>
      </c>
      <c r="I59" s="81" t="str" cm="1">
        <f t="array" ref="I59">_xlfn.IFS(H59&lt;-0.8,"Very Weak",H59&lt;0,"Weak",H59=0,"No Correlation",H59&lt;=0.8,"Strong",H59&gt;0.8,"Very Strong")</f>
        <v>Strong</v>
      </c>
      <c r="J59" s="15"/>
      <c r="K59" s="147"/>
      <c r="L59" s="148"/>
      <c r="M59" s="149"/>
      <c r="N59" s="15"/>
      <c r="O59" s="102" t="s">
        <v>202</v>
      </c>
      <c r="P59" s="112">
        <v>6.8609863743409785E-2</v>
      </c>
      <c r="Q59" s="113">
        <v>1.2588497466180166E-2</v>
      </c>
      <c r="R59" s="113">
        <v>0.16559346908935416</v>
      </c>
      <c r="S59" s="113">
        <v>0.22137744750509236</v>
      </c>
      <c r="T59" s="113">
        <v>0.24854337110077485</v>
      </c>
      <c r="U59" s="113">
        <v>0.26325866521233898</v>
      </c>
      <c r="V59" s="113">
        <v>-2.1243317826688396E-2</v>
      </c>
      <c r="W59" s="113">
        <v>9.5109704994629576E-2</v>
      </c>
      <c r="X59" s="113">
        <v>0.15234663946880977</v>
      </c>
      <c r="Y59" s="113">
        <v>0.19157376968048109</v>
      </c>
      <c r="Z59" s="112">
        <v>0.19964408496485653</v>
      </c>
      <c r="AA59" s="113">
        <v>0.60854848032238984</v>
      </c>
      <c r="AB59" s="113">
        <v>0.50892205124355661</v>
      </c>
      <c r="AC59" s="113">
        <v>1</v>
      </c>
      <c r="AD59" s="113"/>
      <c r="AE59" s="113"/>
      <c r="AF59" s="113"/>
      <c r="AG59" s="113"/>
      <c r="AH59" s="113"/>
      <c r="AI59" s="114"/>
      <c r="AJ59" s="15"/>
    </row>
    <row r="60" spans="1:36" ht="13.8">
      <c r="A60" s="120"/>
      <c r="B60" s="154"/>
      <c r="C60" s="15"/>
      <c r="D60" s="54" t="s">
        <v>305</v>
      </c>
      <c r="E60" s="91">
        <f>CORREL(Table3[Q3.09 Rating],Table3[Q3.10 Rating])</f>
        <v>0.41264685390647121</v>
      </c>
      <c r="F60" s="82" t="str" cm="1">
        <f t="array" ref="F60">_xlfn.IFS(E60&lt;-0.8,"Very Weak",E60&lt;0,"Weak",E60=0,"No Correlation",E60&lt;=0.8,"Strong",E60&gt;0.8,"Very Strong")</f>
        <v>Strong</v>
      </c>
      <c r="G60" s="51" t="s">
        <v>360</v>
      </c>
      <c r="H60" s="91">
        <f>CORREL(Table3[Q2.09 Response],Table3[Q2.10 Response])</f>
        <v>0.64714336639894909</v>
      </c>
      <c r="I60" s="81" t="str" cm="1">
        <f t="array" ref="I60">_xlfn.IFS(H60&lt;-0.8,"Very Weak",H60&lt;0,"Weak",H60=0,"No Correlation",H60&lt;=0.8,"Strong",H60&gt;0.8,"Very Strong")</f>
        <v>Strong</v>
      </c>
      <c r="J60" s="15"/>
      <c r="K60" s="150"/>
      <c r="L60" s="151"/>
      <c r="M60" s="152"/>
      <c r="N60" s="15"/>
      <c r="O60" s="102" t="s">
        <v>204</v>
      </c>
      <c r="P60" s="112">
        <v>0.13584063667190535</v>
      </c>
      <c r="Q60" s="113">
        <v>0.10259492391459894</v>
      </c>
      <c r="R60" s="113">
        <v>-1.2155523720370736E-3</v>
      </c>
      <c r="S60" s="113">
        <v>-1.1492029539518446E-2</v>
      </c>
      <c r="T60" s="113">
        <v>-5.3180691583508324E-3</v>
      </c>
      <c r="U60" s="113">
        <v>0.10065575555991045</v>
      </c>
      <c r="V60" s="113">
        <v>0.15606455558479937</v>
      </c>
      <c r="W60" s="113">
        <v>3.6547123519999898E-2</v>
      </c>
      <c r="X60" s="113">
        <v>-1.7497911990791117E-2</v>
      </c>
      <c r="Y60" s="113">
        <v>0.15949609542246906</v>
      </c>
      <c r="Z60" s="112">
        <v>-1.573264989428446E-2</v>
      </c>
      <c r="AA60" s="113">
        <v>6.1564487533085917E-2</v>
      </c>
      <c r="AB60" s="113">
        <v>0.56870332568003679</v>
      </c>
      <c r="AC60" s="113">
        <v>0.48434641999229405</v>
      </c>
      <c r="AD60" s="113">
        <v>1</v>
      </c>
      <c r="AE60" s="113"/>
      <c r="AF60" s="113"/>
      <c r="AG60" s="113"/>
      <c r="AH60" s="113"/>
      <c r="AI60" s="114"/>
      <c r="AJ60" s="15"/>
    </row>
    <row r="61" spans="1:36" ht="13.8">
      <c r="A61" s="89"/>
      <c r="B61" s="16"/>
      <c r="C61" s="15"/>
      <c r="D61" s="15"/>
      <c r="E61" s="15"/>
      <c r="F61" s="15"/>
      <c r="G61" s="15"/>
      <c r="H61" s="15"/>
      <c r="I61" s="15"/>
      <c r="J61" s="15"/>
      <c r="K61" s="15"/>
      <c r="L61" s="15"/>
      <c r="M61" s="15"/>
      <c r="N61" s="15"/>
      <c r="O61" s="102" t="s">
        <v>206</v>
      </c>
      <c r="P61" s="112">
        <v>0.23663940923443338</v>
      </c>
      <c r="Q61" s="113">
        <v>-4.3983503239145141E-2</v>
      </c>
      <c r="R61" s="113">
        <v>4.5475002872538306E-2</v>
      </c>
      <c r="S61" s="113">
        <v>8.9551334347198128E-2</v>
      </c>
      <c r="T61" s="113">
        <v>0.1231144520835841</v>
      </c>
      <c r="U61" s="113">
        <v>0.27723136354799777</v>
      </c>
      <c r="V61" s="113">
        <v>0.13752029948555539</v>
      </c>
      <c r="W61" s="113">
        <v>0.1776144868219485</v>
      </c>
      <c r="X61" s="113">
        <v>0.12633191069797217</v>
      </c>
      <c r="Y61" s="113">
        <v>0.11119749671740947</v>
      </c>
      <c r="Z61" s="112">
        <v>0.23223803471091906</v>
      </c>
      <c r="AA61" s="113">
        <v>-9.6473910749517625E-2</v>
      </c>
      <c r="AB61" s="113">
        <v>0.51563146495918266</v>
      </c>
      <c r="AC61" s="113">
        <v>0.26785033392435509</v>
      </c>
      <c r="AD61" s="113">
        <v>0.46186392414257632</v>
      </c>
      <c r="AE61" s="113">
        <v>1</v>
      </c>
      <c r="AF61" s="113"/>
      <c r="AG61" s="113"/>
      <c r="AH61" s="113"/>
      <c r="AI61" s="114"/>
      <c r="AJ61" s="15"/>
    </row>
    <row r="62" spans="1:36" ht="13.8">
      <c r="N62" s="15"/>
      <c r="O62" s="102" t="s">
        <v>208</v>
      </c>
      <c r="P62" s="112">
        <v>-0.12778823215420854</v>
      </c>
      <c r="Q62" s="113">
        <v>2.9194926886687889E-2</v>
      </c>
      <c r="R62" s="113">
        <v>-9.1300125631920762E-2</v>
      </c>
      <c r="S62" s="113">
        <v>-0.12009121797402311</v>
      </c>
      <c r="T62" s="113">
        <v>-0.10389820893737814</v>
      </c>
      <c r="U62" s="113">
        <v>-1.2454745889981748E-2</v>
      </c>
      <c r="V62" s="113">
        <v>0.15111164642941385</v>
      </c>
      <c r="W62" s="113">
        <v>3.6407929452262934E-2</v>
      </c>
      <c r="X62" s="113">
        <v>-5.0092800231572004E-2</v>
      </c>
      <c r="Y62" s="113">
        <v>-8.5823402380193009E-2</v>
      </c>
      <c r="Z62" s="112">
        <v>0.22874641697338272</v>
      </c>
      <c r="AA62" s="113">
        <v>0.11585547554763814</v>
      </c>
      <c r="AB62" s="113">
        <v>0.15997760626959168</v>
      </c>
      <c r="AC62" s="113">
        <v>0.36937419868799698</v>
      </c>
      <c r="AD62" s="113">
        <v>0.29197274744072477</v>
      </c>
      <c r="AE62" s="113">
        <v>0.22124103565538372</v>
      </c>
      <c r="AF62" s="113">
        <v>1</v>
      </c>
      <c r="AG62" s="113"/>
      <c r="AH62" s="113"/>
      <c r="AI62" s="114"/>
      <c r="AJ62" s="15"/>
    </row>
    <row r="63" spans="1:36" ht="13.8">
      <c r="N63" s="15"/>
      <c r="O63" s="102" t="s">
        <v>210</v>
      </c>
      <c r="P63" s="112">
        <v>0.16512096774193538</v>
      </c>
      <c r="Q63" s="113">
        <v>6.9448711178556125E-2</v>
      </c>
      <c r="R63" s="113">
        <v>-0.12632140682252294</v>
      </c>
      <c r="S63" s="113">
        <v>-4.2339560451954819E-2</v>
      </c>
      <c r="T63" s="113">
        <v>5.1390504346540591E-2</v>
      </c>
      <c r="U63" s="113">
        <v>0.15792755290759736</v>
      </c>
      <c r="V63" s="113">
        <v>-0.11740374516723572</v>
      </c>
      <c r="W63" s="113">
        <v>-7.8944107002681757E-2</v>
      </c>
      <c r="X63" s="113">
        <v>-4.0146930619567129E-3</v>
      </c>
      <c r="Y63" s="113">
        <v>0.1542904039857205</v>
      </c>
      <c r="Z63" s="112">
        <v>0.41793825486650149</v>
      </c>
      <c r="AA63" s="113">
        <v>0.18120286608831104</v>
      </c>
      <c r="AB63" s="113">
        <v>0.18054997448118754</v>
      </c>
      <c r="AC63" s="113">
        <v>0.22293763118885176</v>
      </c>
      <c r="AD63" s="113">
        <v>7.8840011956229597E-2</v>
      </c>
      <c r="AE63" s="113">
        <v>7.6403026480934499E-2</v>
      </c>
      <c r="AF63" s="113">
        <v>0.31426514247040677</v>
      </c>
      <c r="AG63" s="113">
        <v>1</v>
      </c>
      <c r="AH63" s="113"/>
      <c r="AI63" s="114"/>
      <c r="AJ63" s="15"/>
    </row>
    <row r="64" spans="1:36" ht="13.8">
      <c r="N64" s="15"/>
      <c r="O64" s="102" t="s">
        <v>212</v>
      </c>
      <c r="P64" s="112">
        <v>0.14898362695174125</v>
      </c>
      <c r="Q64" s="113">
        <v>9.0803265461821231E-4</v>
      </c>
      <c r="R64" s="113">
        <v>0.11952625908365544</v>
      </c>
      <c r="S64" s="113">
        <v>0.11268597683186901</v>
      </c>
      <c r="T64" s="113">
        <v>0.10423387664606991</v>
      </c>
      <c r="U64" s="113">
        <v>-0.10401530754624644</v>
      </c>
      <c r="V64" s="113">
        <v>0.11054780779165177</v>
      </c>
      <c r="W64" s="113">
        <v>0.2604138039428967</v>
      </c>
      <c r="X64" s="113">
        <v>0.21547202221660314</v>
      </c>
      <c r="Y64" s="113">
        <v>0.25984067542075168</v>
      </c>
      <c r="Z64" s="112">
        <v>-1.323640071584024E-2</v>
      </c>
      <c r="AA64" s="113">
        <v>0.11104976711760274</v>
      </c>
      <c r="AB64" s="113">
        <v>0.38383890253407366</v>
      </c>
      <c r="AC64" s="113">
        <v>0.46969698044387614</v>
      </c>
      <c r="AD64" s="113">
        <v>0.62574156919252644</v>
      </c>
      <c r="AE64" s="113">
        <v>0.28900745664639338</v>
      </c>
      <c r="AF64" s="113">
        <v>0.1158184236187131</v>
      </c>
      <c r="AG64" s="113">
        <v>0.14221128637809416</v>
      </c>
      <c r="AH64" s="113">
        <v>1</v>
      </c>
      <c r="AI64" s="114"/>
      <c r="AJ64" s="15"/>
    </row>
    <row r="65" spans="14:36" ht="14.4" thickBot="1">
      <c r="N65" s="15"/>
      <c r="O65" s="103" t="s">
        <v>169</v>
      </c>
      <c r="P65" s="115">
        <v>8.7116506554647498E-3</v>
      </c>
      <c r="Q65" s="116">
        <v>4.0790759138790718E-2</v>
      </c>
      <c r="R65" s="116">
        <v>-6.5768407700179679E-2</v>
      </c>
      <c r="S65" s="116">
        <v>-9.7486088913208396E-2</v>
      </c>
      <c r="T65" s="116">
        <v>-6.6236047984975135E-2</v>
      </c>
      <c r="U65" s="116">
        <v>-0.18631836636761995</v>
      </c>
      <c r="V65" s="116">
        <v>1.7911629564972976E-2</v>
      </c>
      <c r="W65" s="116">
        <v>7.3532655711772754E-2</v>
      </c>
      <c r="X65" s="116">
        <v>2.3639500336013055E-2</v>
      </c>
      <c r="Y65" s="116">
        <v>0.20330783870866045</v>
      </c>
      <c r="Z65" s="115">
        <v>0.15386767520013778</v>
      </c>
      <c r="AA65" s="116">
        <v>0.17245662462745615</v>
      </c>
      <c r="AB65" s="116">
        <v>-4.7504696373253351E-2</v>
      </c>
      <c r="AC65" s="116">
        <v>0.19873889194990524</v>
      </c>
      <c r="AD65" s="116">
        <v>0.15118843599055767</v>
      </c>
      <c r="AE65" s="116">
        <v>0.11500351955989609</v>
      </c>
      <c r="AF65" s="116">
        <v>0.33596928421238681</v>
      </c>
      <c r="AG65" s="116">
        <v>0.38351099659730387</v>
      </c>
      <c r="AH65" s="116">
        <v>0.41264685390647121</v>
      </c>
      <c r="AI65" s="117">
        <v>1</v>
      </c>
      <c r="AJ65" s="15"/>
    </row>
    <row r="66" spans="14:36">
      <c r="N66" s="15"/>
      <c r="O66" s="15"/>
      <c r="P66" s="15"/>
      <c r="Q66" s="15"/>
      <c r="R66" s="15"/>
      <c r="S66" s="15"/>
      <c r="T66" s="15"/>
      <c r="U66" s="15"/>
      <c r="V66" s="15"/>
      <c r="W66" s="15"/>
      <c r="X66" s="15"/>
      <c r="Y66" s="15"/>
      <c r="Z66" s="15"/>
      <c r="AA66" s="15"/>
      <c r="AB66" s="15"/>
      <c r="AC66" s="15"/>
      <c r="AD66" s="15"/>
      <c r="AE66" s="15"/>
      <c r="AF66" s="15"/>
      <c r="AG66" s="15"/>
      <c r="AH66" s="15"/>
      <c r="AI66" s="15"/>
      <c r="AJ66" s="15"/>
    </row>
    <row r="67" spans="14:36">
      <c r="Z67" s="28"/>
    </row>
    <row r="68" spans="14:36">
      <c r="Z68" s="28"/>
    </row>
    <row r="69" spans="14:36">
      <c r="Z69" s="28"/>
    </row>
    <row r="70" spans="14:36">
      <c r="Z70" s="28"/>
    </row>
    <row r="71" spans="14:36">
      <c r="Z71" s="28"/>
    </row>
    <row r="72" spans="14:36">
      <c r="Z72" s="28"/>
    </row>
    <row r="73" spans="14:36">
      <c r="Z73" s="28"/>
    </row>
    <row r="74" spans="14:36">
      <c r="Z74" s="28"/>
    </row>
    <row r="75" spans="14:36">
      <c r="Z75" s="28"/>
    </row>
  </sheetData>
  <mergeCells count="18">
    <mergeCell ref="A15:A60"/>
    <mergeCell ref="A3:A12"/>
    <mergeCell ref="D8:E8"/>
    <mergeCell ref="G8:H8"/>
    <mergeCell ref="D9:E9"/>
    <mergeCell ref="G9:H9"/>
    <mergeCell ref="D10:E10"/>
    <mergeCell ref="B59:B60"/>
    <mergeCell ref="K27:M60"/>
    <mergeCell ref="K13:L13"/>
    <mergeCell ref="G10:H10"/>
    <mergeCell ref="D11:E11"/>
    <mergeCell ref="G11:H11"/>
    <mergeCell ref="D12:E12"/>
    <mergeCell ref="G12:H12"/>
    <mergeCell ref="K12:L12"/>
    <mergeCell ref="D13:E13"/>
    <mergeCell ref="G13:H13"/>
  </mergeCells>
  <phoneticPr fontId="9" type="noConversion"/>
  <conditionalFormatting sqref="AN2:AN4">
    <cfRule type="dataBar" priority="25">
      <dataBar>
        <cfvo type="min"/>
        <cfvo type="max"/>
        <color rgb="FFFFB628"/>
      </dataBar>
      <extLst>
        <ext xmlns:x14="http://schemas.microsoft.com/office/spreadsheetml/2009/9/main" uri="{B025F937-C7B1-47D3-B67F-A62EFF666E3E}">
          <x14:id>{1CB7266F-C230-4D96-80DB-E55AC8A6A054}</x14:id>
        </ext>
      </extLst>
    </cfRule>
  </conditionalFormatting>
  <conditionalFormatting sqref="AN5:AN9">
    <cfRule type="dataBar" priority="24">
      <dataBar>
        <cfvo type="min"/>
        <cfvo type="max"/>
        <color rgb="FF638EC6"/>
      </dataBar>
      <extLst>
        <ext xmlns:x14="http://schemas.microsoft.com/office/spreadsheetml/2009/9/main" uri="{B025F937-C7B1-47D3-B67F-A62EFF666E3E}">
          <x14:id>{0749B302-7D42-4EE3-BC8C-F36E84DAFD52}</x14:id>
        </ext>
      </extLst>
    </cfRule>
  </conditionalFormatting>
  <conditionalFormatting sqref="AN10:AN19">
    <cfRule type="dataBar" priority="23">
      <dataBar>
        <cfvo type="min"/>
        <cfvo type="max"/>
        <color rgb="FFFF555A"/>
      </dataBar>
      <extLst>
        <ext xmlns:x14="http://schemas.microsoft.com/office/spreadsheetml/2009/9/main" uri="{B025F937-C7B1-47D3-B67F-A62EFF666E3E}">
          <x14:id>{B88A103F-BF9D-4A14-86F5-63460F29F2A6}</x14:id>
        </ext>
      </extLst>
    </cfRule>
  </conditionalFormatting>
  <conditionalFormatting sqref="AN20:AN24">
    <cfRule type="dataBar" priority="22">
      <dataBar>
        <cfvo type="min"/>
        <cfvo type="max"/>
        <color rgb="FF63C384"/>
      </dataBar>
      <extLst>
        <ext xmlns:x14="http://schemas.microsoft.com/office/spreadsheetml/2009/9/main" uri="{B025F937-C7B1-47D3-B67F-A62EFF666E3E}">
          <x14:id>{71AFA24A-33F3-4D22-8B25-5983CBF2E12B}</x14:id>
        </ext>
      </extLst>
    </cfRule>
  </conditionalFormatting>
  <conditionalFormatting sqref="AT2:AU11">
    <cfRule type="dataBar" priority="21">
      <dataBar>
        <cfvo type="min"/>
        <cfvo type="max"/>
        <color rgb="FF63C384"/>
      </dataBar>
      <extLst>
        <ext xmlns:x14="http://schemas.microsoft.com/office/spreadsheetml/2009/9/main" uri="{B025F937-C7B1-47D3-B67F-A62EFF666E3E}">
          <x14:id>{9577C81C-0F28-4143-9CD1-2B1B1EC4633E}</x14:id>
        </ext>
      </extLst>
    </cfRule>
  </conditionalFormatting>
  <conditionalFormatting sqref="AY2:AY6">
    <cfRule type="dataBar" priority="19">
      <dataBar>
        <cfvo type="min"/>
        <cfvo type="max"/>
        <color rgb="FFFFB628"/>
      </dataBar>
      <extLst>
        <ext xmlns:x14="http://schemas.microsoft.com/office/spreadsheetml/2009/9/main" uri="{B025F937-C7B1-47D3-B67F-A62EFF666E3E}">
          <x14:id>{3063973B-823A-4E4C-B132-CA6F55346780}</x14:id>
        </ext>
      </extLst>
    </cfRule>
  </conditionalFormatting>
  <conditionalFormatting sqref="BA2:BA6">
    <cfRule type="dataBar" priority="18">
      <dataBar>
        <cfvo type="min"/>
        <cfvo type="max"/>
        <color rgb="FFFFB628"/>
      </dataBar>
      <extLst>
        <ext xmlns:x14="http://schemas.microsoft.com/office/spreadsheetml/2009/9/main" uri="{B025F937-C7B1-47D3-B67F-A62EFF666E3E}">
          <x14:id>{BF070790-3E94-4534-BD40-63D46B64AF49}</x14:id>
        </ext>
      </extLst>
    </cfRule>
  </conditionalFormatting>
  <conditionalFormatting sqref="BC2:BC6">
    <cfRule type="dataBar" priority="17">
      <dataBar>
        <cfvo type="min"/>
        <cfvo type="max"/>
        <color rgb="FFFFB628"/>
      </dataBar>
      <extLst>
        <ext xmlns:x14="http://schemas.microsoft.com/office/spreadsheetml/2009/9/main" uri="{B025F937-C7B1-47D3-B67F-A62EFF666E3E}">
          <x14:id>{64F6F0DD-6480-4355-9F0B-62C96C8355A2}</x14:id>
        </ext>
      </extLst>
    </cfRule>
  </conditionalFormatting>
  <conditionalFormatting sqref="BE2:BE6">
    <cfRule type="dataBar" priority="16">
      <dataBar>
        <cfvo type="min"/>
        <cfvo type="max"/>
        <color rgb="FFFFB628"/>
      </dataBar>
      <extLst>
        <ext xmlns:x14="http://schemas.microsoft.com/office/spreadsheetml/2009/9/main" uri="{B025F937-C7B1-47D3-B67F-A62EFF666E3E}">
          <x14:id>{9AF97E9E-ECD0-4B9B-BA5D-055BE7B904F0}</x14:id>
        </ext>
      </extLst>
    </cfRule>
  </conditionalFormatting>
  <conditionalFormatting sqref="BG2:BG6">
    <cfRule type="dataBar" priority="15">
      <dataBar>
        <cfvo type="min"/>
        <cfvo type="max"/>
        <color rgb="FFFFB628"/>
      </dataBar>
      <extLst>
        <ext xmlns:x14="http://schemas.microsoft.com/office/spreadsheetml/2009/9/main" uri="{B025F937-C7B1-47D3-B67F-A62EFF666E3E}">
          <x14:id>{F6A811DC-57C4-487E-9824-9F45CDE14942}</x14:id>
        </ext>
      </extLst>
    </cfRule>
  </conditionalFormatting>
  <conditionalFormatting sqref="BI2:BI6">
    <cfRule type="dataBar" priority="14">
      <dataBar>
        <cfvo type="min"/>
        <cfvo type="max"/>
        <color rgb="FFFFB628"/>
      </dataBar>
      <extLst>
        <ext xmlns:x14="http://schemas.microsoft.com/office/spreadsheetml/2009/9/main" uri="{B025F937-C7B1-47D3-B67F-A62EFF666E3E}">
          <x14:id>{F2B1FEB1-4638-43B2-A340-8E7FBC76F4CA}</x14:id>
        </ext>
      </extLst>
    </cfRule>
  </conditionalFormatting>
  <conditionalFormatting sqref="BK2:BK6">
    <cfRule type="dataBar" priority="13">
      <dataBar>
        <cfvo type="min"/>
        <cfvo type="max"/>
        <color rgb="FFFFB628"/>
      </dataBar>
      <extLst>
        <ext xmlns:x14="http://schemas.microsoft.com/office/spreadsheetml/2009/9/main" uri="{B025F937-C7B1-47D3-B67F-A62EFF666E3E}">
          <x14:id>{1B307C68-DBB8-4662-8C5D-02F53C089308}</x14:id>
        </ext>
      </extLst>
    </cfRule>
  </conditionalFormatting>
  <conditionalFormatting sqref="BM2:BM6">
    <cfRule type="dataBar" priority="12">
      <dataBar>
        <cfvo type="min"/>
        <cfvo type="max"/>
        <color rgb="FFFFB628"/>
      </dataBar>
      <extLst>
        <ext xmlns:x14="http://schemas.microsoft.com/office/spreadsheetml/2009/9/main" uri="{B025F937-C7B1-47D3-B67F-A62EFF666E3E}">
          <x14:id>{474164D2-D23F-4613-8C78-1EC995758D15}</x14:id>
        </ext>
      </extLst>
    </cfRule>
  </conditionalFormatting>
  <conditionalFormatting sqref="BO2:BO6">
    <cfRule type="dataBar" priority="11">
      <dataBar>
        <cfvo type="min"/>
        <cfvo type="max"/>
        <color rgb="FFFFB628"/>
      </dataBar>
      <extLst>
        <ext xmlns:x14="http://schemas.microsoft.com/office/spreadsheetml/2009/9/main" uri="{B025F937-C7B1-47D3-B67F-A62EFF666E3E}">
          <x14:id>{3DC939D9-489C-4E0B-B004-040156FF43FE}</x14:id>
        </ext>
      </extLst>
    </cfRule>
  </conditionalFormatting>
  <conditionalFormatting sqref="BQ2:BQ6">
    <cfRule type="dataBar" priority="10">
      <dataBar>
        <cfvo type="min"/>
        <cfvo type="max"/>
        <color rgb="FFFFB628"/>
      </dataBar>
      <extLst>
        <ext xmlns:x14="http://schemas.microsoft.com/office/spreadsheetml/2009/9/main" uri="{B025F937-C7B1-47D3-B67F-A62EFF666E3E}">
          <x14:id>{210A5AD7-2518-42AE-AE71-194F4ADA6CB9}</x14:id>
        </ext>
      </extLst>
    </cfRule>
  </conditionalFormatting>
  <conditionalFormatting sqref="BU2 BW2 BY2 CA2 CC2">
    <cfRule type="dataBar" priority="20">
      <dataBar>
        <cfvo type="min"/>
        <cfvo type="max"/>
        <color rgb="FF63C384"/>
      </dataBar>
      <extLst>
        <ext xmlns:x14="http://schemas.microsoft.com/office/spreadsheetml/2009/9/main" uri="{B025F937-C7B1-47D3-B67F-A62EFF666E3E}">
          <x14:id>{7630B6A5-2C1A-40BB-A4A3-8F1C2B1F07A9}</x14:id>
        </ext>
      </extLst>
    </cfRule>
  </conditionalFormatting>
  <conditionalFormatting sqref="BU3 BW3 BY3 CA3 CC3">
    <cfRule type="dataBar" priority="9">
      <dataBar>
        <cfvo type="min"/>
        <cfvo type="max"/>
        <color rgb="FF63C384"/>
      </dataBar>
      <extLst>
        <ext xmlns:x14="http://schemas.microsoft.com/office/spreadsheetml/2009/9/main" uri="{B025F937-C7B1-47D3-B67F-A62EFF666E3E}">
          <x14:id>{E14A50C4-357F-4386-91C0-AFB60D20BCF0}</x14:id>
        </ext>
      </extLst>
    </cfRule>
  </conditionalFormatting>
  <conditionalFormatting sqref="BU4 BW4 BY4 CA4 CC4">
    <cfRule type="dataBar" priority="8">
      <dataBar>
        <cfvo type="min"/>
        <cfvo type="max"/>
        <color rgb="FF63C384"/>
      </dataBar>
      <extLst>
        <ext xmlns:x14="http://schemas.microsoft.com/office/spreadsheetml/2009/9/main" uri="{B025F937-C7B1-47D3-B67F-A62EFF666E3E}">
          <x14:id>{8C2839AC-B685-40A1-95D4-3FFA3185FF0A}</x14:id>
        </ext>
      </extLst>
    </cfRule>
  </conditionalFormatting>
  <conditionalFormatting sqref="BU5 BW5 BY5 CA5 CC5">
    <cfRule type="dataBar" priority="7">
      <dataBar>
        <cfvo type="min"/>
        <cfvo type="max"/>
        <color rgb="FF63C384"/>
      </dataBar>
      <extLst>
        <ext xmlns:x14="http://schemas.microsoft.com/office/spreadsheetml/2009/9/main" uri="{B025F937-C7B1-47D3-B67F-A62EFF666E3E}">
          <x14:id>{B0EEAEA4-2CD4-4B38-A61F-19F3DDFEB8D4}</x14:id>
        </ext>
      </extLst>
    </cfRule>
  </conditionalFormatting>
  <conditionalFormatting sqref="BU6 BW6 BY6 CA6 CC6">
    <cfRule type="dataBar" priority="6">
      <dataBar>
        <cfvo type="min"/>
        <cfvo type="max"/>
        <color rgb="FF63C384"/>
      </dataBar>
      <extLst>
        <ext xmlns:x14="http://schemas.microsoft.com/office/spreadsheetml/2009/9/main" uri="{B025F937-C7B1-47D3-B67F-A62EFF666E3E}">
          <x14:id>{D38F75BE-C6A3-40F9-AAFA-F7E79D48F73A}</x14:id>
        </ext>
      </extLst>
    </cfRule>
  </conditionalFormatting>
  <conditionalFormatting sqref="BU7 BW7 BY7 CA7 CC7">
    <cfRule type="dataBar" priority="5">
      <dataBar>
        <cfvo type="min"/>
        <cfvo type="max"/>
        <color rgb="FF63C384"/>
      </dataBar>
      <extLst>
        <ext xmlns:x14="http://schemas.microsoft.com/office/spreadsheetml/2009/9/main" uri="{B025F937-C7B1-47D3-B67F-A62EFF666E3E}">
          <x14:id>{4D890FE9-351B-44F0-A225-A4B0F0368800}</x14:id>
        </ext>
      </extLst>
    </cfRule>
  </conditionalFormatting>
  <conditionalFormatting sqref="BU8 BW8 BY8 CA8 CC8">
    <cfRule type="dataBar" priority="4">
      <dataBar>
        <cfvo type="min"/>
        <cfvo type="max"/>
        <color rgb="FF63C384"/>
      </dataBar>
      <extLst>
        <ext xmlns:x14="http://schemas.microsoft.com/office/spreadsheetml/2009/9/main" uri="{B025F937-C7B1-47D3-B67F-A62EFF666E3E}">
          <x14:id>{F4559E44-B454-48B6-A1CE-0F5E4E9A5B53}</x14:id>
        </ext>
      </extLst>
    </cfRule>
  </conditionalFormatting>
  <conditionalFormatting sqref="BU9 BW9 BY9 CA9 CC9">
    <cfRule type="dataBar" priority="3">
      <dataBar>
        <cfvo type="min"/>
        <cfvo type="max"/>
        <color rgb="FF63C384"/>
      </dataBar>
      <extLst>
        <ext xmlns:x14="http://schemas.microsoft.com/office/spreadsheetml/2009/9/main" uri="{B025F937-C7B1-47D3-B67F-A62EFF666E3E}">
          <x14:id>{406F942B-C7BE-4DD3-B967-E02B167D8085}</x14:id>
        </ext>
      </extLst>
    </cfRule>
  </conditionalFormatting>
  <conditionalFormatting sqref="BU10 BW10 BY10 CA10 CC10">
    <cfRule type="dataBar" priority="2">
      <dataBar>
        <cfvo type="min"/>
        <cfvo type="max"/>
        <color rgb="FF63C384"/>
      </dataBar>
      <extLst>
        <ext xmlns:x14="http://schemas.microsoft.com/office/spreadsheetml/2009/9/main" uri="{B025F937-C7B1-47D3-B67F-A62EFF666E3E}">
          <x14:id>{6DCB0084-5901-4D86-BE27-DA4B7F9AC8FE}</x14:id>
        </ext>
      </extLst>
    </cfRule>
  </conditionalFormatting>
  <conditionalFormatting sqref="BU11 BW11 BY11 CA11 CC11">
    <cfRule type="dataBar" priority="1">
      <dataBar>
        <cfvo type="min"/>
        <cfvo type="max"/>
        <color rgb="FF63C384"/>
      </dataBar>
      <extLst>
        <ext xmlns:x14="http://schemas.microsoft.com/office/spreadsheetml/2009/9/main" uri="{B025F937-C7B1-47D3-B67F-A62EFF666E3E}">
          <x14:id>{9C481242-36B7-420D-8BB5-2EA121516572}</x14:id>
        </ext>
      </extLst>
    </cfRule>
  </conditionalFormatting>
  <dataValidations count="1">
    <dataValidation type="whole" allowBlank="1" showInputMessage="1" showErrorMessage="1" sqref="Z2:Z42" xr:uid="{A4058D8A-76F0-475E-BECB-591B29F6158D}">
      <formula1>1</formula1>
      <formula2>5</formula2>
    </dataValidation>
  </dataValidations>
  <hyperlinks>
    <hyperlink ref="B13" r:id="rId1" xr:uid="{7EC1298A-6E90-4609-A8F8-DAD36EB14A30}"/>
    <hyperlink ref="B14" r:id="rId2" location="gid=1891099184" xr:uid="{563D4D31-3BD9-4890-9F2D-BC65C56014C4}"/>
  </hyperlinks>
  <pageMargins left="0.7" right="0.7" top="0.75" bottom="0.75" header="0.3" footer="0.3"/>
  <pageSetup orientation="portrait" r:id="rId3"/>
  <tableParts count="10">
    <tablePart r:id="rId4"/>
    <tablePart r:id="rId5"/>
    <tablePart r:id="rId6"/>
    <tablePart r:id="rId7"/>
    <tablePart r:id="rId8"/>
    <tablePart r:id="rId9"/>
    <tablePart r:id="rId10"/>
    <tablePart r:id="rId11"/>
    <tablePart r:id="rId12"/>
    <tablePart r:id="rId13"/>
  </tableParts>
  <extLst>
    <ext xmlns:x14="http://schemas.microsoft.com/office/spreadsheetml/2009/9/main" uri="{78C0D931-6437-407d-A8EE-F0AAD7539E65}">
      <x14:conditionalFormattings>
        <x14:conditionalFormatting xmlns:xm="http://schemas.microsoft.com/office/excel/2006/main">
          <x14:cfRule type="dataBar" id="{1CB7266F-C230-4D96-80DB-E55AC8A6A054}">
            <x14:dataBar minLength="0" maxLength="100" border="1" negativeBarBorderColorSameAsPositive="0">
              <x14:cfvo type="autoMin"/>
              <x14:cfvo type="autoMax"/>
              <x14:borderColor rgb="FFFFB628"/>
              <x14:negativeFillColor rgb="FFFF0000"/>
              <x14:negativeBorderColor rgb="FFFF0000"/>
              <x14:axisColor rgb="FF000000"/>
            </x14:dataBar>
          </x14:cfRule>
          <xm:sqref>AN2:AN4</xm:sqref>
        </x14:conditionalFormatting>
        <x14:conditionalFormatting xmlns:xm="http://schemas.microsoft.com/office/excel/2006/main">
          <x14:cfRule type="dataBar" id="{0749B302-7D42-4EE3-BC8C-F36E84DAFD52}">
            <x14:dataBar minLength="0" maxLength="100" border="1" negativeBarBorderColorSameAsPositive="0">
              <x14:cfvo type="autoMin"/>
              <x14:cfvo type="autoMax"/>
              <x14:borderColor rgb="FF638EC6"/>
              <x14:negativeFillColor rgb="FFFF0000"/>
              <x14:negativeBorderColor rgb="FFFF0000"/>
              <x14:axisColor rgb="FF000000"/>
            </x14:dataBar>
          </x14:cfRule>
          <xm:sqref>AN5:AN9</xm:sqref>
        </x14:conditionalFormatting>
        <x14:conditionalFormatting xmlns:xm="http://schemas.microsoft.com/office/excel/2006/main">
          <x14:cfRule type="dataBar" id="{B88A103F-BF9D-4A14-86F5-63460F29F2A6}">
            <x14:dataBar minLength="0" maxLength="100" border="1" negativeBarBorderColorSameAsPositive="0">
              <x14:cfvo type="autoMin"/>
              <x14:cfvo type="autoMax"/>
              <x14:borderColor rgb="FFFF555A"/>
              <x14:negativeFillColor rgb="FFFF0000"/>
              <x14:negativeBorderColor rgb="FFFF0000"/>
              <x14:axisColor rgb="FF000000"/>
            </x14:dataBar>
          </x14:cfRule>
          <xm:sqref>AN10:AN19</xm:sqref>
        </x14:conditionalFormatting>
        <x14:conditionalFormatting xmlns:xm="http://schemas.microsoft.com/office/excel/2006/main">
          <x14:cfRule type="dataBar" id="{71AFA24A-33F3-4D22-8B25-5983CBF2E12B}">
            <x14:dataBar minLength="0" maxLength="100" border="1" negativeBarBorderColorSameAsPositive="0">
              <x14:cfvo type="autoMin"/>
              <x14:cfvo type="autoMax"/>
              <x14:borderColor rgb="FF63C384"/>
              <x14:negativeFillColor rgb="FFFF0000"/>
              <x14:negativeBorderColor rgb="FFFF0000"/>
              <x14:axisColor rgb="FF000000"/>
            </x14:dataBar>
          </x14:cfRule>
          <xm:sqref>AN20:AN24</xm:sqref>
        </x14:conditionalFormatting>
        <x14:conditionalFormatting xmlns:xm="http://schemas.microsoft.com/office/excel/2006/main">
          <x14:cfRule type="dataBar" id="{9577C81C-0F28-4143-9CD1-2B1B1EC4633E}">
            <x14:dataBar minLength="0" maxLength="100" border="1" negativeBarBorderColorSameAsPositive="0">
              <x14:cfvo type="autoMin"/>
              <x14:cfvo type="autoMax"/>
              <x14:borderColor rgb="FF63C384"/>
              <x14:negativeFillColor rgb="FFFF0000"/>
              <x14:negativeBorderColor rgb="FFFF0000"/>
              <x14:axisColor rgb="FF000000"/>
            </x14:dataBar>
          </x14:cfRule>
          <xm:sqref>AT2:AU11</xm:sqref>
        </x14:conditionalFormatting>
        <x14:conditionalFormatting xmlns:xm="http://schemas.microsoft.com/office/excel/2006/main">
          <x14:cfRule type="dataBar" id="{3063973B-823A-4E4C-B132-CA6F55346780}">
            <x14:dataBar minLength="0" maxLength="100" border="1" negativeBarBorderColorSameAsPositive="0">
              <x14:cfvo type="autoMin"/>
              <x14:cfvo type="autoMax"/>
              <x14:borderColor rgb="FFFFB628"/>
              <x14:negativeFillColor rgb="FFFF0000"/>
              <x14:negativeBorderColor rgb="FFFF0000"/>
              <x14:axisColor rgb="FF000000"/>
            </x14:dataBar>
          </x14:cfRule>
          <xm:sqref>AY2:AY6</xm:sqref>
        </x14:conditionalFormatting>
        <x14:conditionalFormatting xmlns:xm="http://schemas.microsoft.com/office/excel/2006/main">
          <x14:cfRule type="dataBar" id="{BF070790-3E94-4534-BD40-63D46B64AF49}">
            <x14:dataBar minLength="0" maxLength="100" border="1" negativeBarBorderColorSameAsPositive="0">
              <x14:cfvo type="autoMin"/>
              <x14:cfvo type="autoMax"/>
              <x14:borderColor rgb="FFFFB628"/>
              <x14:negativeFillColor rgb="FFFF0000"/>
              <x14:negativeBorderColor rgb="FFFF0000"/>
              <x14:axisColor rgb="FF000000"/>
            </x14:dataBar>
          </x14:cfRule>
          <xm:sqref>BA2:BA6</xm:sqref>
        </x14:conditionalFormatting>
        <x14:conditionalFormatting xmlns:xm="http://schemas.microsoft.com/office/excel/2006/main">
          <x14:cfRule type="dataBar" id="{64F6F0DD-6480-4355-9F0B-62C96C8355A2}">
            <x14:dataBar minLength="0" maxLength="100" border="1" negativeBarBorderColorSameAsPositive="0">
              <x14:cfvo type="autoMin"/>
              <x14:cfvo type="autoMax"/>
              <x14:borderColor rgb="FFFFB628"/>
              <x14:negativeFillColor rgb="FFFF0000"/>
              <x14:negativeBorderColor rgb="FFFF0000"/>
              <x14:axisColor rgb="FF000000"/>
            </x14:dataBar>
          </x14:cfRule>
          <xm:sqref>BC2:BC6</xm:sqref>
        </x14:conditionalFormatting>
        <x14:conditionalFormatting xmlns:xm="http://schemas.microsoft.com/office/excel/2006/main">
          <x14:cfRule type="dataBar" id="{9AF97E9E-ECD0-4B9B-BA5D-055BE7B904F0}">
            <x14:dataBar minLength="0" maxLength="100" border="1" negativeBarBorderColorSameAsPositive="0">
              <x14:cfvo type="autoMin"/>
              <x14:cfvo type="autoMax"/>
              <x14:borderColor rgb="FFFFB628"/>
              <x14:negativeFillColor rgb="FFFF0000"/>
              <x14:negativeBorderColor rgb="FFFF0000"/>
              <x14:axisColor rgb="FF000000"/>
            </x14:dataBar>
          </x14:cfRule>
          <xm:sqref>BE2:BE6</xm:sqref>
        </x14:conditionalFormatting>
        <x14:conditionalFormatting xmlns:xm="http://schemas.microsoft.com/office/excel/2006/main">
          <x14:cfRule type="dataBar" id="{F6A811DC-57C4-487E-9824-9F45CDE14942}">
            <x14:dataBar minLength="0" maxLength="100" border="1" negativeBarBorderColorSameAsPositive="0">
              <x14:cfvo type="autoMin"/>
              <x14:cfvo type="autoMax"/>
              <x14:borderColor rgb="FFFFB628"/>
              <x14:negativeFillColor rgb="FFFF0000"/>
              <x14:negativeBorderColor rgb="FFFF0000"/>
              <x14:axisColor rgb="FF000000"/>
            </x14:dataBar>
          </x14:cfRule>
          <xm:sqref>BG2:BG6</xm:sqref>
        </x14:conditionalFormatting>
        <x14:conditionalFormatting xmlns:xm="http://schemas.microsoft.com/office/excel/2006/main">
          <x14:cfRule type="dataBar" id="{F2B1FEB1-4638-43B2-A340-8E7FBC76F4CA}">
            <x14:dataBar minLength="0" maxLength="100" border="1" negativeBarBorderColorSameAsPositive="0">
              <x14:cfvo type="autoMin"/>
              <x14:cfvo type="autoMax"/>
              <x14:borderColor rgb="FFFFB628"/>
              <x14:negativeFillColor rgb="FFFF0000"/>
              <x14:negativeBorderColor rgb="FFFF0000"/>
              <x14:axisColor rgb="FF000000"/>
            </x14:dataBar>
          </x14:cfRule>
          <xm:sqref>BI2:BI6</xm:sqref>
        </x14:conditionalFormatting>
        <x14:conditionalFormatting xmlns:xm="http://schemas.microsoft.com/office/excel/2006/main">
          <x14:cfRule type="dataBar" id="{1B307C68-DBB8-4662-8C5D-02F53C089308}">
            <x14:dataBar minLength="0" maxLength="100" border="1" negativeBarBorderColorSameAsPositive="0">
              <x14:cfvo type="autoMin"/>
              <x14:cfvo type="autoMax"/>
              <x14:borderColor rgb="FFFFB628"/>
              <x14:negativeFillColor rgb="FFFF0000"/>
              <x14:negativeBorderColor rgb="FFFF0000"/>
              <x14:axisColor rgb="FF000000"/>
            </x14:dataBar>
          </x14:cfRule>
          <xm:sqref>BK2:BK6</xm:sqref>
        </x14:conditionalFormatting>
        <x14:conditionalFormatting xmlns:xm="http://schemas.microsoft.com/office/excel/2006/main">
          <x14:cfRule type="dataBar" id="{474164D2-D23F-4613-8C78-1EC995758D15}">
            <x14:dataBar minLength="0" maxLength="100" border="1" negativeBarBorderColorSameAsPositive="0">
              <x14:cfvo type="autoMin"/>
              <x14:cfvo type="autoMax"/>
              <x14:borderColor rgb="FFFFB628"/>
              <x14:negativeFillColor rgb="FFFF0000"/>
              <x14:negativeBorderColor rgb="FFFF0000"/>
              <x14:axisColor rgb="FF000000"/>
            </x14:dataBar>
          </x14:cfRule>
          <xm:sqref>BM2:BM6</xm:sqref>
        </x14:conditionalFormatting>
        <x14:conditionalFormatting xmlns:xm="http://schemas.microsoft.com/office/excel/2006/main">
          <x14:cfRule type="dataBar" id="{3DC939D9-489C-4E0B-B004-040156FF43FE}">
            <x14:dataBar minLength="0" maxLength="100" border="1" negativeBarBorderColorSameAsPositive="0">
              <x14:cfvo type="autoMin"/>
              <x14:cfvo type="autoMax"/>
              <x14:borderColor rgb="FFFFB628"/>
              <x14:negativeFillColor rgb="FFFF0000"/>
              <x14:negativeBorderColor rgb="FFFF0000"/>
              <x14:axisColor rgb="FF000000"/>
            </x14:dataBar>
          </x14:cfRule>
          <xm:sqref>BO2:BO6</xm:sqref>
        </x14:conditionalFormatting>
        <x14:conditionalFormatting xmlns:xm="http://schemas.microsoft.com/office/excel/2006/main">
          <x14:cfRule type="dataBar" id="{210A5AD7-2518-42AE-AE71-194F4ADA6CB9}">
            <x14:dataBar minLength="0" maxLength="100" border="1" negativeBarBorderColorSameAsPositive="0">
              <x14:cfvo type="autoMin"/>
              <x14:cfvo type="autoMax"/>
              <x14:borderColor rgb="FFFFB628"/>
              <x14:negativeFillColor rgb="FFFF0000"/>
              <x14:negativeBorderColor rgb="FFFF0000"/>
              <x14:axisColor rgb="FF000000"/>
            </x14:dataBar>
          </x14:cfRule>
          <xm:sqref>BQ2:BQ6</xm:sqref>
        </x14:conditionalFormatting>
        <x14:conditionalFormatting xmlns:xm="http://schemas.microsoft.com/office/excel/2006/main">
          <x14:cfRule type="dataBar" id="{7630B6A5-2C1A-40BB-A4A3-8F1C2B1F07A9}">
            <x14:dataBar minLength="0" maxLength="100" border="1" negativeBarBorderColorSameAsPositive="0">
              <x14:cfvo type="autoMin"/>
              <x14:cfvo type="autoMax"/>
              <x14:borderColor rgb="FF63C384"/>
              <x14:negativeFillColor rgb="FFFF0000"/>
              <x14:negativeBorderColor rgb="FFFF0000"/>
              <x14:axisColor rgb="FF000000"/>
            </x14:dataBar>
          </x14:cfRule>
          <xm:sqref>BU2 BW2 BY2 CA2 CC2</xm:sqref>
        </x14:conditionalFormatting>
        <x14:conditionalFormatting xmlns:xm="http://schemas.microsoft.com/office/excel/2006/main">
          <x14:cfRule type="dataBar" id="{E14A50C4-357F-4386-91C0-AFB60D20BCF0}">
            <x14:dataBar minLength="0" maxLength="100" border="1" negativeBarBorderColorSameAsPositive="0">
              <x14:cfvo type="autoMin"/>
              <x14:cfvo type="autoMax"/>
              <x14:borderColor rgb="FF63C384"/>
              <x14:negativeFillColor rgb="FFFF0000"/>
              <x14:negativeBorderColor rgb="FFFF0000"/>
              <x14:axisColor rgb="FF000000"/>
            </x14:dataBar>
          </x14:cfRule>
          <xm:sqref>BU3 BW3 BY3 CA3 CC3</xm:sqref>
        </x14:conditionalFormatting>
        <x14:conditionalFormatting xmlns:xm="http://schemas.microsoft.com/office/excel/2006/main">
          <x14:cfRule type="dataBar" id="{8C2839AC-B685-40A1-95D4-3FFA3185FF0A}">
            <x14:dataBar minLength="0" maxLength="100" border="1" negativeBarBorderColorSameAsPositive="0">
              <x14:cfvo type="autoMin"/>
              <x14:cfvo type="autoMax"/>
              <x14:borderColor rgb="FF63C384"/>
              <x14:negativeFillColor rgb="FFFF0000"/>
              <x14:negativeBorderColor rgb="FFFF0000"/>
              <x14:axisColor rgb="FF000000"/>
            </x14:dataBar>
          </x14:cfRule>
          <xm:sqref>BU4 BW4 BY4 CA4 CC4</xm:sqref>
        </x14:conditionalFormatting>
        <x14:conditionalFormatting xmlns:xm="http://schemas.microsoft.com/office/excel/2006/main">
          <x14:cfRule type="dataBar" id="{B0EEAEA4-2CD4-4B38-A61F-19F3DDFEB8D4}">
            <x14:dataBar minLength="0" maxLength="100" border="1" negativeBarBorderColorSameAsPositive="0">
              <x14:cfvo type="autoMin"/>
              <x14:cfvo type="autoMax"/>
              <x14:borderColor rgb="FF63C384"/>
              <x14:negativeFillColor rgb="FFFF0000"/>
              <x14:negativeBorderColor rgb="FFFF0000"/>
              <x14:axisColor rgb="FF000000"/>
            </x14:dataBar>
          </x14:cfRule>
          <xm:sqref>BU5 BW5 BY5 CA5 CC5</xm:sqref>
        </x14:conditionalFormatting>
        <x14:conditionalFormatting xmlns:xm="http://schemas.microsoft.com/office/excel/2006/main">
          <x14:cfRule type="dataBar" id="{D38F75BE-C6A3-40F9-AAFA-F7E79D48F73A}">
            <x14:dataBar minLength="0" maxLength="100" border="1" negativeBarBorderColorSameAsPositive="0">
              <x14:cfvo type="autoMin"/>
              <x14:cfvo type="autoMax"/>
              <x14:borderColor rgb="FF63C384"/>
              <x14:negativeFillColor rgb="FFFF0000"/>
              <x14:negativeBorderColor rgb="FFFF0000"/>
              <x14:axisColor rgb="FF000000"/>
            </x14:dataBar>
          </x14:cfRule>
          <xm:sqref>BU6 BW6 BY6 CA6 CC6</xm:sqref>
        </x14:conditionalFormatting>
        <x14:conditionalFormatting xmlns:xm="http://schemas.microsoft.com/office/excel/2006/main">
          <x14:cfRule type="dataBar" id="{4D890FE9-351B-44F0-A225-A4B0F0368800}">
            <x14:dataBar minLength="0" maxLength="100" border="1" negativeBarBorderColorSameAsPositive="0">
              <x14:cfvo type="autoMin"/>
              <x14:cfvo type="autoMax"/>
              <x14:borderColor rgb="FF63C384"/>
              <x14:negativeFillColor rgb="FFFF0000"/>
              <x14:negativeBorderColor rgb="FFFF0000"/>
              <x14:axisColor rgb="FF000000"/>
            </x14:dataBar>
          </x14:cfRule>
          <xm:sqref>BU7 BW7 BY7 CA7 CC7</xm:sqref>
        </x14:conditionalFormatting>
        <x14:conditionalFormatting xmlns:xm="http://schemas.microsoft.com/office/excel/2006/main">
          <x14:cfRule type="dataBar" id="{F4559E44-B454-48B6-A1CE-0F5E4E9A5B53}">
            <x14:dataBar minLength="0" maxLength="100" border="1" negativeBarBorderColorSameAsPositive="0">
              <x14:cfvo type="autoMin"/>
              <x14:cfvo type="autoMax"/>
              <x14:borderColor rgb="FF63C384"/>
              <x14:negativeFillColor rgb="FFFF0000"/>
              <x14:negativeBorderColor rgb="FFFF0000"/>
              <x14:axisColor rgb="FF000000"/>
            </x14:dataBar>
          </x14:cfRule>
          <xm:sqref>BU8 BW8 BY8 CA8 CC8</xm:sqref>
        </x14:conditionalFormatting>
        <x14:conditionalFormatting xmlns:xm="http://schemas.microsoft.com/office/excel/2006/main">
          <x14:cfRule type="dataBar" id="{406F942B-C7BE-4DD3-B967-E02B167D8085}">
            <x14:dataBar minLength="0" maxLength="100" border="1" negativeBarBorderColorSameAsPositive="0">
              <x14:cfvo type="autoMin"/>
              <x14:cfvo type="autoMax"/>
              <x14:borderColor rgb="FF63C384"/>
              <x14:negativeFillColor rgb="FFFF0000"/>
              <x14:negativeBorderColor rgb="FFFF0000"/>
              <x14:axisColor rgb="FF000000"/>
            </x14:dataBar>
          </x14:cfRule>
          <xm:sqref>BU9 BW9 BY9 CA9 CC9</xm:sqref>
        </x14:conditionalFormatting>
        <x14:conditionalFormatting xmlns:xm="http://schemas.microsoft.com/office/excel/2006/main">
          <x14:cfRule type="dataBar" id="{6DCB0084-5901-4D86-BE27-DA4B7F9AC8FE}">
            <x14:dataBar minLength="0" maxLength="100" border="1" negativeBarBorderColorSameAsPositive="0">
              <x14:cfvo type="autoMin"/>
              <x14:cfvo type="autoMax"/>
              <x14:borderColor rgb="FF63C384"/>
              <x14:negativeFillColor rgb="FFFF0000"/>
              <x14:negativeBorderColor rgb="FFFF0000"/>
              <x14:axisColor rgb="FF000000"/>
            </x14:dataBar>
          </x14:cfRule>
          <xm:sqref>BU10 BW10 BY10 CA10 CC10</xm:sqref>
        </x14:conditionalFormatting>
        <x14:conditionalFormatting xmlns:xm="http://schemas.microsoft.com/office/excel/2006/main">
          <x14:cfRule type="dataBar" id="{9C481242-36B7-420D-8BB5-2EA121516572}">
            <x14:dataBar minLength="0" maxLength="100" border="1" negativeBarBorderColorSameAsPositive="0">
              <x14:cfvo type="autoMin"/>
              <x14:cfvo type="autoMax"/>
              <x14:borderColor rgb="FF63C384"/>
              <x14:negativeFillColor rgb="FFFF0000"/>
              <x14:negativeBorderColor rgb="FFFF0000"/>
              <x14:axisColor rgb="FF000000"/>
            </x14:dataBar>
          </x14:cfRule>
          <xm:sqref>BU11 BW11 BY11 CA11 CC11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2C6C-8121-4329-A9E7-FDDCFC9B98E4}">
  <dimension ref="A1:AP74"/>
  <sheetViews>
    <sheetView tabSelected="1" topLeftCell="O1" zoomScale="80" zoomScaleNormal="80" workbookViewId="0">
      <selection activeCell="AR9" sqref="AR9"/>
    </sheetView>
  </sheetViews>
  <sheetFormatPr defaultRowHeight="13.2"/>
  <cols>
    <col min="1" max="1" width="5.77734375" style="98" customWidth="1"/>
    <col min="2" max="11" width="9.88671875" style="98" customWidth="1"/>
    <col min="12" max="14" width="6.88671875" style="98" customWidth="1"/>
    <col min="15" max="21" width="6.88671875" style="98" bestFit="1" customWidth="1"/>
    <col min="22" max="16384" width="8.88671875" style="98"/>
  </cols>
  <sheetData>
    <row r="1" spans="1:42">
      <c r="A1" s="155"/>
      <c r="B1" s="155"/>
      <c r="C1" s="155"/>
      <c r="D1" s="155"/>
      <c r="E1" s="155"/>
      <c r="F1" s="155"/>
      <c r="G1" s="155"/>
      <c r="H1" s="155"/>
      <c r="I1" s="155"/>
      <c r="J1" s="155"/>
      <c r="K1" s="155"/>
      <c r="L1" s="155"/>
      <c r="M1" s="155"/>
      <c r="N1" s="155"/>
      <c r="O1" s="155"/>
      <c r="P1" s="155"/>
      <c r="Q1" s="155"/>
      <c r="R1" s="99"/>
      <c r="S1" s="99"/>
      <c r="T1" s="99"/>
      <c r="U1" s="99"/>
      <c r="V1" s="99"/>
      <c r="W1" s="99"/>
      <c r="X1" s="99"/>
      <c r="Y1" s="99"/>
      <c r="Z1" s="99"/>
      <c r="AA1" s="99"/>
      <c r="AB1" s="99"/>
      <c r="AC1" s="99"/>
      <c r="AD1" s="99"/>
      <c r="AE1" s="99"/>
      <c r="AF1" s="99"/>
      <c r="AG1" s="99"/>
      <c r="AH1" s="99"/>
      <c r="AI1" s="99"/>
      <c r="AJ1" s="99"/>
      <c r="AK1" s="99"/>
      <c r="AL1" s="99"/>
      <c r="AM1" s="99"/>
      <c r="AN1" s="99"/>
      <c r="AO1" s="99"/>
      <c r="AP1" s="99"/>
    </row>
    <row r="2" spans="1:42">
      <c r="A2" s="155"/>
      <c r="B2" s="155"/>
      <c r="C2" s="155"/>
      <c r="D2" s="155"/>
      <c r="E2" s="155"/>
      <c r="F2" s="155"/>
      <c r="G2" s="155"/>
      <c r="H2" s="155"/>
      <c r="I2" s="155"/>
      <c r="J2" s="155"/>
      <c r="K2" s="155"/>
      <c r="L2" s="155"/>
      <c r="M2" s="155"/>
      <c r="N2" s="155"/>
      <c r="O2" s="155"/>
      <c r="P2" s="155"/>
      <c r="Q2" s="155"/>
      <c r="R2" s="99"/>
      <c r="S2" s="99"/>
      <c r="T2" s="99"/>
      <c r="U2" s="99"/>
      <c r="V2" s="99"/>
      <c r="W2" s="99"/>
      <c r="X2" s="99"/>
      <c r="Y2" s="99"/>
      <c r="Z2" s="99"/>
      <c r="AA2" s="99"/>
      <c r="AB2" s="99"/>
      <c r="AC2" s="99"/>
      <c r="AD2" s="99"/>
      <c r="AE2" s="99"/>
      <c r="AF2" s="99"/>
      <c r="AG2" s="99"/>
      <c r="AH2" s="99"/>
      <c r="AI2" s="99"/>
      <c r="AJ2" s="99"/>
      <c r="AK2" s="99"/>
      <c r="AL2" s="99"/>
      <c r="AM2" s="99"/>
      <c r="AN2" s="99"/>
      <c r="AO2" s="99"/>
      <c r="AP2" s="99"/>
    </row>
    <row r="3" spans="1:42">
      <c r="A3" s="155"/>
      <c r="B3" s="155"/>
      <c r="C3" s="155"/>
      <c r="D3" s="155"/>
      <c r="E3" s="155"/>
      <c r="F3" s="155"/>
      <c r="G3" s="155"/>
      <c r="H3" s="155"/>
      <c r="I3" s="155"/>
      <c r="J3" s="155"/>
      <c r="K3" s="155"/>
      <c r="L3" s="155"/>
      <c r="M3" s="155"/>
      <c r="N3" s="155"/>
      <c r="O3" s="155"/>
      <c r="P3" s="155"/>
      <c r="Q3" s="155"/>
      <c r="R3" s="99"/>
      <c r="S3" s="99"/>
      <c r="T3" s="99"/>
      <c r="U3" s="99"/>
      <c r="V3" s="99"/>
      <c r="W3" s="99"/>
      <c r="X3" s="99"/>
      <c r="Y3" s="99"/>
      <c r="Z3" s="99"/>
      <c r="AA3" s="99"/>
      <c r="AB3" s="99"/>
      <c r="AC3" s="99"/>
      <c r="AD3" s="99"/>
      <c r="AE3" s="99"/>
      <c r="AF3" s="99"/>
      <c r="AG3" s="99"/>
      <c r="AH3" s="99"/>
      <c r="AI3" s="99"/>
      <c r="AJ3" s="99"/>
      <c r="AK3" s="99"/>
      <c r="AL3" s="99"/>
      <c r="AM3" s="99"/>
      <c r="AN3" s="99"/>
      <c r="AO3" s="99"/>
      <c r="AP3" s="99"/>
    </row>
    <row r="4" spans="1:42">
      <c r="A4" s="155"/>
      <c r="B4" s="155"/>
      <c r="C4" s="155"/>
      <c r="D4" s="155"/>
      <c r="E4" s="155"/>
      <c r="F4" s="155"/>
      <c r="G4" s="155"/>
      <c r="H4" s="155"/>
      <c r="I4" s="155"/>
      <c r="J4" s="155"/>
      <c r="K4" s="155"/>
      <c r="L4" s="155"/>
      <c r="M4" s="155"/>
      <c r="N4" s="155"/>
      <c r="O4" s="155"/>
      <c r="P4" s="155"/>
      <c r="Q4" s="155"/>
      <c r="R4" s="99"/>
      <c r="S4" s="99"/>
      <c r="T4" s="99"/>
      <c r="U4" s="99"/>
      <c r="V4" s="99"/>
      <c r="W4" s="99"/>
      <c r="X4" s="99"/>
      <c r="Y4" s="99"/>
      <c r="Z4" s="99"/>
      <c r="AA4" s="99"/>
      <c r="AB4" s="99"/>
      <c r="AC4" s="99"/>
      <c r="AD4" s="99"/>
      <c r="AE4" s="99"/>
      <c r="AF4" s="99"/>
      <c r="AG4" s="99"/>
      <c r="AH4" s="99"/>
      <c r="AI4" s="99"/>
      <c r="AJ4" s="99"/>
      <c r="AK4" s="99"/>
      <c r="AL4" s="99"/>
      <c r="AM4" s="99"/>
      <c r="AN4" s="99"/>
      <c r="AO4" s="99"/>
      <c r="AP4" s="99"/>
    </row>
    <row r="5" spans="1:42">
      <c r="A5" s="155"/>
      <c r="B5" s="155"/>
      <c r="C5" s="155"/>
      <c r="D5" s="155"/>
      <c r="E5" s="155"/>
      <c r="F5" s="155"/>
      <c r="G5" s="155"/>
      <c r="H5" s="155"/>
      <c r="I5" s="155"/>
      <c r="J5" s="155"/>
      <c r="K5" s="155"/>
      <c r="L5" s="155"/>
      <c r="M5" s="155"/>
      <c r="N5" s="155"/>
      <c r="O5" s="155"/>
      <c r="P5" s="155"/>
      <c r="Q5" s="155"/>
      <c r="R5" s="99"/>
      <c r="S5" s="99"/>
      <c r="T5" s="99"/>
      <c r="U5" s="99"/>
      <c r="V5" s="99"/>
      <c r="W5" s="99"/>
      <c r="X5" s="99"/>
      <c r="Y5" s="99"/>
      <c r="Z5" s="99"/>
      <c r="AA5" s="99"/>
      <c r="AB5" s="99"/>
      <c r="AC5" s="99"/>
      <c r="AD5" s="99"/>
      <c r="AE5" s="99"/>
      <c r="AF5" s="99"/>
      <c r="AG5" s="99"/>
      <c r="AH5" s="99"/>
      <c r="AI5" s="99"/>
      <c r="AJ5" s="99"/>
      <c r="AK5" s="99"/>
      <c r="AL5" s="99"/>
      <c r="AM5" s="99"/>
      <c r="AN5" s="99"/>
      <c r="AO5" s="99"/>
      <c r="AP5" s="99"/>
    </row>
    <row r="6" spans="1:42">
      <c r="A6" s="155"/>
      <c r="B6" s="155"/>
      <c r="C6" s="155"/>
      <c r="D6" s="155"/>
      <c r="E6" s="155"/>
      <c r="F6" s="155"/>
      <c r="G6" s="155"/>
      <c r="H6" s="155"/>
      <c r="I6" s="155"/>
      <c r="J6" s="155"/>
      <c r="K6" s="155"/>
      <c r="L6" s="155"/>
      <c r="M6" s="155"/>
      <c r="N6" s="155"/>
      <c r="O6" s="155"/>
      <c r="P6" s="155"/>
      <c r="Q6" s="155"/>
      <c r="R6" s="99"/>
      <c r="S6" s="99"/>
      <c r="T6" s="99"/>
      <c r="U6" s="99"/>
      <c r="V6" s="99"/>
      <c r="W6" s="99"/>
      <c r="X6" s="99"/>
      <c r="Y6" s="99"/>
      <c r="Z6" s="99"/>
      <c r="AA6" s="99"/>
      <c r="AB6" s="99"/>
      <c r="AC6" s="99"/>
      <c r="AD6" s="99"/>
      <c r="AE6" s="99"/>
      <c r="AF6" s="99"/>
      <c r="AG6" s="99"/>
      <c r="AH6" s="99"/>
      <c r="AI6" s="99"/>
      <c r="AJ6" s="99"/>
      <c r="AK6" s="99"/>
      <c r="AL6" s="99"/>
      <c r="AM6" s="99"/>
      <c r="AN6" s="99"/>
      <c r="AO6" s="99"/>
      <c r="AP6" s="99"/>
    </row>
    <row r="7" spans="1:42">
      <c r="A7" s="155"/>
      <c r="B7" s="155"/>
      <c r="C7" s="155"/>
      <c r="D7" s="155"/>
      <c r="E7" s="155"/>
      <c r="F7" s="155"/>
      <c r="G7" s="155"/>
      <c r="H7" s="155"/>
      <c r="I7" s="155"/>
      <c r="J7" s="155"/>
      <c r="K7" s="155"/>
      <c r="L7" s="155"/>
      <c r="M7" s="155"/>
      <c r="N7" s="155"/>
      <c r="O7" s="155"/>
      <c r="P7" s="155"/>
      <c r="Q7" s="155"/>
      <c r="R7" s="99"/>
      <c r="S7" s="99"/>
      <c r="T7" s="99"/>
      <c r="U7" s="99"/>
      <c r="V7" s="99"/>
      <c r="W7" s="99"/>
      <c r="X7" s="99"/>
      <c r="Y7" s="99"/>
      <c r="Z7" s="99"/>
      <c r="AA7" s="99"/>
      <c r="AB7" s="99"/>
      <c r="AC7" s="99"/>
      <c r="AD7" s="99"/>
      <c r="AE7" s="99"/>
      <c r="AF7" s="99"/>
      <c r="AG7" s="99"/>
      <c r="AH7" s="99"/>
      <c r="AI7" s="99"/>
      <c r="AJ7" s="99"/>
      <c r="AK7" s="99"/>
      <c r="AL7" s="99"/>
      <c r="AM7" s="99"/>
      <c r="AN7" s="99"/>
      <c r="AO7" s="99"/>
      <c r="AP7" s="99"/>
    </row>
    <row r="8" spans="1:42">
      <c r="A8" s="155"/>
      <c r="B8" s="155"/>
      <c r="C8" s="155"/>
      <c r="D8" s="155"/>
      <c r="E8" s="155"/>
      <c r="F8" s="155"/>
      <c r="G8" s="155"/>
      <c r="H8" s="155"/>
      <c r="I8" s="155"/>
      <c r="J8" s="155"/>
      <c r="K8" s="155"/>
      <c r="L8" s="155"/>
      <c r="M8" s="155"/>
      <c r="N8" s="155"/>
      <c r="O8" s="155"/>
      <c r="P8" s="155"/>
      <c r="Q8" s="155"/>
      <c r="R8" s="99"/>
      <c r="S8" s="99"/>
      <c r="T8" s="99"/>
      <c r="U8" s="99"/>
      <c r="V8" s="99"/>
      <c r="W8" s="99"/>
      <c r="X8" s="99"/>
      <c r="Y8" s="99"/>
      <c r="Z8" s="99"/>
      <c r="AA8" s="99"/>
      <c r="AB8" s="99"/>
      <c r="AC8" s="99"/>
      <c r="AD8" s="99"/>
      <c r="AE8" s="99"/>
      <c r="AF8" s="99"/>
      <c r="AG8" s="99"/>
      <c r="AH8" s="99"/>
      <c r="AI8" s="99"/>
      <c r="AJ8" s="99"/>
      <c r="AK8" s="99"/>
      <c r="AL8" s="99"/>
      <c r="AM8" s="99"/>
      <c r="AN8" s="99"/>
      <c r="AO8" s="99"/>
      <c r="AP8" s="99"/>
    </row>
    <row r="9" spans="1:42">
      <c r="A9" s="155"/>
      <c r="B9" s="155"/>
      <c r="C9" s="155"/>
      <c r="D9" s="155"/>
      <c r="E9" s="155"/>
      <c r="F9" s="155"/>
      <c r="G9" s="155"/>
      <c r="H9" s="155"/>
      <c r="I9" s="155"/>
      <c r="J9" s="155"/>
      <c r="K9" s="155"/>
      <c r="L9" s="155"/>
      <c r="M9" s="155"/>
      <c r="N9" s="155"/>
      <c r="O9" s="155"/>
      <c r="P9" s="155"/>
      <c r="Q9" s="155"/>
      <c r="R9" s="99"/>
      <c r="S9" s="99"/>
      <c r="T9" s="99"/>
      <c r="U9" s="99"/>
      <c r="V9" s="99"/>
      <c r="W9" s="99"/>
      <c r="X9" s="99"/>
      <c r="Y9" s="99"/>
      <c r="Z9" s="99"/>
      <c r="AA9" s="99"/>
      <c r="AB9" s="99"/>
      <c r="AC9" s="99"/>
      <c r="AD9" s="99"/>
      <c r="AE9" s="99"/>
      <c r="AF9" s="99"/>
      <c r="AG9" s="99"/>
      <c r="AH9" s="99"/>
      <c r="AI9" s="99"/>
      <c r="AJ9" s="99"/>
      <c r="AK9" s="99"/>
      <c r="AL9" s="99"/>
      <c r="AM9" s="99"/>
      <c r="AN9" s="99"/>
      <c r="AO9" s="99"/>
      <c r="AP9" s="99"/>
    </row>
    <row r="10" spans="1:42">
      <c r="A10" s="155"/>
      <c r="B10" s="155"/>
      <c r="C10" s="155"/>
      <c r="D10" s="155"/>
      <c r="E10" s="155"/>
      <c r="F10" s="155"/>
      <c r="G10" s="155"/>
      <c r="H10" s="155"/>
      <c r="I10" s="155"/>
      <c r="J10" s="155"/>
      <c r="K10" s="155"/>
      <c r="L10" s="155"/>
      <c r="M10" s="155"/>
      <c r="N10" s="155"/>
      <c r="O10" s="155"/>
      <c r="P10" s="155"/>
      <c r="Q10" s="155"/>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row>
    <row r="11" spans="1:42">
      <c r="A11" s="155"/>
      <c r="B11" s="155"/>
      <c r="C11" s="155"/>
      <c r="D11" s="155"/>
      <c r="E11" s="155"/>
      <c r="F11" s="155"/>
      <c r="G11" s="155"/>
      <c r="H11" s="155"/>
      <c r="I11" s="155"/>
      <c r="J11" s="155"/>
      <c r="K11" s="155"/>
      <c r="L11" s="155"/>
      <c r="M11" s="155"/>
      <c r="N11" s="155"/>
      <c r="O11" s="155"/>
      <c r="P11" s="155"/>
      <c r="Q11" s="155"/>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row>
    <row r="12" spans="1:42">
      <c r="A12" s="155"/>
      <c r="B12" s="155"/>
      <c r="C12" s="155"/>
      <c r="D12" s="155"/>
      <c r="E12" s="155"/>
      <c r="F12" s="155"/>
      <c r="G12" s="155"/>
      <c r="H12" s="155"/>
      <c r="I12" s="155"/>
      <c r="J12" s="155"/>
      <c r="K12" s="155"/>
      <c r="L12" s="155"/>
      <c r="M12" s="155"/>
      <c r="N12" s="155"/>
      <c r="O12" s="155"/>
      <c r="P12" s="155"/>
      <c r="Q12" s="155"/>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row>
    <row r="13" spans="1:42">
      <c r="A13" s="155"/>
      <c r="B13" s="155"/>
      <c r="C13" s="155"/>
      <c r="D13" s="155"/>
      <c r="E13" s="155"/>
      <c r="F13" s="155"/>
      <c r="G13" s="155"/>
      <c r="H13" s="155"/>
      <c r="I13" s="155"/>
      <c r="J13" s="155"/>
      <c r="K13" s="155"/>
      <c r="L13" s="155"/>
      <c r="M13" s="155"/>
      <c r="N13" s="155"/>
      <c r="O13" s="155"/>
      <c r="P13" s="155"/>
      <c r="Q13" s="155"/>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row>
    <row r="14" spans="1:42">
      <c r="A14" s="155"/>
      <c r="B14" s="155"/>
      <c r="C14" s="155"/>
      <c r="D14" s="155"/>
      <c r="E14" s="155"/>
      <c r="F14" s="155"/>
      <c r="G14" s="155"/>
      <c r="H14" s="155"/>
      <c r="I14" s="155"/>
      <c r="J14" s="155"/>
      <c r="K14" s="155"/>
      <c r="L14" s="155"/>
      <c r="M14" s="155"/>
      <c r="N14" s="155"/>
      <c r="O14" s="155"/>
      <c r="P14" s="155"/>
      <c r="Q14" s="155"/>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row>
    <row r="15" spans="1:42">
      <c r="A15" s="155"/>
      <c r="B15" s="155"/>
      <c r="C15" s="155"/>
      <c r="D15" s="155"/>
      <c r="E15" s="155"/>
      <c r="F15" s="155"/>
      <c r="G15" s="155"/>
      <c r="H15" s="155"/>
      <c r="I15" s="155"/>
      <c r="J15" s="155"/>
      <c r="K15" s="155"/>
      <c r="L15" s="155"/>
      <c r="M15" s="155"/>
      <c r="N15" s="155"/>
      <c r="O15" s="155"/>
      <c r="P15" s="155"/>
      <c r="Q15" s="155"/>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row>
    <row r="16" spans="1:42">
      <c r="A16" s="155"/>
      <c r="B16" s="155"/>
      <c r="C16" s="155"/>
      <c r="D16" s="155"/>
      <c r="E16" s="155"/>
      <c r="F16" s="155"/>
      <c r="G16" s="155"/>
      <c r="H16" s="155"/>
      <c r="I16" s="155"/>
      <c r="J16" s="155"/>
      <c r="K16" s="155"/>
      <c r="L16" s="155"/>
      <c r="M16" s="155"/>
      <c r="N16" s="155"/>
      <c r="O16" s="155"/>
      <c r="P16" s="155"/>
      <c r="Q16" s="155"/>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99"/>
    </row>
    <row r="17" spans="1:42">
      <c r="A17" s="155"/>
      <c r="B17" s="155"/>
      <c r="C17" s="155"/>
      <c r="D17" s="155"/>
      <c r="E17" s="155"/>
      <c r="F17" s="155"/>
      <c r="G17" s="155"/>
      <c r="H17" s="155"/>
      <c r="I17" s="155"/>
      <c r="J17" s="155"/>
      <c r="K17" s="155"/>
      <c r="L17" s="155"/>
      <c r="M17" s="155"/>
      <c r="N17" s="155"/>
      <c r="O17" s="155"/>
      <c r="P17" s="155"/>
      <c r="Q17" s="155"/>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c r="AP17" s="99"/>
    </row>
    <row r="18" spans="1:42">
      <c r="A18" s="155"/>
      <c r="B18" s="155"/>
      <c r="C18" s="155"/>
      <c r="D18" s="155"/>
      <c r="E18" s="155"/>
      <c r="F18" s="155"/>
      <c r="G18" s="155"/>
      <c r="H18" s="155"/>
      <c r="I18" s="155"/>
      <c r="J18" s="155"/>
      <c r="K18" s="155"/>
      <c r="L18" s="155"/>
      <c r="M18" s="155"/>
      <c r="N18" s="155"/>
      <c r="O18" s="155"/>
      <c r="P18" s="155"/>
      <c r="Q18" s="155"/>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99"/>
    </row>
    <row r="19" spans="1:42">
      <c r="A19" s="155"/>
      <c r="B19" s="155"/>
      <c r="C19" s="155"/>
      <c r="D19" s="155"/>
      <c r="E19" s="155"/>
      <c r="F19" s="155"/>
      <c r="G19" s="155"/>
      <c r="H19" s="155"/>
      <c r="I19" s="155"/>
      <c r="J19" s="155"/>
      <c r="K19" s="155"/>
      <c r="L19" s="155"/>
      <c r="M19" s="155"/>
      <c r="N19" s="155"/>
      <c r="O19" s="155"/>
      <c r="P19" s="155"/>
      <c r="Q19" s="155"/>
      <c r="R19" s="99"/>
      <c r="S19" s="99"/>
      <c r="T19" s="99"/>
      <c r="U19" s="99"/>
      <c r="V19" s="99"/>
      <c r="W19" s="99"/>
      <c r="X19" s="99"/>
      <c r="Y19" s="99"/>
      <c r="Z19" s="99"/>
      <c r="AA19" s="99"/>
      <c r="AB19" s="99"/>
      <c r="AC19" s="99"/>
      <c r="AD19" s="99"/>
      <c r="AE19" s="99"/>
      <c r="AF19" s="99"/>
      <c r="AG19" s="99"/>
      <c r="AH19" s="99"/>
      <c r="AI19" s="99"/>
      <c r="AJ19" s="99"/>
      <c r="AK19" s="99"/>
      <c r="AL19" s="99"/>
      <c r="AM19" s="99"/>
      <c r="AN19" s="99"/>
      <c r="AO19" s="99"/>
      <c r="AP19" s="99"/>
    </row>
    <row r="20" spans="1:42">
      <c r="A20" s="155"/>
      <c r="B20" s="155"/>
      <c r="C20" s="155"/>
      <c r="D20" s="155"/>
      <c r="E20" s="155"/>
      <c r="F20" s="155"/>
      <c r="G20" s="155"/>
      <c r="H20" s="155"/>
      <c r="I20" s="155"/>
      <c r="J20" s="155"/>
      <c r="K20" s="155"/>
      <c r="L20" s="155"/>
      <c r="M20" s="155"/>
      <c r="N20" s="155"/>
      <c r="O20" s="155"/>
      <c r="P20" s="155"/>
      <c r="Q20" s="155"/>
      <c r="R20" s="99"/>
      <c r="S20" s="99"/>
      <c r="T20" s="99"/>
      <c r="U20" s="99"/>
      <c r="V20" s="99"/>
      <c r="W20" s="99"/>
      <c r="X20" s="99"/>
      <c r="Y20" s="99"/>
      <c r="Z20" s="99"/>
      <c r="AA20" s="99"/>
      <c r="AB20" s="99"/>
      <c r="AC20" s="99"/>
      <c r="AD20" s="99"/>
      <c r="AE20" s="99"/>
      <c r="AF20" s="99"/>
      <c r="AG20" s="99"/>
      <c r="AH20" s="99"/>
      <c r="AI20" s="99"/>
      <c r="AJ20" s="99"/>
      <c r="AK20" s="99"/>
      <c r="AL20" s="99"/>
      <c r="AM20" s="99"/>
      <c r="AN20" s="99"/>
      <c r="AO20" s="99"/>
      <c r="AP20" s="99"/>
    </row>
    <row r="21" spans="1:42">
      <c r="A21" s="155"/>
      <c r="B21" s="155"/>
      <c r="C21" s="155"/>
      <c r="D21" s="155"/>
      <c r="E21" s="155"/>
      <c r="F21" s="155"/>
      <c r="G21" s="155"/>
      <c r="H21" s="155"/>
      <c r="I21" s="155"/>
      <c r="J21" s="155"/>
      <c r="K21" s="155"/>
      <c r="L21" s="155"/>
      <c r="M21" s="155"/>
      <c r="N21" s="155"/>
      <c r="O21" s="155"/>
      <c r="P21" s="155"/>
      <c r="Q21" s="155"/>
      <c r="R21" s="99"/>
      <c r="S21" s="99"/>
      <c r="T21" s="99"/>
      <c r="U21" s="99"/>
      <c r="V21" s="99"/>
      <c r="W21" s="99"/>
      <c r="X21" s="99"/>
      <c r="Y21" s="99"/>
      <c r="Z21" s="99"/>
      <c r="AA21" s="99"/>
      <c r="AB21" s="99"/>
      <c r="AC21" s="99"/>
      <c r="AD21" s="99"/>
      <c r="AE21" s="99"/>
      <c r="AF21" s="99"/>
      <c r="AG21" s="99"/>
      <c r="AH21" s="99"/>
      <c r="AI21" s="99"/>
      <c r="AJ21" s="99"/>
      <c r="AK21" s="99"/>
      <c r="AL21" s="99"/>
      <c r="AM21" s="99"/>
      <c r="AN21" s="99"/>
      <c r="AO21" s="99"/>
      <c r="AP21" s="99"/>
    </row>
    <row r="22" spans="1:42">
      <c r="A22" s="155"/>
      <c r="B22" s="155"/>
      <c r="C22" s="155"/>
      <c r="D22" s="155"/>
      <c r="E22" s="155"/>
      <c r="F22" s="155"/>
      <c r="G22" s="155"/>
      <c r="H22" s="155"/>
      <c r="I22" s="155"/>
      <c r="J22" s="155"/>
      <c r="K22" s="155"/>
      <c r="L22" s="155"/>
      <c r="M22" s="155"/>
      <c r="N22" s="155"/>
      <c r="O22" s="155"/>
      <c r="P22" s="155"/>
      <c r="Q22" s="155"/>
      <c r="R22" s="99"/>
      <c r="S22" s="99"/>
      <c r="T22" s="99"/>
      <c r="U22" s="99"/>
      <c r="V22" s="99"/>
      <c r="W22" s="99"/>
      <c r="X22" s="99"/>
      <c r="Y22" s="99"/>
      <c r="Z22" s="99"/>
      <c r="AA22" s="99"/>
      <c r="AB22" s="99"/>
      <c r="AC22" s="99"/>
      <c r="AD22" s="99"/>
      <c r="AE22" s="99"/>
      <c r="AF22" s="99"/>
      <c r="AG22" s="99"/>
      <c r="AH22" s="99"/>
      <c r="AI22" s="99"/>
      <c r="AJ22" s="99"/>
      <c r="AK22" s="99"/>
      <c r="AL22" s="99"/>
      <c r="AM22" s="99"/>
      <c r="AN22" s="99"/>
      <c r="AO22" s="99"/>
      <c r="AP22" s="99"/>
    </row>
    <row r="23" spans="1:42">
      <c r="A23" s="155"/>
      <c r="B23" s="155"/>
      <c r="C23" s="155"/>
      <c r="D23" s="155"/>
      <c r="E23" s="155"/>
      <c r="F23" s="155"/>
      <c r="G23" s="155"/>
      <c r="H23" s="155"/>
      <c r="I23" s="155"/>
      <c r="J23" s="155"/>
      <c r="K23" s="155"/>
      <c r="L23" s="155"/>
      <c r="M23" s="155"/>
      <c r="N23" s="155"/>
      <c r="O23" s="155"/>
      <c r="P23" s="155"/>
      <c r="Q23" s="155"/>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99"/>
    </row>
    <row r="24" spans="1:42">
      <c r="A24" s="155"/>
      <c r="B24" s="155"/>
      <c r="C24" s="155"/>
      <c r="D24" s="155"/>
      <c r="E24" s="155"/>
      <c r="F24" s="155"/>
      <c r="G24" s="155"/>
      <c r="H24" s="155"/>
      <c r="I24" s="155"/>
      <c r="J24" s="155"/>
      <c r="K24" s="155"/>
      <c r="L24" s="155"/>
      <c r="M24" s="155"/>
      <c r="N24" s="155"/>
      <c r="O24" s="155"/>
      <c r="P24" s="155"/>
      <c r="Q24" s="155"/>
      <c r="R24" s="99"/>
      <c r="S24" s="99"/>
      <c r="T24" s="99"/>
      <c r="U24" s="99"/>
      <c r="V24" s="99"/>
      <c r="W24" s="99"/>
      <c r="X24" s="99"/>
      <c r="Y24" s="99"/>
      <c r="Z24" s="99"/>
      <c r="AA24" s="99"/>
      <c r="AB24" s="99"/>
      <c r="AC24" s="99"/>
      <c r="AD24" s="99"/>
      <c r="AE24" s="99"/>
      <c r="AF24" s="99"/>
      <c r="AG24" s="99"/>
      <c r="AH24" s="99"/>
      <c r="AI24" s="99"/>
      <c r="AJ24" s="99"/>
      <c r="AK24" s="99"/>
      <c r="AL24" s="99"/>
      <c r="AM24" s="99"/>
      <c r="AN24" s="99"/>
      <c r="AO24" s="99"/>
      <c r="AP24" s="99"/>
    </row>
    <row r="25" spans="1:42">
      <c r="A25" s="155"/>
      <c r="B25" s="155"/>
      <c r="C25" s="155"/>
      <c r="D25" s="155"/>
      <c r="E25" s="155"/>
      <c r="F25" s="155"/>
      <c r="G25" s="155"/>
      <c r="H25" s="155"/>
      <c r="I25" s="155"/>
      <c r="J25" s="155"/>
      <c r="K25" s="155"/>
      <c r="L25" s="155"/>
      <c r="M25" s="155"/>
      <c r="N25" s="155"/>
      <c r="O25" s="155"/>
      <c r="P25" s="155"/>
      <c r="Q25" s="155"/>
      <c r="R25" s="99"/>
      <c r="S25" s="99"/>
      <c r="T25" s="99"/>
      <c r="U25" s="99"/>
      <c r="V25" s="99"/>
      <c r="W25" s="99"/>
      <c r="X25" s="99"/>
      <c r="Y25" s="99"/>
      <c r="Z25" s="99"/>
      <c r="AA25" s="99"/>
      <c r="AB25" s="99"/>
      <c r="AC25" s="99"/>
      <c r="AD25" s="99"/>
      <c r="AE25" s="99"/>
      <c r="AF25" s="99"/>
      <c r="AG25" s="99"/>
      <c r="AH25" s="99"/>
      <c r="AI25" s="99"/>
      <c r="AJ25" s="99"/>
      <c r="AK25" s="99"/>
      <c r="AL25" s="99"/>
      <c r="AM25" s="99"/>
      <c r="AN25" s="99"/>
      <c r="AO25" s="99"/>
      <c r="AP25" s="99"/>
    </row>
    <row r="26" spans="1:42">
      <c r="A26" s="155"/>
      <c r="B26" s="155"/>
      <c r="C26" s="155"/>
      <c r="D26" s="155"/>
      <c r="E26" s="155"/>
      <c r="F26" s="155"/>
      <c r="G26" s="155"/>
      <c r="H26" s="155"/>
      <c r="I26" s="155"/>
      <c r="J26" s="155"/>
      <c r="K26" s="155"/>
      <c r="L26" s="155"/>
      <c r="M26" s="155"/>
      <c r="N26" s="155"/>
      <c r="O26" s="155"/>
      <c r="P26" s="155"/>
      <c r="Q26" s="155"/>
      <c r="R26" s="99"/>
      <c r="S26" s="99"/>
      <c r="T26" s="99"/>
      <c r="U26" s="99"/>
      <c r="V26" s="99"/>
      <c r="W26" s="99"/>
      <c r="X26" s="99"/>
      <c r="Y26" s="99"/>
      <c r="Z26" s="99"/>
      <c r="AA26" s="99"/>
      <c r="AB26" s="99"/>
      <c r="AC26" s="99"/>
      <c r="AD26" s="99"/>
      <c r="AE26" s="99"/>
      <c r="AF26" s="99"/>
      <c r="AG26" s="99"/>
      <c r="AH26" s="99"/>
      <c r="AI26" s="99"/>
      <c r="AJ26" s="99"/>
      <c r="AK26" s="99"/>
      <c r="AL26" s="99"/>
      <c r="AM26" s="99"/>
      <c r="AN26" s="99"/>
      <c r="AO26" s="99"/>
      <c r="AP26" s="99"/>
    </row>
    <row r="27" spans="1:42">
      <c r="A27" s="155"/>
      <c r="B27" s="155"/>
      <c r="C27" s="155"/>
      <c r="D27" s="155"/>
      <c r="E27" s="155"/>
      <c r="F27" s="155"/>
      <c r="G27" s="155"/>
      <c r="H27" s="155"/>
      <c r="I27" s="155"/>
      <c r="J27" s="155"/>
      <c r="K27" s="155"/>
      <c r="L27" s="155"/>
      <c r="M27" s="155"/>
      <c r="N27" s="155"/>
      <c r="O27" s="155"/>
      <c r="P27" s="155"/>
      <c r="Q27" s="155"/>
      <c r="R27" s="99"/>
      <c r="S27" s="99"/>
      <c r="T27" s="99"/>
      <c r="U27" s="99"/>
      <c r="V27" s="99"/>
      <c r="W27" s="99"/>
      <c r="X27" s="99"/>
      <c r="Y27" s="99"/>
      <c r="Z27" s="99"/>
      <c r="AA27" s="99"/>
      <c r="AB27" s="99"/>
      <c r="AC27" s="99"/>
      <c r="AD27" s="99"/>
      <c r="AE27" s="99"/>
      <c r="AF27" s="99"/>
      <c r="AG27" s="99"/>
      <c r="AH27" s="99"/>
      <c r="AI27" s="99"/>
      <c r="AJ27" s="99"/>
      <c r="AK27" s="99"/>
      <c r="AL27" s="99"/>
      <c r="AM27" s="99"/>
      <c r="AN27" s="99"/>
      <c r="AO27" s="99"/>
      <c r="AP27" s="99"/>
    </row>
    <row r="28" spans="1:42">
      <c r="A28" s="155"/>
      <c r="B28" s="155"/>
      <c r="C28" s="155"/>
      <c r="D28" s="155"/>
      <c r="E28" s="155"/>
      <c r="F28" s="155"/>
      <c r="G28" s="155"/>
      <c r="H28" s="155"/>
      <c r="I28" s="155"/>
      <c r="J28" s="155"/>
      <c r="K28" s="155"/>
      <c r="L28" s="155"/>
      <c r="M28" s="155"/>
      <c r="N28" s="155"/>
      <c r="O28" s="155"/>
      <c r="P28" s="155"/>
      <c r="Q28" s="155"/>
      <c r="R28" s="99"/>
      <c r="S28" s="99"/>
      <c r="T28" s="99"/>
      <c r="U28" s="99"/>
      <c r="V28" s="99"/>
      <c r="W28" s="99"/>
      <c r="X28" s="99"/>
      <c r="Y28" s="99"/>
      <c r="Z28" s="99"/>
      <c r="AA28" s="99"/>
      <c r="AB28" s="99"/>
      <c r="AC28" s="99"/>
      <c r="AD28" s="99"/>
      <c r="AE28" s="99"/>
      <c r="AF28" s="99"/>
      <c r="AG28" s="99"/>
      <c r="AH28" s="99"/>
      <c r="AI28" s="99"/>
      <c r="AJ28" s="99"/>
      <c r="AK28" s="99"/>
      <c r="AL28" s="99"/>
      <c r="AM28" s="99"/>
      <c r="AN28" s="99"/>
      <c r="AO28" s="99"/>
      <c r="AP28" s="99"/>
    </row>
    <row r="29" spans="1:42">
      <c r="A29" s="155"/>
      <c r="B29" s="155"/>
      <c r="C29" s="155"/>
      <c r="D29" s="155"/>
      <c r="E29" s="155"/>
      <c r="F29" s="155"/>
      <c r="G29" s="155"/>
      <c r="H29" s="155"/>
      <c r="I29" s="155"/>
      <c r="J29" s="155"/>
      <c r="K29" s="155"/>
      <c r="L29" s="155"/>
      <c r="M29" s="155"/>
      <c r="N29" s="155"/>
      <c r="O29" s="155"/>
      <c r="P29" s="155"/>
      <c r="Q29" s="155"/>
      <c r="R29" s="99"/>
      <c r="S29" s="99"/>
      <c r="T29" s="99"/>
      <c r="U29" s="99"/>
      <c r="V29" s="99"/>
      <c r="W29" s="99"/>
      <c r="X29" s="99"/>
      <c r="Y29" s="99"/>
      <c r="Z29" s="99"/>
      <c r="AA29" s="99"/>
      <c r="AB29" s="99"/>
      <c r="AC29" s="99"/>
      <c r="AD29" s="99"/>
      <c r="AE29" s="99"/>
      <c r="AF29" s="99"/>
      <c r="AG29" s="99"/>
      <c r="AH29" s="99"/>
      <c r="AI29" s="99"/>
      <c r="AJ29" s="99"/>
      <c r="AK29" s="99"/>
      <c r="AL29" s="99"/>
      <c r="AM29" s="99"/>
      <c r="AN29" s="99"/>
      <c r="AO29" s="99"/>
      <c r="AP29" s="99"/>
    </row>
    <row r="30" spans="1:42">
      <c r="A30" s="155"/>
      <c r="B30" s="155"/>
      <c r="C30" s="155"/>
      <c r="D30" s="155"/>
      <c r="E30" s="155"/>
      <c r="F30" s="155"/>
      <c r="G30" s="155"/>
      <c r="H30" s="155"/>
      <c r="I30" s="155"/>
      <c r="J30" s="155"/>
      <c r="K30" s="155"/>
      <c r="L30" s="155"/>
      <c r="M30" s="155"/>
      <c r="N30" s="155"/>
      <c r="O30" s="155"/>
      <c r="P30" s="155"/>
      <c r="Q30" s="155"/>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row>
    <row r="31" spans="1:42">
      <c r="A31" s="155"/>
      <c r="B31" s="155"/>
      <c r="C31" s="155"/>
      <c r="D31" s="155"/>
      <c r="E31" s="155"/>
      <c r="F31" s="155"/>
      <c r="G31" s="155"/>
      <c r="H31" s="155"/>
      <c r="I31" s="155"/>
      <c r="J31" s="155"/>
      <c r="K31" s="155"/>
      <c r="L31" s="155"/>
      <c r="M31" s="155"/>
      <c r="N31" s="155"/>
      <c r="O31" s="155"/>
      <c r="P31" s="155"/>
      <c r="Q31" s="155"/>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99"/>
    </row>
    <row r="32" spans="1:42">
      <c r="A32" s="155"/>
      <c r="B32" s="155"/>
      <c r="C32" s="155"/>
      <c r="D32" s="155"/>
      <c r="E32" s="155"/>
      <c r="F32" s="155"/>
      <c r="G32" s="155"/>
      <c r="H32" s="155"/>
      <c r="I32" s="155"/>
      <c r="J32" s="155"/>
      <c r="K32" s="155"/>
      <c r="L32" s="155"/>
      <c r="M32" s="155"/>
      <c r="N32" s="155"/>
      <c r="O32" s="155"/>
      <c r="P32" s="155"/>
      <c r="Q32" s="155"/>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row>
    <row r="33" spans="1:42">
      <c r="A33" s="155"/>
      <c r="B33" s="155"/>
      <c r="C33" s="155"/>
      <c r="D33" s="155"/>
      <c r="E33" s="155"/>
      <c r="F33" s="155"/>
      <c r="G33" s="155"/>
      <c r="H33" s="155"/>
      <c r="I33" s="155"/>
      <c r="J33" s="155"/>
      <c r="K33" s="155"/>
      <c r="L33" s="155"/>
      <c r="M33" s="155"/>
      <c r="N33" s="155"/>
      <c r="O33" s="155"/>
      <c r="P33" s="155"/>
      <c r="Q33" s="155"/>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row>
    <row r="34" spans="1:42">
      <c r="A34" s="155"/>
      <c r="B34" s="155"/>
      <c r="C34" s="155"/>
      <c r="D34" s="155"/>
      <c r="E34" s="155"/>
      <c r="F34" s="155"/>
      <c r="G34" s="155"/>
      <c r="H34" s="155"/>
      <c r="I34" s="155"/>
      <c r="J34" s="155"/>
      <c r="K34" s="155"/>
      <c r="L34" s="155"/>
      <c r="M34" s="155"/>
      <c r="N34" s="155"/>
      <c r="O34" s="155"/>
      <c r="P34" s="155"/>
      <c r="Q34" s="155"/>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99"/>
    </row>
    <row r="35" spans="1:42">
      <c r="A35" s="155"/>
      <c r="B35" s="155"/>
      <c r="C35" s="155"/>
      <c r="D35" s="155"/>
      <c r="E35" s="155"/>
      <c r="F35" s="155"/>
      <c r="G35" s="155"/>
      <c r="H35" s="155"/>
      <c r="I35" s="155"/>
      <c r="J35" s="155"/>
      <c r="K35" s="155"/>
      <c r="L35" s="155"/>
      <c r="M35" s="155"/>
      <c r="N35" s="155"/>
      <c r="O35" s="155"/>
      <c r="P35" s="155"/>
      <c r="Q35" s="155"/>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99"/>
    </row>
    <row r="36" spans="1:42">
      <c r="A36" s="155"/>
      <c r="B36" s="155"/>
      <c r="C36" s="155"/>
      <c r="D36" s="155"/>
      <c r="E36" s="155"/>
      <c r="F36" s="155"/>
      <c r="G36" s="155"/>
      <c r="H36" s="155"/>
      <c r="I36" s="155"/>
      <c r="J36" s="155"/>
      <c r="K36" s="155"/>
      <c r="L36" s="155"/>
      <c r="M36" s="155"/>
      <c r="N36" s="155"/>
      <c r="O36" s="155"/>
      <c r="P36" s="155"/>
      <c r="Q36" s="155"/>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row>
    <row r="37" spans="1:42">
      <c r="A37" s="99"/>
      <c r="B37" s="99"/>
      <c r="C37" s="99"/>
      <c r="D37" s="99"/>
      <c r="E37" s="99"/>
      <c r="F37" s="99"/>
      <c r="G37" s="99"/>
      <c r="H37" s="99"/>
      <c r="I37" s="99"/>
      <c r="J37" s="99"/>
      <c r="K37" s="99"/>
      <c r="L37" s="99"/>
      <c r="M37" s="99"/>
      <c r="N37" s="99"/>
      <c r="O37" s="99"/>
      <c r="P37" s="99"/>
      <c r="Q37" s="99"/>
      <c r="R37" s="99"/>
      <c r="S37" s="99"/>
      <c r="T37" s="99"/>
      <c r="U37" s="99"/>
      <c r="V37" s="99"/>
      <c r="W37" s="99"/>
      <c r="X37" s="99"/>
      <c r="Y37" s="99"/>
      <c r="Z37" s="99"/>
      <c r="AA37" s="99"/>
      <c r="AB37" s="99"/>
      <c r="AC37" s="99"/>
      <c r="AD37" s="99"/>
      <c r="AE37" s="99"/>
      <c r="AF37" s="99"/>
      <c r="AG37" s="99"/>
      <c r="AH37" s="99"/>
      <c r="AI37" s="99"/>
      <c r="AJ37" s="99"/>
      <c r="AK37" s="99"/>
      <c r="AL37" s="99"/>
      <c r="AM37" s="99"/>
      <c r="AN37" s="99"/>
      <c r="AO37" s="99"/>
      <c r="AP37" s="99"/>
    </row>
    <row r="38" spans="1:42">
      <c r="A38" s="99"/>
      <c r="B38" s="99"/>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row>
    <row r="39" spans="1:42">
      <c r="A39" s="99"/>
      <c r="B39" s="99"/>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row>
    <row r="40" spans="1:42">
      <c r="A40" s="99"/>
      <c r="B40" s="99"/>
      <c r="C40" s="99"/>
      <c r="D40" s="99"/>
      <c r="E40" s="99"/>
      <c r="F40" s="99"/>
      <c r="G40" s="99"/>
      <c r="H40" s="99"/>
      <c r="I40" s="99"/>
      <c r="J40" s="99"/>
      <c r="K40" s="99"/>
      <c r="L40" s="99"/>
      <c r="M40" s="99"/>
      <c r="N40" s="99"/>
      <c r="O40" s="99"/>
      <c r="P40" s="99"/>
      <c r="Q40" s="99"/>
      <c r="R40" s="99"/>
      <c r="S40" s="99"/>
      <c r="T40" s="99"/>
      <c r="U40" s="99"/>
      <c r="V40" s="99"/>
      <c r="W40" s="99"/>
      <c r="X40" s="99"/>
      <c r="Y40" s="99"/>
      <c r="Z40" s="99"/>
      <c r="AA40" s="99"/>
      <c r="AB40" s="99"/>
      <c r="AC40" s="99"/>
      <c r="AD40" s="99"/>
      <c r="AE40" s="99"/>
      <c r="AF40" s="99"/>
      <c r="AG40" s="99"/>
      <c r="AH40" s="99"/>
      <c r="AI40" s="99"/>
      <c r="AJ40" s="99"/>
      <c r="AK40" s="99"/>
      <c r="AL40" s="99"/>
      <c r="AM40" s="99"/>
      <c r="AN40" s="99"/>
      <c r="AO40" s="99"/>
      <c r="AP40" s="99"/>
    </row>
    <row r="41" spans="1:42">
      <c r="A41" s="99"/>
      <c r="B41" s="99"/>
      <c r="C41" s="99"/>
      <c r="D41" s="99"/>
      <c r="E41" s="99"/>
      <c r="F41" s="99"/>
      <c r="G41" s="99"/>
      <c r="H41" s="99"/>
      <c r="I41" s="99"/>
      <c r="J41" s="99"/>
      <c r="K41" s="99"/>
      <c r="L41" s="99"/>
      <c r="M41" s="99"/>
      <c r="N41" s="99"/>
      <c r="O41" s="99"/>
      <c r="P41" s="99"/>
      <c r="Q41" s="99"/>
      <c r="R41" s="99"/>
      <c r="S41" s="99"/>
      <c r="T41" s="99"/>
      <c r="U41" s="99"/>
      <c r="V41" s="99"/>
      <c r="W41" s="99"/>
      <c r="X41" s="99"/>
      <c r="Y41" s="99"/>
      <c r="Z41" s="99"/>
      <c r="AA41" s="99"/>
      <c r="AB41" s="99"/>
      <c r="AC41" s="99"/>
      <c r="AD41" s="99"/>
      <c r="AE41" s="99"/>
      <c r="AF41" s="99"/>
      <c r="AG41" s="99"/>
      <c r="AH41" s="99"/>
      <c r="AI41" s="99"/>
      <c r="AJ41" s="99"/>
      <c r="AK41" s="99"/>
      <c r="AL41" s="99"/>
      <c r="AM41" s="99"/>
      <c r="AN41" s="99"/>
      <c r="AO41" s="99"/>
      <c r="AP41" s="99"/>
    </row>
    <row r="42" spans="1:42">
      <c r="A42" s="99"/>
      <c r="B42" s="99"/>
      <c r="C42" s="99"/>
      <c r="D42" s="99"/>
      <c r="E42" s="99"/>
      <c r="F42" s="99"/>
      <c r="G42" s="99"/>
      <c r="H42" s="99"/>
      <c r="I42" s="99"/>
      <c r="J42" s="99"/>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row>
    <row r="43" spans="1:42">
      <c r="A43" s="99"/>
      <c r="B43" s="99"/>
      <c r="C43" s="99"/>
      <c r="D43" s="99"/>
      <c r="E43" s="99"/>
      <c r="F43" s="99"/>
      <c r="G43" s="99"/>
      <c r="H43" s="99"/>
      <c r="I43" s="99"/>
      <c r="J43" s="99"/>
      <c r="K43" s="99"/>
      <c r="L43" s="99"/>
      <c r="M43" s="99"/>
      <c r="N43" s="99"/>
      <c r="O43" s="99"/>
      <c r="P43" s="99"/>
      <c r="Q43" s="99"/>
      <c r="R43" s="99"/>
      <c r="S43" s="99"/>
      <c r="T43" s="99"/>
      <c r="U43" s="99"/>
      <c r="V43" s="99"/>
      <c r="W43" s="99"/>
      <c r="X43" s="99"/>
      <c r="Y43" s="99"/>
      <c r="Z43" s="99"/>
      <c r="AA43" s="99"/>
      <c r="AB43" s="99"/>
      <c r="AC43" s="99"/>
      <c r="AD43" s="99"/>
      <c r="AE43" s="99"/>
      <c r="AF43" s="99"/>
      <c r="AG43" s="99"/>
      <c r="AH43" s="99"/>
      <c r="AI43" s="99"/>
      <c r="AJ43" s="99"/>
      <c r="AK43" s="99"/>
      <c r="AL43" s="99"/>
      <c r="AM43" s="99"/>
      <c r="AN43" s="99"/>
      <c r="AO43" s="99"/>
      <c r="AP43" s="99"/>
    </row>
    <row r="44" spans="1:42">
      <c r="A44" s="99"/>
      <c r="B44" s="99"/>
      <c r="C44" s="99"/>
      <c r="D44" s="99"/>
      <c r="E44" s="99"/>
      <c r="F44" s="99"/>
      <c r="G44" s="99"/>
      <c r="H44" s="99"/>
      <c r="I44" s="99"/>
      <c r="J44" s="99"/>
      <c r="K44" s="99"/>
      <c r="L44" s="99"/>
      <c r="M44" s="99"/>
      <c r="N44" s="99"/>
      <c r="O44" s="99"/>
      <c r="P44" s="99"/>
      <c r="Q44" s="99"/>
      <c r="R44" s="99"/>
      <c r="S44" s="99"/>
      <c r="T44" s="99"/>
      <c r="U44" s="99"/>
      <c r="V44" s="99"/>
      <c r="W44" s="99"/>
      <c r="X44" s="99"/>
      <c r="Y44" s="99"/>
      <c r="Z44" s="99"/>
      <c r="AA44" s="99"/>
      <c r="AB44" s="99"/>
      <c r="AC44" s="99"/>
      <c r="AD44" s="99"/>
      <c r="AE44" s="99"/>
      <c r="AF44" s="99"/>
      <c r="AG44" s="99"/>
      <c r="AH44" s="99"/>
      <c r="AI44" s="99"/>
      <c r="AJ44" s="99"/>
      <c r="AK44" s="99"/>
      <c r="AL44" s="99"/>
      <c r="AM44" s="99"/>
      <c r="AN44" s="99"/>
      <c r="AO44" s="99"/>
      <c r="AP44" s="99"/>
    </row>
    <row r="45" spans="1:42">
      <c r="A45" s="99"/>
      <c r="B45" s="99"/>
      <c r="C45" s="99"/>
      <c r="D45" s="99"/>
      <c r="E45" s="99"/>
      <c r="F45" s="99"/>
      <c r="G45" s="99"/>
      <c r="H45" s="99"/>
      <c r="I45" s="99"/>
      <c r="J45" s="99"/>
      <c r="K45" s="99"/>
      <c r="L45" s="99"/>
      <c r="M45" s="99"/>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99"/>
      <c r="AP45" s="99"/>
    </row>
    <row r="46" spans="1:42">
      <c r="A46" s="99"/>
      <c r="B46" s="99"/>
      <c r="C46" s="99"/>
      <c r="D46" s="99"/>
      <c r="E46" s="99"/>
      <c r="F46" s="99"/>
      <c r="G46" s="99"/>
      <c r="H46" s="99"/>
      <c r="I46" s="99"/>
      <c r="J46" s="99"/>
      <c r="K46" s="99"/>
      <c r="L46" s="99"/>
      <c r="M46" s="99"/>
      <c r="N46" s="99"/>
      <c r="O46" s="99"/>
      <c r="P46" s="99"/>
      <c r="Q46" s="99"/>
      <c r="R46" s="99"/>
      <c r="S46" s="99"/>
      <c r="T46" s="99"/>
      <c r="U46" s="99"/>
      <c r="V46" s="99"/>
      <c r="W46" s="99"/>
      <c r="X46" s="99"/>
      <c r="Y46" s="99"/>
      <c r="Z46" s="99"/>
      <c r="AA46" s="99"/>
      <c r="AB46" s="99"/>
      <c r="AC46" s="99"/>
      <c r="AD46" s="99"/>
      <c r="AE46" s="99"/>
      <c r="AF46" s="99"/>
      <c r="AG46" s="99"/>
      <c r="AH46" s="99"/>
      <c r="AI46" s="99"/>
      <c r="AJ46" s="99"/>
      <c r="AK46" s="99"/>
      <c r="AL46" s="99"/>
      <c r="AM46" s="99"/>
      <c r="AN46" s="99"/>
      <c r="AO46" s="99"/>
      <c r="AP46" s="99"/>
    </row>
    <row r="47" spans="1:42">
      <c r="A47" s="99"/>
      <c r="B47" s="99"/>
      <c r="C47" s="99"/>
      <c r="D47" s="99"/>
      <c r="E47" s="99"/>
      <c r="F47" s="99"/>
      <c r="G47" s="99"/>
      <c r="H47" s="99"/>
      <c r="I47" s="99"/>
      <c r="J47" s="99"/>
      <c r="K47" s="99"/>
      <c r="L47" s="99"/>
      <c r="M47" s="99"/>
      <c r="N47" s="99"/>
      <c r="O47" s="99"/>
      <c r="P47" s="99"/>
      <c r="Q47" s="99"/>
      <c r="R47" s="99"/>
      <c r="S47" s="99"/>
      <c r="T47" s="99"/>
      <c r="U47" s="99"/>
      <c r="V47" s="99"/>
      <c r="W47" s="99"/>
      <c r="X47" s="99"/>
      <c r="Y47" s="99"/>
      <c r="Z47" s="99"/>
      <c r="AA47" s="99"/>
      <c r="AB47" s="99"/>
      <c r="AC47" s="99"/>
      <c r="AD47" s="99"/>
      <c r="AE47" s="99"/>
      <c r="AF47" s="99"/>
      <c r="AG47" s="99"/>
      <c r="AH47" s="99"/>
      <c r="AI47" s="99"/>
      <c r="AJ47" s="99"/>
      <c r="AK47" s="99"/>
      <c r="AL47" s="99"/>
      <c r="AM47" s="99"/>
      <c r="AN47" s="99"/>
      <c r="AO47" s="99"/>
      <c r="AP47" s="99"/>
    </row>
    <row r="48" spans="1:42">
      <c r="A48" s="99"/>
      <c r="B48" s="99"/>
      <c r="C48" s="99"/>
      <c r="D48" s="99"/>
      <c r="E48" s="99"/>
      <c r="F48" s="99"/>
      <c r="G48" s="99"/>
      <c r="H48" s="99"/>
      <c r="I48" s="99"/>
      <c r="J48" s="99"/>
      <c r="K48" s="99"/>
      <c r="L48" s="99"/>
      <c r="M48" s="99"/>
      <c r="N48" s="99"/>
      <c r="O48" s="99"/>
      <c r="P48" s="99"/>
      <c r="Q48" s="99"/>
      <c r="R48" s="99"/>
      <c r="S48" s="99"/>
      <c r="T48" s="99"/>
      <c r="U48" s="99"/>
      <c r="V48" s="99"/>
      <c r="W48" s="99"/>
      <c r="X48" s="99"/>
      <c r="Y48" s="99"/>
      <c r="Z48" s="99"/>
      <c r="AA48" s="99"/>
      <c r="AB48" s="99"/>
      <c r="AC48" s="99"/>
      <c r="AD48" s="99"/>
      <c r="AE48" s="99"/>
      <c r="AF48" s="99"/>
      <c r="AG48" s="99"/>
      <c r="AH48" s="99"/>
      <c r="AI48" s="99"/>
      <c r="AJ48" s="99"/>
      <c r="AK48" s="99"/>
      <c r="AL48" s="99"/>
      <c r="AM48" s="99"/>
      <c r="AN48" s="99"/>
      <c r="AO48" s="99"/>
      <c r="AP48" s="99"/>
    </row>
    <row r="49" spans="1:42">
      <c r="A49" s="99"/>
      <c r="B49" s="99"/>
      <c r="C49" s="99"/>
      <c r="D49" s="99"/>
      <c r="E49" s="99"/>
      <c r="F49" s="99"/>
      <c r="G49" s="99"/>
      <c r="H49" s="99"/>
      <c r="I49" s="99"/>
      <c r="J49" s="99"/>
      <c r="K49" s="99"/>
      <c r="L49" s="99"/>
      <c r="M49" s="99"/>
      <c r="N49" s="99"/>
      <c r="O49" s="99"/>
      <c r="P49" s="99"/>
      <c r="Q49" s="99"/>
      <c r="R49" s="99"/>
      <c r="S49" s="99"/>
      <c r="T49" s="99"/>
      <c r="U49" s="99"/>
      <c r="V49" s="99"/>
      <c r="W49" s="99"/>
      <c r="X49" s="99"/>
      <c r="Y49" s="99"/>
      <c r="Z49" s="99"/>
      <c r="AA49" s="99"/>
      <c r="AB49" s="99"/>
      <c r="AC49" s="99"/>
      <c r="AD49" s="99"/>
      <c r="AE49" s="99"/>
      <c r="AF49" s="99"/>
      <c r="AG49" s="99"/>
      <c r="AH49" s="99"/>
      <c r="AI49" s="99"/>
      <c r="AJ49" s="99"/>
      <c r="AK49" s="99"/>
      <c r="AL49" s="99"/>
      <c r="AM49" s="99"/>
      <c r="AN49" s="99"/>
      <c r="AO49" s="99"/>
      <c r="AP49" s="99"/>
    </row>
    <row r="50" spans="1:42">
      <c r="A50" s="99"/>
      <c r="B50" s="99"/>
      <c r="C50" s="99"/>
      <c r="D50" s="99"/>
      <c r="E50" s="99"/>
      <c r="F50" s="99"/>
      <c r="G50" s="99"/>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99"/>
      <c r="AH50" s="99"/>
      <c r="AI50" s="99"/>
      <c r="AJ50" s="99"/>
      <c r="AK50" s="99"/>
      <c r="AL50" s="99"/>
      <c r="AM50" s="99"/>
      <c r="AN50" s="99"/>
      <c r="AO50" s="99"/>
      <c r="AP50" s="99"/>
    </row>
    <row r="51" spans="1:42">
      <c r="A51" s="99"/>
      <c r="B51" s="99"/>
      <c r="C51" s="99"/>
      <c r="D51" s="99"/>
      <c r="E51" s="99"/>
      <c r="F51" s="99"/>
      <c r="G51" s="99"/>
      <c r="H51" s="99"/>
      <c r="I51" s="99"/>
      <c r="J51" s="99"/>
      <c r="K51" s="99"/>
      <c r="L51" s="99"/>
      <c r="M51" s="99"/>
      <c r="N51" s="99"/>
      <c r="O51" s="99"/>
      <c r="P51" s="99"/>
      <c r="Q51" s="99"/>
      <c r="R51" s="99"/>
      <c r="S51" s="99"/>
      <c r="T51" s="99"/>
      <c r="U51" s="99"/>
      <c r="V51" s="99"/>
      <c r="W51" s="99"/>
      <c r="X51" s="99"/>
      <c r="Y51" s="99"/>
      <c r="Z51" s="99"/>
      <c r="AA51" s="99"/>
      <c r="AB51" s="99"/>
      <c r="AC51" s="99"/>
      <c r="AD51" s="99"/>
      <c r="AE51" s="99"/>
      <c r="AF51" s="99"/>
      <c r="AG51" s="99"/>
      <c r="AH51" s="99"/>
      <c r="AI51" s="99"/>
      <c r="AJ51" s="99"/>
      <c r="AK51" s="99"/>
      <c r="AL51" s="99"/>
      <c r="AM51" s="99"/>
      <c r="AN51" s="99"/>
      <c r="AO51" s="99"/>
      <c r="AP51" s="99"/>
    </row>
    <row r="52" spans="1:42">
      <c r="A52" s="99"/>
      <c r="B52" s="99"/>
      <c r="C52" s="99"/>
      <c r="D52" s="99"/>
      <c r="E52" s="99"/>
      <c r="F52" s="99"/>
      <c r="G52" s="99"/>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99"/>
      <c r="AI52" s="99"/>
      <c r="AJ52" s="99"/>
      <c r="AK52" s="99"/>
      <c r="AL52" s="99"/>
      <c r="AM52" s="99"/>
      <c r="AN52" s="99"/>
      <c r="AO52" s="99"/>
      <c r="AP52" s="99"/>
    </row>
    <row r="53" spans="1:42">
      <c r="A53" s="99"/>
      <c r="B53" s="99"/>
      <c r="C53" s="99"/>
      <c r="D53" s="99"/>
      <c r="E53" s="99"/>
      <c r="F53" s="99"/>
      <c r="G53" s="99"/>
      <c r="H53" s="99"/>
      <c r="I53" s="99"/>
      <c r="J53" s="99"/>
      <c r="K53" s="99"/>
      <c r="L53" s="99"/>
      <c r="M53" s="99"/>
      <c r="N53" s="99"/>
      <c r="O53" s="99"/>
      <c r="P53" s="99"/>
      <c r="Q53" s="99"/>
      <c r="R53" s="99"/>
      <c r="S53" s="99"/>
      <c r="T53" s="99"/>
      <c r="U53" s="99"/>
      <c r="V53" s="99"/>
      <c r="W53" s="99"/>
      <c r="X53" s="99"/>
      <c r="Y53" s="99"/>
      <c r="Z53" s="99"/>
      <c r="AA53" s="99"/>
      <c r="AB53" s="99"/>
      <c r="AC53" s="99"/>
      <c r="AD53" s="99"/>
      <c r="AE53" s="99"/>
      <c r="AF53" s="99"/>
      <c r="AG53" s="99"/>
      <c r="AH53" s="99"/>
      <c r="AI53" s="99"/>
      <c r="AJ53" s="99"/>
      <c r="AK53" s="99"/>
      <c r="AL53" s="99"/>
      <c r="AM53" s="99"/>
      <c r="AN53" s="99"/>
      <c r="AO53" s="99"/>
      <c r="AP53" s="99"/>
    </row>
    <row r="54" spans="1:42">
      <c r="A54" s="99"/>
      <c r="B54" s="99"/>
      <c r="C54" s="99"/>
      <c r="D54" s="99"/>
      <c r="E54" s="99"/>
      <c r="F54" s="99"/>
      <c r="G54" s="99"/>
      <c r="H54" s="99"/>
      <c r="I54" s="99"/>
      <c r="J54" s="99"/>
      <c r="K54" s="99"/>
      <c r="L54" s="99"/>
      <c r="M54" s="99"/>
      <c r="N54" s="99"/>
      <c r="O54" s="99"/>
      <c r="P54" s="99"/>
      <c r="Q54" s="99"/>
      <c r="R54" s="99"/>
      <c r="S54" s="99"/>
      <c r="T54" s="99"/>
      <c r="U54" s="99"/>
      <c r="V54" s="99"/>
      <c r="W54" s="99"/>
      <c r="X54" s="99"/>
      <c r="Y54" s="99"/>
      <c r="Z54" s="99"/>
      <c r="AA54" s="99"/>
      <c r="AB54" s="99"/>
      <c r="AC54" s="99"/>
      <c r="AD54" s="99"/>
      <c r="AE54" s="99"/>
      <c r="AF54" s="99"/>
      <c r="AG54" s="99"/>
      <c r="AH54" s="99"/>
      <c r="AI54" s="99"/>
      <c r="AJ54" s="99"/>
      <c r="AK54" s="99"/>
      <c r="AL54" s="99"/>
      <c r="AM54" s="99"/>
      <c r="AN54" s="99"/>
      <c r="AO54" s="99"/>
      <c r="AP54" s="99"/>
    </row>
    <row r="55" spans="1:42">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row>
    <row r="56" spans="1:42">
      <c r="A56" s="99"/>
      <c r="B56" s="99"/>
      <c r="C56" s="99"/>
      <c r="D56" s="99"/>
      <c r="E56" s="99"/>
      <c r="F56" s="99"/>
      <c r="G56" s="99"/>
      <c r="H56" s="99"/>
      <c r="I56" s="99"/>
      <c r="J56" s="99"/>
      <c r="K56" s="99"/>
      <c r="L56" s="99"/>
      <c r="M56" s="99"/>
      <c r="N56" s="99"/>
      <c r="O56" s="99"/>
      <c r="P56" s="99"/>
      <c r="Q56" s="99"/>
      <c r="R56" s="99"/>
      <c r="S56" s="99"/>
      <c r="T56" s="99"/>
      <c r="U56" s="99"/>
      <c r="V56" s="99"/>
      <c r="W56" s="99"/>
      <c r="X56" s="99"/>
      <c r="Y56" s="99"/>
      <c r="Z56" s="99"/>
      <c r="AA56" s="99"/>
      <c r="AB56" s="99"/>
      <c r="AC56" s="99"/>
      <c r="AD56" s="99"/>
      <c r="AE56" s="99"/>
      <c r="AF56" s="99"/>
      <c r="AG56" s="99"/>
      <c r="AH56" s="99"/>
      <c r="AI56" s="99"/>
      <c r="AJ56" s="99"/>
      <c r="AK56" s="99"/>
      <c r="AL56" s="99"/>
      <c r="AM56" s="99"/>
      <c r="AN56" s="99"/>
      <c r="AO56" s="99"/>
      <c r="AP56" s="99"/>
    </row>
    <row r="57" spans="1:42">
      <c r="A57" s="99"/>
      <c r="B57" s="99"/>
      <c r="C57" s="99"/>
      <c r="D57" s="99"/>
      <c r="E57" s="99"/>
      <c r="F57" s="99"/>
      <c r="G57" s="99"/>
      <c r="H57" s="99"/>
      <c r="I57" s="99"/>
      <c r="J57" s="99"/>
      <c r="K57" s="99"/>
      <c r="L57" s="99"/>
      <c r="M57" s="99"/>
      <c r="N57" s="99"/>
      <c r="O57" s="99"/>
      <c r="P57" s="99"/>
      <c r="Q57" s="99"/>
      <c r="R57" s="99"/>
      <c r="S57" s="99"/>
      <c r="T57" s="99"/>
      <c r="U57" s="99"/>
      <c r="V57" s="99"/>
      <c r="W57" s="99"/>
      <c r="X57" s="99"/>
      <c r="Y57" s="99"/>
      <c r="Z57" s="99"/>
      <c r="AA57" s="99"/>
      <c r="AB57" s="99"/>
      <c r="AC57" s="99"/>
      <c r="AD57" s="99"/>
      <c r="AE57" s="99"/>
      <c r="AF57" s="99"/>
      <c r="AG57" s="99"/>
      <c r="AH57" s="99"/>
      <c r="AI57" s="99"/>
      <c r="AJ57" s="99"/>
      <c r="AK57" s="99"/>
      <c r="AL57" s="99"/>
      <c r="AM57" s="99"/>
      <c r="AN57" s="99"/>
      <c r="AO57" s="99"/>
      <c r="AP57" s="99"/>
    </row>
    <row r="58" spans="1:42">
      <c r="A58" s="99"/>
      <c r="B58" s="99"/>
      <c r="C58" s="99"/>
      <c r="D58" s="99"/>
      <c r="E58" s="99"/>
      <c r="F58" s="99"/>
      <c r="G58" s="99"/>
      <c r="H58" s="99"/>
      <c r="I58" s="99"/>
      <c r="J58" s="99"/>
      <c r="K58" s="99"/>
      <c r="L58" s="99"/>
      <c r="M58" s="99"/>
      <c r="N58" s="99"/>
      <c r="O58" s="99"/>
      <c r="P58" s="99"/>
      <c r="Q58" s="99"/>
      <c r="R58" s="99"/>
      <c r="S58" s="99"/>
      <c r="T58" s="99"/>
      <c r="U58" s="99"/>
      <c r="V58" s="99"/>
      <c r="W58" s="99"/>
      <c r="X58" s="99"/>
      <c r="Y58" s="99"/>
      <c r="Z58" s="99"/>
      <c r="AA58" s="99"/>
      <c r="AB58" s="99"/>
      <c r="AC58" s="99"/>
      <c r="AD58" s="99"/>
      <c r="AE58" s="99"/>
      <c r="AF58" s="99"/>
      <c r="AG58" s="99"/>
      <c r="AH58" s="99"/>
      <c r="AI58" s="99"/>
      <c r="AJ58" s="99"/>
      <c r="AK58" s="99"/>
      <c r="AL58" s="99"/>
      <c r="AM58" s="99"/>
      <c r="AN58" s="99"/>
      <c r="AO58" s="99"/>
      <c r="AP58" s="99"/>
    </row>
    <row r="59" spans="1:42">
      <c r="A59" s="99"/>
      <c r="B59" s="99"/>
      <c r="C59" s="99"/>
      <c r="D59" s="99"/>
      <c r="E59" s="99"/>
      <c r="F59" s="99"/>
      <c r="G59" s="99"/>
      <c r="H59" s="99"/>
      <c r="I59" s="99"/>
      <c r="J59" s="99"/>
      <c r="K59" s="99"/>
      <c r="L59" s="99"/>
      <c r="M59" s="99"/>
      <c r="N59" s="99"/>
      <c r="O59" s="99"/>
      <c r="P59" s="99"/>
      <c r="Q59" s="99"/>
      <c r="R59" s="99"/>
      <c r="S59" s="99"/>
      <c r="T59" s="99"/>
      <c r="U59" s="99"/>
      <c r="V59" s="99"/>
      <c r="W59" s="99"/>
      <c r="X59" s="99"/>
      <c r="Y59" s="99"/>
      <c r="Z59" s="99"/>
      <c r="AA59" s="99"/>
      <c r="AB59" s="99"/>
      <c r="AC59" s="99"/>
      <c r="AD59" s="99"/>
      <c r="AE59" s="99"/>
      <c r="AF59" s="99"/>
      <c r="AG59" s="99"/>
      <c r="AH59" s="99"/>
      <c r="AI59" s="99"/>
      <c r="AJ59" s="99"/>
      <c r="AK59" s="99"/>
      <c r="AL59" s="99"/>
      <c r="AM59" s="99"/>
      <c r="AN59" s="99"/>
      <c r="AO59" s="99"/>
      <c r="AP59" s="99"/>
    </row>
    <row r="60" spans="1:42">
      <c r="A60" s="99"/>
      <c r="B60" s="99"/>
      <c r="C60" s="99"/>
      <c r="D60" s="99"/>
      <c r="E60" s="99"/>
      <c r="F60" s="99"/>
      <c r="G60" s="99"/>
      <c r="H60" s="99"/>
      <c r="I60" s="99"/>
      <c r="J60" s="99"/>
      <c r="K60" s="99"/>
      <c r="L60" s="99"/>
      <c r="M60" s="99"/>
      <c r="N60" s="99"/>
      <c r="O60" s="99"/>
      <c r="P60" s="99"/>
      <c r="Q60" s="99"/>
      <c r="R60" s="99"/>
      <c r="S60" s="99"/>
      <c r="T60" s="99"/>
      <c r="U60" s="99"/>
      <c r="V60" s="99"/>
      <c r="W60" s="99"/>
      <c r="X60" s="99"/>
      <c r="Y60" s="99"/>
      <c r="Z60" s="99"/>
      <c r="AA60" s="99"/>
      <c r="AB60" s="99"/>
      <c r="AC60" s="99"/>
      <c r="AD60" s="99"/>
      <c r="AE60" s="99"/>
      <c r="AF60" s="99"/>
      <c r="AG60" s="99"/>
      <c r="AH60" s="99"/>
      <c r="AI60" s="99"/>
      <c r="AJ60" s="99"/>
      <c r="AK60" s="99"/>
      <c r="AL60" s="99"/>
      <c r="AM60" s="99"/>
      <c r="AN60" s="99"/>
      <c r="AO60" s="99"/>
      <c r="AP60" s="99"/>
    </row>
    <row r="61" spans="1:42">
      <c r="A61" s="99"/>
      <c r="B61" s="99"/>
      <c r="C61" s="99"/>
      <c r="D61" s="99"/>
      <c r="E61" s="99"/>
      <c r="F61" s="99"/>
      <c r="G61" s="99"/>
      <c r="H61" s="99"/>
      <c r="I61" s="99"/>
      <c r="J61" s="99"/>
      <c r="K61" s="99"/>
      <c r="L61" s="99"/>
      <c r="M61" s="99"/>
      <c r="N61" s="99"/>
      <c r="O61" s="99"/>
      <c r="P61" s="99"/>
      <c r="Q61" s="99"/>
      <c r="R61" s="99"/>
      <c r="S61" s="99"/>
      <c r="T61" s="99"/>
      <c r="U61" s="99"/>
      <c r="V61" s="99"/>
      <c r="W61" s="99"/>
      <c r="X61" s="99"/>
      <c r="Y61" s="99"/>
      <c r="Z61" s="99"/>
      <c r="AA61" s="99"/>
      <c r="AB61" s="99"/>
      <c r="AC61" s="99"/>
      <c r="AD61" s="99"/>
      <c r="AE61" s="99"/>
      <c r="AF61" s="99"/>
      <c r="AG61" s="99"/>
      <c r="AH61" s="99"/>
      <c r="AI61" s="99"/>
      <c r="AJ61" s="99"/>
      <c r="AK61" s="99"/>
      <c r="AL61" s="99"/>
      <c r="AM61" s="99"/>
      <c r="AN61" s="99"/>
      <c r="AO61" s="99"/>
      <c r="AP61" s="99"/>
    </row>
    <row r="62" spans="1:42">
      <c r="A62" s="99"/>
      <c r="B62" s="99"/>
      <c r="C62" s="99"/>
      <c r="D62" s="99"/>
      <c r="E62" s="99"/>
      <c r="F62" s="99"/>
      <c r="G62" s="99"/>
      <c r="H62" s="99"/>
      <c r="I62" s="99"/>
      <c r="J62" s="99"/>
      <c r="K62" s="99"/>
      <c r="L62" s="99"/>
      <c r="M62" s="99"/>
      <c r="N62" s="99"/>
      <c r="O62" s="99"/>
      <c r="P62" s="99"/>
      <c r="Q62" s="99"/>
      <c r="R62" s="99"/>
      <c r="S62" s="99"/>
      <c r="T62" s="99"/>
      <c r="U62" s="99"/>
      <c r="V62" s="99"/>
      <c r="W62" s="99"/>
      <c r="X62" s="99"/>
      <c r="Y62" s="99"/>
      <c r="Z62" s="99"/>
      <c r="AA62" s="99"/>
      <c r="AB62" s="99"/>
      <c r="AC62" s="99"/>
      <c r="AD62" s="99"/>
      <c r="AE62" s="99"/>
      <c r="AF62" s="99"/>
      <c r="AG62" s="99"/>
      <c r="AH62" s="99"/>
      <c r="AI62" s="99"/>
      <c r="AJ62" s="99"/>
      <c r="AK62" s="99"/>
      <c r="AL62" s="99"/>
      <c r="AM62" s="99"/>
      <c r="AN62" s="99"/>
      <c r="AO62" s="99"/>
      <c r="AP62" s="99"/>
    </row>
    <row r="63" spans="1:42">
      <c r="A63" s="99"/>
      <c r="B63" s="99"/>
      <c r="C63" s="99"/>
      <c r="D63" s="99"/>
      <c r="E63" s="99"/>
      <c r="F63" s="99"/>
      <c r="G63" s="99"/>
      <c r="H63" s="99"/>
      <c r="I63" s="99"/>
      <c r="J63" s="99"/>
      <c r="K63" s="99"/>
      <c r="L63" s="99"/>
      <c r="M63" s="99"/>
      <c r="N63" s="99"/>
      <c r="O63" s="99"/>
      <c r="P63" s="99"/>
      <c r="Q63" s="99"/>
      <c r="R63" s="99"/>
      <c r="S63" s="99"/>
      <c r="T63" s="99"/>
      <c r="U63" s="99"/>
      <c r="V63" s="99"/>
      <c r="W63" s="99"/>
      <c r="X63" s="99"/>
      <c r="Y63" s="99"/>
      <c r="Z63" s="99"/>
      <c r="AA63" s="99"/>
      <c r="AB63" s="99"/>
      <c r="AC63" s="99"/>
      <c r="AD63" s="99"/>
      <c r="AE63" s="99"/>
      <c r="AF63" s="99"/>
      <c r="AG63" s="99"/>
      <c r="AH63" s="99"/>
      <c r="AI63" s="99"/>
      <c r="AJ63" s="99"/>
      <c r="AK63" s="99"/>
      <c r="AL63" s="99"/>
      <c r="AM63" s="99"/>
      <c r="AN63" s="99"/>
      <c r="AO63" s="99"/>
      <c r="AP63" s="99"/>
    </row>
    <row r="64" spans="1:42">
      <c r="A64" s="99"/>
      <c r="B64" s="99"/>
      <c r="C64" s="99"/>
      <c r="D64" s="99"/>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99"/>
      <c r="AG64" s="99"/>
      <c r="AH64" s="99"/>
      <c r="AI64" s="99"/>
      <c r="AJ64" s="99"/>
      <c r="AK64" s="99"/>
      <c r="AL64" s="99"/>
      <c r="AM64" s="99"/>
      <c r="AN64" s="99"/>
      <c r="AO64" s="99"/>
      <c r="AP64" s="99"/>
    </row>
    <row r="65" spans="1:42">
      <c r="A65" s="99"/>
      <c r="B65" s="99"/>
      <c r="C65" s="99"/>
      <c r="D65" s="99"/>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99"/>
      <c r="AG65" s="99"/>
      <c r="AH65" s="99"/>
      <c r="AI65" s="99"/>
      <c r="AJ65" s="99"/>
      <c r="AK65" s="99"/>
      <c r="AL65" s="99"/>
      <c r="AM65" s="99"/>
      <c r="AN65" s="99"/>
      <c r="AO65" s="99"/>
      <c r="AP65" s="99"/>
    </row>
    <row r="66" spans="1:42">
      <c r="A66" s="99"/>
      <c r="B66" s="99"/>
      <c r="C66" s="99"/>
      <c r="D66" s="99"/>
      <c r="E66" s="99"/>
      <c r="F66" s="99"/>
      <c r="G66" s="99"/>
      <c r="H66" s="99"/>
      <c r="I66" s="99"/>
      <c r="J66" s="99"/>
      <c r="K66" s="99"/>
      <c r="L66" s="99"/>
      <c r="M66" s="99"/>
      <c r="N66" s="99"/>
      <c r="O66" s="99"/>
      <c r="P66" s="99"/>
      <c r="Q66" s="99"/>
      <c r="R66" s="99"/>
      <c r="S66" s="99"/>
      <c r="T66" s="99"/>
      <c r="U66" s="99"/>
      <c r="V66" s="99"/>
      <c r="W66" s="99"/>
      <c r="X66" s="99"/>
      <c r="Y66" s="99"/>
      <c r="Z66" s="99"/>
      <c r="AA66" s="99"/>
      <c r="AB66" s="99"/>
      <c r="AC66" s="99"/>
      <c r="AD66" s="99"/>
      <c r="AE66" s="99"/>
      <c r="AF66" s="99"/>
      <c r="AG66" s="99"/>
      <c r="AH66" s="99"/>
      <c r="AI66" s="99"/>
      <c r="AJ66" s="99"/>
      <c r="AK66" s="99"/>
      <c r="AL66" s="99"/>
      <c r="AM66" s="99"/>
      <c r="AN66" s="99"/>
      <c r="AO66" s="99"/>
      <c r="AP66" s="99"/>
    </row>
    <row r="67" spans="1:42">
      <c r="A67" s="99"/>
      <c r="B67" s="99"/>
      <c r="C67" s="99"/>
      <c r="D67" s="99"/>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c r="AE67" s="99"/>
      <c r="AF67" s="99"/>
      <c r="AG67" s="99"/>
      <c r="AH67" s="99"/>
      <c r="AI67" s="99"/>
      <c r="AJ67" s="99"/>
      <c r="AK67" s="99"/>
      <c r="AL67" s="99"/>
      <c r="AM67" s="99"/>
      <c r="AN67" s="99"/>
      <c r="AO67" s="99"/>
      <c r="AP67" s="99"/>
    </row>
    <row r="68" spans="1:42">
      <c r="A68" s="99"/>
      <c r="B68" s="99"/>
      <c r="C68" s="99"/>
      <c r="D68" s="99"/>
      <c r="E68" s="99"/>
      <c r="F68" s="99"/>
      <c r="G68" s="99"/>
      <c r="H68" s="99"/>
      <c r="I68" s="99"/>
      <c r="J68" s="99"/>
      <c r="K68" s="99"/>
      <c r="L68" s="99"/>
      <c r="M68" s="99"/>
      <c r="N68" s="99"/>
      <c r="O68" s="99"/>
      <c r="P68" s="99"/>
      <c r="Q68" s="99"/>
      <c r="R68" s="99"/>
      <c r="S68" s="99"/>
      <c r="T68" s="99"/>
      <c r="U68" s="99"/>
      <c r="V68" s="99"/>
      <c r="W68" s="99"/>
      <c r="X68" s="99"/>
      <c r="Y68" s="99"/>
      <c r="Z68" s="99"/>
      <c r="AA68" s="99"/>
      <c r="AB68" s="99"/>
      <c r="AC68" s="99"/>
      <c r="AD68" s="99"/>
      <c r="AE68" s="99"/>
      <c r="AF68" s="99"/>
      <c r="AG68" s="99"/>
      <c r="AH68" s="99"/>
      <c r="AI68" s="99"/>
      <c r="AJ68" s="99"/>
      <c r="AK68" s="99"/>
      <c r="AL68" s="99"/>
      <c r="AM68" s="99"/>
      <c r="AN68" s="99"/>
      <c r="AO68" s="99"/>
      <c r="AP68" s="99"/>
    </row>
    <row r="69" spans="1:42">
      <c r="A69" s="99"/>
      <c r="B69" s="99"/>
      <c r="C69" s="99"/>
      <c r="D69" s="99"/>
      <c r="E69" s="99"/>
      <c r="F69" s="99"/>
      <c r="G69" s="99"/>
      <c r="H69" s="99"/>
      <c r="I69" s="99"/>
      <c r="J69" s="99"/>
      <c r="K69" s="99"/>
      <c r="L69" s="99"/>
      <c r="M69" s="99"/>
      <c r="N69" s="99"/>
      <c r="O69" s="99"/>
      <c r="P69" s="99"/>
      <c r="Q69" s="99"/>
      <c r="R69" s="99"/>
      <c r="S69" s="99"/>
      <c r="T69" s="99"/>
      <c r="U69" s="99"/>
      <c r="V69" s="99"/>
      <c r="W69" s="99"/>
      <c r="X69" s="99"/>
      <c r="Y69" s="99"/>
      <c r="Z69" s="99"/>
      <c r="AA69" s="99"/>
      <c r="AB69" s="99"/>
      <c r="AC69" s="99"/>
      <c r="AD69" s="99"/>
      <c r="AE69" s="99"/>
      <c r="AF69" s="99"/>
      <c r="AG69" s="99"/>
      <c r="AH69" s="99"/>
      <c r="AI69" s="99"/>
      <c r="AJ69" s="99"/>
      <c r="AK69" s="99"/>
      <c r="AL69" s="99"/>
      <c r="AM69" s="99"/>
      <c r="AN69" s="99"/>
      <c r="AO69" s="99"/>
      <c r="AP69" s="99"/>
    </row>
    <row r="70" spans="1:42">
      <c r="A70" s="99"/>
      <c r="B70" s="99"/>
      <c r="C70" s="99"/>
      <c r="D70" s="99"/>
      <c r="E70" s="99"/>
      <c r="F70" s="99"/>
      <c r="G70" s="99"/>
      <c r="H70" s="99"/>
      <c r="I70" s="99"/>
      <c r="J70" s="99"/>
      <c r="K70" s="99"/>
      <c r="L70" s="99"/>
      <c r="M70" s="99"/>
      <c r="N70" s="99"/>
      <c r="O70" s="99"/>
      <c r="P70" s="99"/>
      <c r="Q70" s="99"/>
      <c r="R70" s="99"/>
      <c r="S70" s="99"/>
      <c r="T70" s="99"/>
      <c r="U70" s="99"/>
      <c r="V70" s="99"/>
      <c r="W70" s="99"/>
      <c r="X70" s="99"/>
      <c r="Y70" s="99"/>
      <c r="Z70" s="99"/>
      <c r="AA70" s="99"/>
      <c r="AB70" s="99"/>
      <c r="AC70" s="99"/>
      <c r="AD70" s="99"/>
      <c r="AE70" s="99"/>
      <c r="AF70" s="99"/>
      <c r="AG70" s="99"/>
      <c r="AH70" s="99"/>
      <c r="AI70" s="99"/>
      <c r="AJ70" s="99"/>
      <c r="AK70" s="99"/>
      <c r="AL70" s="99"/>
      <c r="AM70" s="99"/>
      <c r="AN70" s="99"/>
      <c r="AO70" s="99"/>
      <c r="AP70" s="99"/>
    </row>
    <row r="71" spans="1:42">
      <c r="A71" s="99"/>
      <c r="B71" s="99"/>
      <c r="C71" s="99"/>
      <c r="D71" s="99"/>
      <c r="E71" s="99"/>
      <c r="F71" s="99"/>
      <c r="G71" s="99"/>
      <c r="H71" s="99"/>
      <c r="I71" s="99"/>
      <c r="J71" s="99"/>
      <c r="K71" s="99"/>
      <c r="L71" s="99"/>
      <c r="M71" s="99"/>
      <c r="N71" s="99"/>
      <c r="O71" s="99"/>
      <c r="P71" s="99"/>
      <c r="Q71" s="99"/>
      <c r="R71" s="99"/>
      <c r="S71" s="99"/>
      <c r="T71" s="99"/>
      <c r="U71" s="99"/>
      <c r="V71" s="99"/>
      <c r="W71" s="99"/>
      <c r="X71" s="99"/>
      <c r="Y71" s="99"/>
      <c r="Z71" s="99"/>
      <c r="AA71" s="99"/>
      <c r="AB71" s="99"/>
      <c r="AC71" s="99"/>
      <c r="AD71" s="99"/>
      <c r="AE71" s="99"/>
      <c r="AF71" s="99"/>
      <c r="AG71" s="99"/>
      <c r="AH71" s="99"/>
      <c r="AI71" s="99"/>
      <c r="AJ71" s="99"/>
      <c r="AK71" s="99"/>
      <c r="AL71" s="99"/>
      <c r="AM71" s="99"/>
      <c r="AN71" s="99"/>
      <c r="AO71" s="99"/>
      <c r="AP71" s="99"/>
    </row>
    <row r="72" spans="1:42">
      <c r="A72" s="99"/>
      <c r="B72" s="99"/>
      <c r="C72" s="99"/>
      <c r="D72" s="99"/>
      <c r="E72" s="99"/>
      <c r="F72" s="99"/>
      <c r="G72" s="99"/>
      <c r="H72" s="99"/>
      <c r="I72" s="99"/>
      <c r="J72" s="99"/>
      <c r="K72" s="99"/>
      <c r="L72" s="99"/>
      <c r="M72" s="99"/>
      <c r="N72" s="99"/>
      <c r="O72" s="99"/>
      <c r="P72" s="99"/>
      <c r="Q72" s="99"/>
      <c r="R72" s="99"/>
      <c r="S72" s="99"/>
      <c r="T72" s="99"/>
      <c r="U72" s="99"/>
      <c r="V72" s="99"/>
      <c r="W72" s="99"/>
      <c r="X72" s="99"/>
      <c r="Y72" s="99"/>
      <c r="Z72" s="99"/>
      <c r="AA72" s="99"/>
      <c r="AB72" s="99"/>
      <c r="AC72" s="99"/>
      <c r="AD72" s="99"/>
      <c r="AE72" s="99"/>
      <c r="AF72" s="99"/>
      <c r="AG72" s="99"/>
      <c r="AH72" s="99"/>
      <c r="AI72" s="99"/>
      <c r="AJ72" s="99"/>
      <c r="AK72" s="99"/>
      <c r="AL72" s="99"/>
      <c r="AM72" s="99"/>
      <c r="AN72" s="99"/>
      <c r="AO72" s="99"/>
      <c r="AP72" s="99"/>
    </row>
    <row r="73" spans="1:42">
      <c r="A73" s="99"/>
      <c r="B73" s="99"/>
      <c r="C73" s="99"/>
      <c r="D73" s="99"/>
      <c r="E73" s="99"/>
      <c r="F73" s="99"/>
      <c r="G73" s="99"/>
      <c r="H73" s="99"/>
      <c r="I73" s="99"/>
      <c r="J73" s="99"/>
      <c r="K73" s="99"/>
      <c r="L73" s="99"/>
      <c r="M73" s="99"/>
      <c r="N73" s="99"/>
      <c r="O73" s="99"/>
      <c r="P73" s="99"/>
      <c r="Q73" s="99"/>
      <c r="R73" s="99"/>
      <c r="S73" s="99"/>
      <c r="T73" s="99"/>
      <c r="U73" s="99"/>
      <c r="V73" s="99"/>
      <c r="W73" s="99"/>
      <c r="X73" s="99"/>
      <c r="Y73" s="99"/>
      <c r="Z73" s="99"/>
      <c r="AA73" s="99"/>
      <c r="AB73" s="99"/>
      <c r="AC73" s="99"/>
      <c r="AD73" s="99"/>
      <c r="AE73" s="99"/>
      <c r="AF73" s="99"/>
      <c r="AG73" s="99"/>
      <c r="AH73" s="99"/>
      <c r="AI73" s="99"/>
      <c r="AJ73" s="99"/>
      <c r="AK73" s="99"/>
      <c r="AL73" s="99"/>
      <c r="AM73" s="99"/>
      <c r="AN73" s="99"/>
      <c r="AO73" s="99"/>
      <c r="AP73" s="99"/>
    </row>
    <row r="74" spans="1:42">
      <c r="A74" s="99"/>
      <c r="B74" s="99"/>
      <c r="C74" s="99"/>
      <c r="D74" s="99"/>
      <c r="E74" s="99"/>
      <c r="F74" s="99"/>
      <c r="G74" s="99"/>
      <c r="H74" s="99"/>
      <c r="I74" s="99"/>
      <c r="J74" s="99"/>
      <c r="K74" s="99"/>
      <c r="L74" s="99"/>
      <c r="M74" s="99"/>
      <c r="N74" s="99"/>
      <c r="O74" s="99"/>
      <c r="P74" s="99"/>
      <c r="Q74" s="99"/>
      <c r="R74" s="99"/>
      <c r="S74" s="99"/>
      <c r="T74" s="99"/>
      <c r="U74" s="99"/>
      <c r="V74" s="99"/>
      <c r="W74" s="99"/>
      <c r="X74" s="99"/>
      <c r="Y74" s="99"/>
      <c r="Z74" s="99"/>
      <c r="AA74" s="99"/>
      <c r="AB74" s="99"/>
      <c r="AC74" s="99"/>
      <c r="AD74" s="99"/>
      <c r="AE74" s="99"/>
      <c r="AF74" s="99"/>
      <c r="AG74" s="99"/>
      <c r="AH74" s="99"/>
      <c r="AI74" s="99"/>
      <c r="AJ74" s="99"/>
      <c r="AK74" s="99"/>
      <c r="AL74" s="99"/>
      <c r="AM74" s="99"/>
      <c r="AN74" s="99"/>
      <c r="AO74" s="99"/>
      <c r="AP74" s="99"/>
    </row>
  </sheetData>
  <mergeCells count="1">
    <mergeCell ref="A1:Q3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3A3478-B0F6-4CF8-A996-7B54717F8C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Week-1</vt:lpstr>
      <vt:lpstr>Week-2</vt:lpstr>
      <vt:lpstr>Week-3</vt:lpstr>
      <vt:lpstr>Week-4</vt:lpstr>
      <vt:lpstr>Week-5</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Edmar Beatingo</dc:creator>
  <cp:lastModifiedBy>Edmar Beatingo</cp:lastModifiedBy>
  <dcterms:created xsi:type="dcterms:W3CDTF">2023-06-21T16:49:58Z</dcterms:created>
  <dcterms:modified xsi:type="dcterms:W3CDTF">2023-06-28T04:10:33Z</dcterms:modified>
</cp:coreProperties>
</file>