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04ff08deb8de49/Documents/Research/BPP_PSID_TimeAgg/Code/"/>
    </mc:Choice>
  </mc:AlternateContent>
  <xr:revisionPtr revIDLastSave="0" documentId="8_{974439A1-9A63-4DFD-A46C-3DC8D6AACB11}" xr6:coauthVersionLast="45" xr6:coauthVersionMax="45" xr10:uidLastSave="{00000000-0000-0000-0000-000000000000}"/>
  <bookViews>
    <workbookView xWindow="0" yWindow="756" windowWidth="13122" windowHeight="11208" xr2:uid="{EDB8A96C-16FB-42C3-BD4F-F56DD195E770}"/>
  </bookViews>
  <sheets>
    <sheet name="Sheet1" sheetId="1" r:id="rId1"/>
  </sheets>
  <definedNames>
    <definedName name="e1t">Sheet1!$G$24</definedName>
    <definedName name="e2t">Sheet1!$G$25</definedName>
    <definedName name="e3t">Sheet1!$G$26</definedName>
    <definedName name="e4t">Sheet1!$G$27</definedName>
    <definedName name="M">Sheet1!$E$6</definedName>
    <definedName name="phi">Sheet1!$E$4</definedName>
    <definedName name="theta">Sheet1!$E$5</definedName>
    <definedName name="zeta2">Sheet1!$E$11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8" i="1" l="1"/>
  <c r="T17" i="1"/>
  <c r="T16" i="1"/>
  <c r="T15" i="1"/>
  <c r="T14" i="1"/>
  <c r="Q12" i="1"/>
  <c r="M9" i="1"/>
  <c r="M8" i="1"/>
  <c r="G27" i="1"/>
  <c r="G26" i="1"/>
  <c r="G25" i="1"/>
  <c r="G24" i="1"/>
  <c r="O13" i="1" s="1"/>
  <c r="K24" i="1"/>
  <c r="J24" i="1"/>
  <c r="M23" i="1"/>
  <c r="L23" i="1"/>
  <c r="K23" i="1"/>
  <c r="M22" i="1"/>
  <c r="L22" i="1"/>
  <c r="K22" i="1"/>
  <c r="J23" i="1"/>
  <c r="J22" i="1"/>
  <c r="J21" i="1"/>
  <c r="N21" i="1" s="1"/>
  <c r="I15" i="1"/>
  <c r="K15" i="1"/>
  <c r="J15" i="1"/>
  <c r="K14" i="1"/>
  <c r="J14" i="1"/>
  <c r="I14" i="1"/>
  <c r="H16" i="1"/>
  <c r="L16" i="1" s="1"/>
  <c r="H15" i="1"/>
  <c r="H14" i="1"/>
  <c r="H11" i="1"/>
  <c r="H5" i="1"/>
  <c r="H4" i="1"/>
  <c r="E11" i="1"/>
  <c r="E13" i="1" s="1"/>
  <c r="E8" i="1"/>
  <c r="E20" i="1"/>
  <c r="E19" i="1"/>
  <c r="E9" i="1"/>
  <c r="U14" i="1" l="1"/>
  <c r="V18" i="1"/>
  <c r="S14" i="1"/>
  <c r="V16" i="1"/>
  <c r="V15" i="1"/>
  <c r="V17" i="1"/>
  <c r="S15" i="1"/>
  <c r="S16" i="1"/>
  <c r="S17" i="1"/>
  <c r="O17" i="1" s="1"/>
  <c r="S18" i="1"/>
  <c r="V14" i="1"/>
  <c r="U15" i="1"/>
  <c r="U16" i="1"/>
  <c r="U17" i="1"/>
  <c r="U18" i="1"/>
  <c r="Q13" i="1"/>
  <c r="R25" i="1" s="1"/>
  <c r="Q14" i="1"/>
  <c r="R24" i="1"/>
  <c r="Q19" i="1"/>
  <c r="J8" i="1"/>
  <c r="Q11" i="1"/>
  <c r="R12" i="1"/>
  <c r="R11" i="1"/>
  <c r="O12" i="1"/>
  <c r="J7" i="1"/>
  <c r="M10" i="1"/>
  <c r="L6" i="1"/>
  <c r="M6" i="1"/>
  <c r="N6" i="1"/>
  <c r="L7" i="1"/>
  <c r="G30" i="1"/>
  <c r="G29" i="1"/>
  <c r="N24" i="1"/>
  <c r="N23" i="1"/>
  <c r="N22" i="1"/>
  <c r="L14" i="1"/>
  <c r="L15" i="1"/>
  <c r="H6" i="1"/>
  <c r="E14" i="1"/>
  <c r="O14" i="1" l="1"/>
  <c r="O16" i="1"/>
  <c r="O15" i="1"/>
  <c r="O18" i="1"/>
  <c r="J9" i="1"/>
  <c r="R10" i="1"/>
  <c r="Q10" i="1"/>
  <c r="H30" i="1"/>
  <c r="G31" i="1"/>
  <c r="N25" i="1"/>
  <c r="L17" i="1"/>
  <c r="H21" i="1" s="1"/>
</calcChain>
</file>

<file path=xl/sharedStrings.xml><?xml version="1.0" encoding="utf-8"?>
<sst xmlns="http://schemas.openxmlformats.org/spreadsheetml/2006/main" count="26" uniqueCount="25">
  <si>
    <t>phi</t>
  </si>
  <si>
    <t>theta</t>
  </si>
  <si>
    <t>M</t>
  </si>
  <si>
    <t>zeta2</t>
  </si>
  <si>
    <t>text cov</t>
  </si>
  <si>
    <t>text var</t>
  </si>
  <si>
    <t>code var</t>
  </si>
  <si>
    <t>code cov</t>
  </si>
  <si>
    <t>outside</t>
  </si>
  <si>
    <t>inside</t>
  </si>
  <si>
    <t>First term var</t>
  </si>
  <si>
    <t>Third term</t>
  </si>
  <si>
    <t>Second term</t>
  </si>
  <si>
    <t>Total</t>
  </si>
  <si>
    <t>e1t</t>
  </si>
  <si>
    <t>e2t</t>
  </si>
  <si>
    <t>e3t</t>
  </si>
  <si>
    <t>e4t</t>
  </si>
  <si>
    <t>cov1</t>
  </si>
  <si>
    <t>var</t>
  </si>
  <si>
    <t>cov2</t>
  </si>
  <si>
    <t>cov3</t>
  </si>
  <si>
    <t>cov4</t>
  </si>
  <si>
    <t>cov2 calcs</t>
  </si>
  <si>
    <t>cov1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</si>
</sst>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D782-43FB-4037-95C7-D472A69C5B29}">
  <dimension ref="D4:V31"/>
  <sheetViews>
    <sheetView tabSelected="1" topLeftCell="K1" workbookViewId="0">
      <selection activeCell="O15" sqref="O15"/>
    </sheetView>
  </sheetViews>
  <sheetFormatPr defaultRowHeight="14.4" x14ac:dyDescent="0.55000000000000004"/>
  <cols>
    <col min="7" max="7" width="12.5234375" customWidth="1"/>
    <col min="12" max="12" width="11.68359375" bestFit="1" customWidth="1"/>
  </cols>
  <sheetData>
    <row r="4" spans="4:22" x14ac:dyDescent="0.55000000000000004">
      <c r="D4" t="s">
        <v>0</v>
      </c>
      <c r="E4">
        <v>0.4</v>
      </c>
      <c r="G4" t="s">
        <v>8</v>
      </c>
      <c r="H4">
        <f>1/(1-EXP(-theta))^2</f>
        <v>2.5026503010771188</v>
      </c>
    </row>
    <row r="5" spans="4:22" x14ac:dyDescent="0.55000000000000004">
      <c r="D5" t="s">
        <v>1</v>
      </c>
      <c r="E5">
        <v>1</v>
      </c>
      <c r="G5" t="s">
        <v>9</v>
      </c>
      <c r="H5">
        <f>1-2/theta*(1-EXP(-theta)) + 1/(2*theta)*(1-EXP(-2*theta))</f>
        <v>0.16809124072457832</v>
      </c>
    </row>
    <row r="6" spans="4:22" x14ac:dyDescent="0.55000000000000004">
      <c r="D6" t="s">
        <v>2</v>
      </c>
      <c r="E6">
        <v>2</v>
      </c>
      <c r="G6" t="s">
        <v>10</v>
      </c>
      <c r="H6">
        <f>H4*H5</f>
        <v>0.42067359420779238</v>
      </c>
      <c r="L6">
        <f>-(1-e2t)/(2*theta)*(2-e1t) + 1/theta*(1-e1t)</f>
        <v>-7.3497971533040385E-2</v>
      </c>
      <c r="M6">
        <f>1/(2*theta)*(2-2*e1t-(1-e2t)*(2-e1t))</f>
        <v>-7.3497971533040385E-2</v>
      </c>
      <c r="N6">
        <f>1/(2*theta)*(-2*e1t+e1t+2*e2t-e3t)</f>
        <v>-7.349797153304044E-2</v>
      </c>
    </row>
    <row r="7" spans="4:22" x14ac:dyDescent="0.55000000000000004">
      <c r="J7">
        <f>(1-e1t)/(2*theta)</f>
        <v>0.31606027941427883</v>
      </c>
      <c r="L7">
        <f>1/(2*theta)*e1t*(1-e1t)^2</f>
        <v>7.349797153304044E-2</v>
      </c>
    </row>
    <row r="8" spans="4:22" x14ac:dyDescent="0.55000000000000004">
      <c r="D8" t="s">
        <v>4</v>
      </c>
      <c r="E8">
        <f>-(phi^2)*theta/2*EXP(-theta*(M-1))</f>
        <v>-2.9430355293715394E-2</v>
      </c>
      <c r="J8">
        <f>(1+2*e2t-e1t)*e1t^(M-1) -(1-e1t)</f>
        <v>-0.30000226415800013</v>
      </c>
      <c r="M8">
        <f>1/(2*theta*(1-ET1)^2)</f>
        <v>0.5</v>
      </c>
    </row>
    <row r="9" spans="4:22" x14ac:dyDescent="0.55000000000000004">
      <c r="D9" t="s">
        <v>5</v>
      </c>
      <c r="E9">
        <f>phi^2*theta/(1-EXP(-theta))</f>
        <v>0.25311627309909229</v>
      </c>
      <c r="J9">
        <f>J7*J8</f>
        <v>-9.4818799434693804E-2</v>
      </c>
      <c r="M9">
        <f>-2*theta+4*ET2-ET3-ET71+4</f>
        <v>2</v>
      </c>
      <c r="Q9" t="s">
        <v>23</v>
      </c>
    </row>
    <row r="10" spans="4:22" x14ac:dyDescent="0.55000000000000004">
      <c r="M10">
        <f>M9/M8</f>
        <v>4</v>
      </c>
      <c r="Q10" s="1">
        <f>SUM(Q11:Q14)</f>
        <v>-0.19978820044686404</v>
      </c>
      <c r="R10" s="1">
        <f>SUM(R11:R14)</f>
        <v>-9.4818799434693846E-2</v>
      </c>
    </row>
    <row r="11" spans="4:22" x14ac:dyDescent="0.55000000000000004">
      <c r="D11" t="s">
        <v>3</v>
      </c>
      <c r="E11">
        <f>theta*(phi^2)/(2*(1-EXP(-theta))^2)</f>
        <v>0.20021202408616953</v>
      </c>
      <c r="G11" t="s">
        <v>11</v>
      </c>
      <c r="H11">
        <f>1/(2*theta)*(1-EXP(-theta))^2</f>
        <v>0.19978820044686402</v>
      </c>
      <c r="Q11">
        <f>-1/theta*(1-e1t)*e1t^(M-2) + 1/(2*theta)*(1-e2t)*e1t^(M-2)</f>
        <v>-0.19978820044686402</v>
      </c>
      <c r="R11">
        <f>-((1-e1t)^2)/(2*theta)*(e1t^(M-2)+1)</f>
        <v>-0.39957640089372803</v>
      </c>
    </row>
    <row r="12" spans="4:22" x14ac:dyDescent="0.55000000000000004">
      <c r="N12" s="2" t="s">
        <v>19</v>
      </c>
      <c r="O12" s="3">
        <f>2/(1-e1t)^2 - (3-e1t)/(theta*(1-e1t))</f>
        <v>0.84134718841558431</v>
      </c>
      <c r="Q12">
        <f>-(2-e1t)*e1t^(M-1)/(2*theta)*(1-e2t)</f>
        <v>-0.25958255062963914</v>
      </c>
      <c r="R12">
        <f>(1-e1t)/(2*theta)*(e1t^(-1) +2*e2t -e1t)*e1t^(M-1)</f>
        <v>0.30475760145903419</v>
      </c>
    </row>
    <row r="13" spans="4:22" x14ac:dyDescent="0.55000000000000004">
      <c r="D13" t="s">
        <v>7</v>
      </c>
      <c r="E13">
        <f>zeta2* (EXP(-(M)*theta)*(1-EXP(-2*theta))*(1-EXP(theta))  + EXP(-theta*(M+2))*(1-EXP(theta))^2   )</f>
        <v>-2.9430355293715398E-2</v>
      </c>
      <c r="G13" t="s">
        <v>12</v>
      </c>
      <c r="N13" s="4" t="s">
        <v>18</v>
      </c>
      <c r="O13" s="5">
        <f>1/(2*theta)*(2-e1t) - 1/(1-e1t)^2*(1-(1-e1t)/theta)</f>
        <v>-0.10461331479351355</v>
      </c>
      <c r="Q13">
        <f>1/theta*e1t^(M-1)*(1-e1t)</f>
        <v>0.23254415793482963</v>
      </c>
    </row>
    <row r="14" spans="4:22" x14ac:dyDescent="0.55000000000000004">
      <c r="D14" t="s">
        <v>6</v>
      </c>
      <c r="E14">
        <f xml:space="preserve"> zeta2*((1-EXP(-2*theta))  +  EXP(-2*theta)*(1-EXP(theta))^2  )</f>
        <v>0.25311627309909224</v>
      </c>
      <c r="G14" t="s">
        <v>8</v>
      </c>
      <c r="H14">
        <f>1/(1-EXP(-theta))^2</f>
        <v>2.5026503010771188</v>
      </c>
      <c r="I14">
        <f>(2-EXP(-theta))^2</f>
        <v>2.6638175185508435</v>
      </c>
      <c r="J14">
        <f>1/(2*theta)</f>
        <v>0.5</v>
      </c>
      <c r="K14">
        <f>1-EXP(-2*theta)</f>
        <v>0.8646647167633873</v>
      </c>
      <c r="L14">
        <f>K14*J14*I14*H14</f>
        <v>2.8821885064224624</v>
      </c>
      <c r="N14" s="4" t="s">
        <v>20</v>
      </c>
      <c r="O14" s="5">
        <f>SUM(S14:V14)</f>
        <v>-0.19978820044686404</v>
      </c>
      <c r="P14">
        <v>2</v>
      </c>
      <c r="Q14">
        <f>((1-e1t)^2)/(2*theta)*e1t^M</f>
        <v>2.7038392694809493E-2</v>
      </c>
      <c r="S14" s="2">
        <f>-1/theta*(1-e1t)*e1t^(P14-2) + 1/(2*theta)*(1-e2t)*e1t^(P14-2)</f>
        <v>-0.19978820044686402</v>
      </c>
      <c r="T14" s="8">
        <f>-(2-e1t)*e1t^(P14-1)/(2*theta)*(1-e2t)</f>
        <v>-0.25958255062963914</v>
      </c>
      <c r="U14" s="8">
        <f>1/theta*e1t^(P14-1)*(1-e1t)</f>
        <v>0.23254415793482963</v>
      </c>
      <c r="V14" s="3">
        <f>((1-e1t)^2)/(2*theta)*e1t^P14</f>
        <v>2.7038392694809493E-2</v>
      </c>
    </row>
    <row r="15" spans="4:22" x14ac:dyDescent="0.55000000000000004">
      <c r="H15">
        <f>1/(1-EXP(-theta))^2</f>
        <v>2.5026503010771188</v>
      </c>
      <c r="I15">
        <f>-2*(2-EXP(-theta))</f>
        <v>-3.2642411176571153</v>
      </c>
      <c r="J15">
        <f>1/theta</f>
        <v>1</v>
      </c>
      <c r="K15">
        <f>1-EXP(-theta)</f>
        <v>0.63212055882855767</v>
      </c>
      <c r="L15">
        <f t="shared" ref="L15:L16" si="0">K15*J15*I15*H15</f>
        <v>-5.1639534137386525</v>
      </c>
      <c r="N15" s="4" t="s">
        <v>21</v>
      </c>
      <c r="O15" s="5">
        <f t="shared" ref="O15:O18" si="1">SUM(S15:V15)</f>
        <v>-7.349797153304044E-2</v>
      </c>
      <c r="P15">
        <v>3</v>
      </c>
      <c r="S15" s="4">
        <f>-1/theta*(1-e1t)*e1t^(P15-2) + 1/(2*theta)*(1-e2t)*e1t^(P15-2)</f>
        <v>-7.349797153304044E-2</v>
      </c>
      <c r="T15" s="8">
        <f>-(2-e1t)*e1t^(P15-1)/(2*theta)*(1-e2t)</f>
        <v>-9.5495083663489272E-2</v>
      </c>
      <c r="U15" s="9">
        <f>1/theta*e1t^(P15-1)*(1-e1t)</f>
        <v>8.5548214868748751E-2</v>
      </c>
      <c r="V15" s="5">
        <f>((1-e1t)^2)/(2*theta)*e1t^P15</f>
        <v>9.9468687947405262E-3</v>
      </c>
    </row>
    <row r="16" spans="4:22" x14ac:dyDescent="0.55000000000000004">
      <c r="H16">
        <f>1/(1-EXP(-theta))^2</f>
        <v>2.5026503010771188</v>
      </c>
      <c r="I16">
        <v>1</v>
      </c>
      <c r="J16">
        <v>1</v>
      </c>
      <c r="K16">
        <v>1</v>
      </c>
      <c r="L16">
        <f t="shared" si="0"/>
        <v>2.5026503010771188</v>
      </c>
      <c r="N16" s="6" t="s">
        <v>22</v>
      </c>
      <c r="O16" s="5">
        <f t="shared" si="1"/>
        <v>-2.7038392694809496E-2</v>
      </c>
      <c r="P16">
        <v>4</v>
      </c>
      <c r="S16" s="4">
        <f>-1/theta*(1-e1t)*e1t^(P16-2) + 1/(2*theta)*(1-e2t)*e1t^(P16-2)</f>
        <v>-2.7038392694809489E-2</v>
      </c>
      <c r="T16" s="8">
        <f>-(2-e1t)*e1t^(P16-1)/(2*theta)*(1-e2t)</f>
        <v>-3.5130678012744575E-2</v>
      </c>
      <c r="U16" s="9">
        <f>1/theta*e1t^(P16-1)*(1-e1t)</f>
        <v>3.1471429479129766E-2</v>
      </c>
      <c r="V16" s="5">
        <f>((1-e1t)^2)/(2*theta)*e1t^P16</f>
        <v>3.6592485336148024E-3</v>
      </c>
    </row>
    <row r="17" spans="5:22" x14ac:dyDescent="0.55000000000000004">
      <c r="L17">
        <f>SUM(L14:L16)</f>
        <v>0.22088539376092875</v>
      </c>
      <c r="O17" s="5">
        <f t="shared" si="1"/>
        <v>-9.9468687947405227E-3</v>
      </c>
      <c r="P17">
        <v>5</v>
      </c>
      <c r="S17" s="4">
        <f>-1/theta*(1-e1t)*e1t^(P17-2) + 1/(2*theta)*(1-e2t)*e1t^(P17-2)</f>
        <v>-9.9468687947405245E-3</v>
      </c>
      <c r="T17" s="8">
        <f>-(2-e1t)*e1t^(P17-1)/(2*theta)*(1-e2t)</f>
        <v>-1.2923854195302347E-2</v>
      </c>
      <c r="U17" s="9">
        <f>1/theta*e1t^(P17-1)*(1-e1t)</f>
        <v>1.1577691889648713E-2</v>
      </c>
      <c r="V17" s="5">
        <f>((1-e1t)^2)/(2*theta)*e1t^P17</f>
        <v>1.3461623056536334E-3</v>
      </c>
    </row>
    <row r="18" spans="5:22" x14ac:dyDescent="0.55000000000000004">
      <c r="O18" s="5">
        <f t="shared" si="1"/>
        <v>-3.6592485336148011E-3</v>
      </c>
      <c r="P18">
        <v>6</v>
      </c>
      <c r="Q18" t="s">
        <v>24</v>
      </c>
      <c r="S18" s="6">
        <f>-1/theta*(1-e1t)*e1t^(P18-2) + 1/(2*theta)*(1-e2t)*e1t^(P18-2)</f>
        <v>-3.659248533614802E-3</v>
      </c>
      <c r="T18" s="8">
        <f>-(2-e1t)*e1t^(P18-1)/(2*theta)*(1-e2t)</f>
        <v>-4.7544202591490274E-3</v>
      </c>
      <c r="U18" s="10">
        <f>1/theta*e1t^(P18-1)*(1-e1t)</f>
        <v>4.2591948224191094E-3</v>
      </c>
      <c r="V18" s="7">
        <f>((1-e1t)^2)/(2*theta)*e1t^P18</f>
        <v>4.9522543672991901E-4</v>
      </c>
    </row>
    <row r="19" spans="5:22" x14ac:dyDescent="0.55000000000000004">
      <c r="E19">
        <f>-5</f>
        <v>-5</v>
      </c>
      <c r="Q19">
        <f>1/(2*theta)*(2-e1t) - 1/(1-e1t)^2*(1-(1-e1t)/theta)</f>
        <v>-0.10461331479351355</v>
      </c>
    </row>
    <row r="20" spans="5:22" x14ac:dyDescent="0.55000000000000004">
      <c r="E20">
        <f>-phi</f>
        <v>-0.4</v>
      </c>
    </row>
    <row r="21" spans="5:22" x14ac:dyDescent="0.55000000000000004">
      <c r="G21" t="s">
        <v>13</v>
      </c>
      <c r="H21">
        <f>H6+H11+L17</f>
        <v>0.8413471884155852</v>
      </c>
      <c r="J21">
        <f>1/(1-EXP(-theta))^2</f>
        <v>2.5026503010771188</v>
      </c>
      <c r="K21">
        <v>2</v>
      </c>
      <c r="L21">
        <v>1</v>
      </c>
      <c r="M21">
        <v>1</v>
      </c>
      <c r="N21">
        <f>M21*L21*K21*J21</f>
        <v>5.0053006021542377</v>
      </c>
    </row>
    <row r="22" spans="5:22" x14ac:dyDescent="0.55000000000000004">
      <c r="J22">
        <f>1/(1-EXP(-theta))^2</f>
        <v>2.5026503010771188</v>
      </c>
      <c r="K22">
        <f>((2-EXP(-theta))^2+1)</f>
        <v>3.6638175185508435</v>
      </c>
      <c r="L22">
        <f>1/(2*theta)</f>
        <v>0.5</v>
      </c>
      <c r="M22">
        <f>1-EXP(-2*theta)</f>
        <v>0.8646647167633873</v>
      </c>
      <c r="N22">
        <f t="shared" ref="N22:N24" si="2">M22*L22*K22*J22</f>
        <v>3.9641652132917891</v>
      </c>
    </row>
    <row r="23" spans="5:22" x14ac:dyDescent="0.55000000000000004">
      <c r="J23">
        <f>1/(1-EXP(-theta))^2</f>
        <v>2.5026503010771188</v>
      </c>
      <c r="K23">
        <f>-(3-EXP(-theta))</f>
        <v>-2.6321205588285577</v>
      </c>
      <c r="L23">
        <f>2/theta</f>
        <v>2</v>
      </c>
      <c r="M23">
        <f>1-EXP(-theta)</f>
        <v>0.63212055882855767</v>
      </c>
      <c r="N23">
        <f t="shared" si="2"/>
        <v>-8.3279068274773049</v>
      </c>
      <c r="Q23">
        <v>-8.3670875878214299E-2</v>
      </c>
    </row>
    <row r="24" spans="5:22" x14ac:dyDescent="0.55000000000000004">
      <c r="F24" t="s">
        <v>14</v>
      </c>
      <c r="G24">
        <f>EXP(-theta)</f>
        <v>0.36787944117144233</v>
      </c>
      <c r="J24">
        <f>1/(2*theta)</f>
        <v>0.5</v>
      </c>
      <c r="K24">
        <f>(1-EXP(-theta))^2</f>
        <v>0.39957640089372803</v>
      </c>
      <c r="L24">
        <v>1</v>
      </c>
      <c r="M24">
        <v>1</v>
      </c>
      <c r="N24">
        <f t="shared" si="2"/>
        <v>0.19978820044686402</v>
      </c>
      <c r="Q24">
        <v>-0.53746250989578903</v>
      </c>
      <c r="R24">
        <f>Q24/Q12</f>
        <v>2.0704878220517089</v>
      </c>
    </row>
    <row r="25" spans="5:22" x14ac:dyDescent="0.55000000000000004">
      <c r="F25" t="s">
        <v>15</v>
      </c>
      <c r="G25">
        <f>EXP(-2*theta)</f>
        <v>0.1353352832366127</v>
      </c>
      <c r="N25">
        <f>SUM(N21:N24)</f>
        <v>0.84134718841558587</v>
      </c>
      <c r="Q25">
        <v>0.75878375742794502</v>
      </c>
      <c r="R25">
        <f>Q25/Q13</f>
        <v>3.2629663293480533</v>
      </c>
    </row>
    <row r="26" spans="5:22" x14ac:dyDescent="0.55000000000000004">
      <c r="F26" t="s">
        <v>16</v>
      </c>
      <c r="G26">
        <f>EXP(-3*theta)</f>
        <v>4.9787068367863944E-2</v>
      </c>
      <c r="Q26">
        <v>1.8721453859706E-2</v>
      </c>
    </row>
    <row r="27" spans="5:22" x14ac:dyDescent="0.55000000000000004">
      <c r="F27" t="s">
        <v>17</v>
      </c>
      <c r="G27">
        <f>EXP(-4*theta)</f>
        <v>1.8315638888734179E-2</v>
      </c>
    </row>
    <row r="29" spans="5:22" x14ac:dyDescent="0.55000000000000004">
      <c r="G29">
        <f>1/(1-e1t)^2</f>
        <v>2.5026503010771188</v>
      </c>
    </row>
    <row r="30" spans="5:22" x14ac:dyDescent="0.55000000000000004">
      <c r="G30">
        <f>1-2/theta*(1-e1t) + 1/(2*theta)*(1-e2t)</f>
        <v>0.16809124072457832</v>
      </c>
      <c r="H30">
        <f>G29*G30</f>
        <v>0.42067359420779238</v>
      </c>
    </row>
    <row r="31" spans="5:22" x14ac:dyDescent="0.55000000000000004">
      <c r="G31">
        <f>G29*G30+1/(2*theta)</f>
        <v>0.92067359420779238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e1t</vt:lpstr>
      <vt:lpstr>e2t</vt:lpstr>
      <vt:lpstr>e3t</vt:lpstr>
      <vt:lpstr>e4t</vt:lpstr>
      <vt:lpstr>M</vt:lpstr>
      <vt:lpstr>phi</vt:lpstr>
      <vt:lpstr>theta</vt:lpstr>
      <vt:lpstr>zeta2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Crawley</dc:creator>
  <cp:lastModifiedBy>Edmund Crawley</cp:lastModifiedBy>
  <dcterms:created xsi:type="dcterms:W3CDTF">2019-12-22T00:38:40Z</dcterms:created>
  <dcterms:modified xsi:type="dcterms:W3CDTF">2019-12-23T09:45:08Z</dcterms:modified>
</cp:coreProperties>
</file>