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mun\Desktop\ACTL30006_ass1\"/>
    </mc:Choice>
  </mc:AlternateContent>
  <xr:revisionPtr revIDLastSave="0" documentId="13_ncr:1_{14AB3F52-810D-447D-ACE4-16FBBDC5D5CC}" xr6:coauthVersionLast="47" xr6:coauthVersionMax="47" xr10:uidLastSave="{00000000-0000-0000-0000-000000000000}"/>
  <bookViews>
    <workbookView xWindow="-90" yWindow="-90" windowWidth="17460" windowHeight="10260" tabRatio="736" xr2:uid="{00000000-000D-0000-FFFF-FFFF00000000}"/>
  </bookViews>
  <sheets>
    <sheet name="Control" sheetId="9" r:id="rId1"/>
    <sheet name="Minimal Variance Portfolio" sheetId="10" r:id="rId2"/>
    <sheet name="Desired Expected Return" sheetId="11" r:id="rId3"/>
    <sheet name="Desired Standard Deviation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2" l="1"/>
  <c r="I32" i="12" a="1"/>
  <c r="I32" i="12" s="1"/>
  <c r="T25" i="12" l="1"/>
  <c r="W22" i="12"/>
  <c r="S22" i="12"/>
  <c r="T33" i="11"/>
  <c r="D25" i="12"/>
  <c r="G22" i="12"/>
  <c r="C22" i="12"/>
  <c r="Q15" i="12" a="1"/>
  <c r="Q15" i="12" s="1"/>
  <c r="A15" i="12" a="1"/>
  <c r="A15" i="12" s="1"/>
  <c r="H3" i="12" a="1"/>
  <c r="H3" i="12" s="1"/>
  <c r="I16" i="11"/>
  <c r="H3" i="11" a="1"/>
  <c r="H3" i="11" s="1"/>
  <c r="Q37" i="11" a="1"/>
  <c r="Q37" i="11" s="1"/>
  <c r="A37" i="11" a="1"/>
  <c r="A37" i="11" s="1"/>
  <c r="S31" i="11"/>
  <c r="Q31" i="11"/>
  <c r="Q33" i="11" s="1"/>
  <c r="A31" i="11"/>
  <c r="A33" i="11" s="1"/>
  <c r="C31" i="11"/>
  <c r="D33" i="11" s="1"/>
  <c r="Q15" i="11"/>
  <c r="Q16" i="11"/>
  <c r="Q17" i="11"/>
  <c r="Q18" i="11"/>
  <c r="Q19" i="11"/>
  <c r="Q14" i="11"/>
  <c r="A15" i="11"/>
  <c r="A16" i="11"/>
  <c r="A17" i="11"/>
  <c r="A18" i="11"/>
  <c r="A19" i="11"/>
  <c r="A14" i="11"/>
  <c r="F7" i="12"/>
  <c r="F6" i="12"/>
  <c r="E7" i="12" s="1"/>
  <c r="E6" i="12"/>
  <c r="F5" i="12"/>
  <c r="D7" i="12" s="1"/>
  <c r="E5" i="12"/>
  <c r="D6" i="12" s="1"/>
  <c r="D5" i="12"/>
  <c r="F4" i="12"/>
  <c r="C7" i="12" s="1"/>
  <c r="E4" i="12"/>
  <c r="C6" i="12" s="1"/>
  <c r="D4" i="12"/>
  <c r="C5" i="12" s="1"/>
  <c r="C4" i="12"/>
  <c r="F3" i="12"/>
  <c r="B7" i="12" s="1"/>
  <c r="E3" i="12"/>
  <c r="B6" i="12" s="1"/>
  <c r="D3" i="12"/>
  <c r="B5" i="12" s="1"/>
  <c r="C3" i="12"/>
  <c r="B4" i="12" s="1"/>
  <c r="B3" i="12"/>
  <c r="F2" i="12"/>
  <c r="A7" i="12" s="1"/>
  <c r="E2" i="12"/>
  <c r="A6" i="12" s="1"/>
  <c r="D2" i="12"/>
  <c r="A5" i="12" s="1"/>
  <c r="C2" i="12"/>
  <c r="A4" i="12" s="1"/>
  <c r="B2" i="12"/>
  <c r="A3" i="12" s="1"/>
  <c r="A2" i="12"/>
  <c r="F7" i="11"/>
  <c r="F6" i="11"/>
  <c r="E7" i="11" s="1"/>
  <c r="E6" i="11"/>
  <c r="F5" i="11"/>
  <c r="D7" i="11" s="1"/>
  <c r="E5" i="11"/>
  <c r="D6" i="11" s="1"/>
  <c r="D5" i="11"/>
  <c r="F4" i="11"/>
  <c r="C7" i="11" s="1"/>
  <c r="E4" i="11"/>
  <c r="C6" i="11" s="1"/>
  <c r="D4" i="11"/>
  <c r="C5" i="11" s="1"/>
  <c r="C4" i="11"/>
  <c r="F3" i="11"/>
  <c r="B7" i="11" s="1"/>
  <c r="E3" i="11"/>
  <c r="B6" i="11" s="1"/>
  <c r="D3" i="11"/>
  <c r="B5" i="11" s="1"/>
  <c r="C3" i="11"/>
  <c r="B4" i="11" s="1"/>
  <c r="B3" i="11"/>
  <c r="F2" i="11"/>
  <c r="A7" i="11" s="1"/>
  <c r="E2" i="11"/>
  <c r="A6" i="11" s="1"/>
  <c r="D2" i="11"/>
  <c r="A5" i="11" s="1"/>
  <c r="C2" i="11"/>
  <c r="A4" i="11" s="1"/>
  <c r="B2" i="11"/>
  <c r="A3" i="11" s="1"/>
  <c r="A2" i="11"/>
  <c r="F6" i="10"/>
  <c r="E7" i="10" s="1"/>
  <c r="E6" i="10"/>
  <c r="B3" i="10"/>
  <c r="F7" i="10"/>
  <c r="D5" i="10"/>
  <c r="C4" i="10"/>
  <c r="A2" i="10"/>
  <c r="C3" i="10"/>
  <c r="B4" i="10" s="1"/>
  <c r="F5" i="10"/>
  <c r="D7" i="10" s="1"/>
  <c r="E5" i="10"/>
  <c r="D6" i="10" s="1"/>
  <c r="E4" i="10"/>
  <c r="C6" i="10" s="1"/>
  <c r="F4" i="10"/>
  <c r="C7" i="10" s="1"/>
  <c r="D4" i="10"/>
  <c r="C5" i="10" s="1"/>
  <c r="D3" i="10"/>
  <c r="B5" i="10" s="1"/>
  <c r="E3" i="10"/>
  <c r="B6" i="10" s="1"/>
  <c r="F3" i="10"/>
  <c r="B7" i="10" s="1"/>
  <c r="C2" i="10"/>
  <c r="A4" i="10" s="1"/>
  <c r="D2" i="10"/>
  <c r="A5" i="10" s="1"/>
  <c r="E2" i="10"/>
  <c r="A6" i="10" s="1"/>
  <c r="F2" i="10"/>
  <c r="A7" i="10" s="1"/>
  <c r="B2" i="10"/>
  <c r="A3" i="10" s="1"/>
  <c r="E12" i="9"/>
  <c r="H15" i="9"/>
  <c r="H16" i="9"/>
  <c r="I16" i="9"/>
  <c r="F15" i="9"/>
  <c r="G15" i="9"/>
  <c r="F16" i="9"/>
  <c r="G16" i="9"/>
  <c r="G14" i="9"/>
  <c r="E14" i="9"/>
  <c r="F14" i="9"/>
  <c r="E15" i="9"/>
  <c r="E16" i="9"/>
  <c r="E13" i="9"/>
  <c r="R14" i="11" l="1" a="1"/>
  <c r="B14" i="11" a="1"/>
  <c r="I2" i="10" a="1"/>
  <c r="F13" i="9"/>
  <c r="R14" i="11" l="1"/>
  <c r="S14" i="11" s="1"/>
  <c r="R15" i="12" s="1"/>
  <c r="B14" i="11"/>
  <c r="C14" i="11" s="1"/>
  <c r="B15" i="12" s="1"/>
  <c r="I2" i="10"/>
  <c r="S15" i="11" l="1"/>
  <c r="R16" i="12" s="1"/>
  <c r="S18" i="11"/>
  <c r="R19" i="12" s="1"/>
  <c r="S17" i="11"/>
  <c r="R18" i="12" s="1"/>
  <c r="S16" i="11"/>
  <c r="R17" i="12" s="1"/>
  <c r="S19" i="11"/>
  <c r="R20" i="12" s="1"/>
  <c r="C19" i="11"/>
  <c r="B20" i="12" s="1"/>
  <c r="C18" i="11"/>
  <c r="B19" i="12" s="1"/>
  <c r="C17" i="11"/>
  <c r="B18" i="12" s="1"/>
  <c r="C16" i="11"/>
  <c r="B17" i="12" s="1"/>
  <c r="C15" i="11"/>
  <c r="B16" i="12" s="1"/>
  <c r="I10" i="10"/>
  <c r="I16" i="12" l="1" a="1"/>
  <c r="I16" i="12" s="1"/>
  <c r="I18" i="12" s="1" a="1"/>
  <c r="I18" i="12" s="1"/>
  <c r="I20" i="12" s="1" a="1"/>
  <c r="I20" i="12" s="1"/>
  <c r="Q28" i="11"/>
  <c r="S15" i="12" s="1"/>
  <c r="W25" i="12" s="1"/>
  <c r="Q22" i="11" a="1"/>
  <c r="Q22" i="11" s="1"/>
  <c r="Q24" i="11" s="1" a="1"/>
  <c r="Q24" i="11" s="1"/>
  <c r="Q26" i="11" s="1" a="1"/>
  <c r="Q26" i="11" s="1"/>
  <c r="R28" i="11" s="1"/>
  <c r="S17" i="12" s="1"/>
  <c r="J23" i="12" s="1"/>
  <c r="K25" i="12" s="1"/>
  <c r="A28" i="11"/>
  <c r="A22" i="11" a="1"/>
  <c r="A22" i="11" s="1"/>
  <c r="A24" i="11" s="1" a="1"/>
  <c r="A24" i="11" s="1"/>
  <c r="A26" i="11" s="1" a="1"/>
  <c r="A26" i="11" s="1"/>
  <c r="B28" i="11" s="1"/>
  <c r="C17" i="12" s="1"/>
  <c r="K1" i="12" s="1"/>
  <c r="K2" i="10" a="1"/>
  <c r="A26" i="9" s="1"/>
  <c r="I23" i="12" l="1"/>
  <c r="I25" i="12" s="1"/>
  <c r="J25" i="12"/>
  <c r="C15" i="12"/>
  <c r="G25" i="12" s="1"/>
  <c r="K1" i="11"/>
  <c r="W33" i="11"/>
  <c r="R34" i="11" s="1"/>
  <c r="R43" i="11" s="1"/>
  <c r="O16" i="11"/>
  <c r="G33" i="11"/>
  <c r="B34" i="11" s="1"/>
  <c r="B43" i="11" s="1"/>
  <c r="L16" i="11"/>
  <c r="Q30" i="11"/>
  <c r="A30" i="11"/>
  <c r="A25" i="9"/>
  <c r="K2" i="10"/>
  <c r="K10" i="10" s="1" a="1"/>
  <c r="K10" i="10" s="1"/>
  <c r="K12" i="10" s="1" a="1"/>
  <c r="K12" i="10" s="1"/>
  <c r="K14" i="10" s="1" a="1"/>
  <c r="K14" i="10" s="1"/>
  <c r="A36" i="9" s="1"/>
  <c r="A29" i="9"/>
  <c r="A28" i="9"/>
  <c r="A27" i="9"/>
  <c r="I27" i="12" l="1"/>
  <c r="J27" i="12"/>
  <c r="U31" i="11"/>
  <c r="R32" i="11" s="1"/>
  <c r="S19" i="12"/>
  <c r="U22" i="12" s="1"/>
  <c r="S23" i="12" s="1"/>
  <c r="Q25" i="12" s="1"/>
  <c r="S26" i="12" s="1"/>
  <c r="R35" i="12" s="1"/>
  <c r="E31" i="11"/>
  <c r="B32" i="11" s="1"/>
  <c r="C19" i="12"/>
  <c r="E22" i="12" s="1"/>
  <c r="C23" i="12" s="1"/>
  <c r="A25" i="12" s="1"/>
  <c r="C26" i="12" s="1"/>
  <c r="I9" i="11"/>
  <c r="R41" i="11"/>
  <c r="R42" i="11"/>
  <c r="R38" i="11"/>
  <c r="R40" i="11"/>
  <c r="B42" i="11"/>
  <c r="R39" i="11"/>
  <c r="B40" i="11"/>
  <c r="R37" i="11"/>
  <c r="I3" i="11" s="1"/>
  <c r="B41" i="11"/>
  <c r="J17" i="11"/>
  <c r="B39" i="11"/>
  <c r="B38" i="11"/>
  <c r="B37" i="11"/>
  <c r="A24" i="9"/>
  <c r="I29" i="12" l="1"/>
  <c r="J32" i="12" s="1"/>
  <c r="R29" i="12"/>
  <c r="R30" i="12"/>
  <c r="R31" i="12"/>
  <c r="R32" i="12"/>
  <c r="R33" i="12"/>
  <c r="R34" i="12"/>
  <c r="B29" i="12"/>
  <c r="B30" i="12"/>
  <c r="B31" i="12"/>
  <c r="B32" i="12"/>
  <c r="B33" i="12"/>
  <c r="B34" i="12"/>
  <c r="B35" i="12"/>
  <c r="I9" i="12" s="1"/>
  <c r="E30" i="9" s="1"/>
  <c r="Q45" i="11" a="1"/>
  <c r="Q45" i="11" s="1"/>
  <c r="Q47" i="11" s="1" a="1"/>
  <c r="Q47" i="11" s="1"/>
  <c r="J23" i="11"/>
  <c r="I6" i="11" s="1"/>
  <c r="J25" i="11"/>
  <c r="I8" i="11" s="1"/>
  <c r="J24" i="11"/>
  <c r="I7" i="11" s="1"/>
  <c r="J21" i="11"/>
  <c r="J22" i="11"/>
  <c r="I5" i="11" s="1"/>
  <c r="J20" i="11"/>
  <c r="A45" i="11" a="1"/>
  <c r="A45" i="11" s="1"/>
  <c r="A47" i="11" s="1" a="1"/>
  <c r="A47" i="11" s="1"/>
  <c r="A49" i="11" s="1" a="1"/>
  <c r="A49" i="11" s="1"/>
  <c r="A51" i="11" s="1"/>
  <c r="A33" i="9"/>
  <c r="I3" i="12" l="1"/>
  <c r="E24" i="9" s="1"/>
  <c r="J37" i="12"/>
  <c r="I8" i="12" s="1"/>
  <c r="E29" i="9" s="1"/>
  <c r="J33" i="12"/>
  <c r="I4" i="12" s="1"/>
  <c r="E25" i="9" s="1"/>
  <c r="J36" i="12"/>
  <c r="I7" i="12" s="1"/>
  <c r="E28" i="9" s="1"/>
  <c r="J34" i="12"/>
  <c r="I5" i="12" s="1"/>
  <c r="E26" i="9" s="1"/>
  <c r="J35" i="12"/>
  <c r="I6" i="12" s="1"/>
  <c r="E27" i="9" s="1"/>
  <c r="Q37" i="12" a="1"/>
  <c r="Q37" i="12" s="1"/>
  <c r="Q39" i="12" s="1" a="1"/>
  <c r="Q39" i="12" s="1"/>
  <c r="Q41" i="12" s="1" a="1"/>
  <c r="Q41" i="12" s="1"/>
  <c r="Q43" i="12" s="1"/>
  <c r="A37" i="12" a="1"/>
  <c r="A37" i="12" s="1"/>
  <c r="A39" i="12" s="1" a="1"/>
  <c r="A39" i="12" s="1"/>
  <c r="A41" i="12" s="1" a="1"/>
  <c r="A41" i="12" s="1"/>
  <c r="A43" i="12" s="1"/>
  <c r="I29" i="11" a="1"/>
  <c r="I29" i="11" s="1"/>
  <c r="I31" i="11" s="1" a="1"/>
  <c r="I31" i="11" s="1"/>
  <c r="I33" i="11" s="1" a="1"/>
  <c r="I33" i="11" s="1"/>
  <c r="I35" i="11" s="1"/>
  <c r="I4" i="11"/>
  <c r="Q49" i="11" a="1"/>
  <c r="Q49" i="11" s="1"/>
  <c r="Q51" i="11" s="1"/>
  <c r="K3" i="11" s="1"/>
  <c r="E33" i="9" l="1"/>
  <c r="I40" i="12" a="1"/>
  <c r="I40" i="12" s="1"/>
  <c r="I42" i="12" s="1" a="1"/>
  <c r="I42" i="12" s="1"/>
  <c r="I44" i="12" s="1" a="1"/>
  <c r="I44" i="12" s="1"/>
  <c r="I46" i="12" s="1"/>
  <c r="K3" i="12" s="1"/>
  <c r="E36" i="9" s="1"/>
  <c r="C36" i="9"/>
  <c r="C24" i="9" a="1"/>
  <c r="C24" i="9" s="1"/>
  <c r="C3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<sst xmlns="http://schemas.openxmlformats.org/spreadsheetml/2006/main" count="198" uniqueCount="83">
  <si>
    <t>Labels</t>
  </si>
  <si>
    <t>Inputs</t>
  </si>
  <si>
    <t>Outputs</t>
  </si>
  <si>
    <t>Intermediate calculations</t>
  </si>
  <si>
    <t>Lending Rate</t>
  </si>
  <si>
    <t>Borrowing Rate</t>
  </si>
  <si>
    <t>Expected returns</t>
  </si>
  <si>
    <t>Standard deviations</t>
  </si>
  <si>
    <t>Correlation matrix</t>
  </si>
  <si>
    <t>R1</t>
  </si>
  <si>
    <t>R2</t>
  </si>
  <si>
    <t>R3</t>
  </si>
  <si>
    <t>R4</t>
  </si>
  <si>
    <t>R5</t>
  </si>
  <si>
    <t>Desired return</t>
  </si>
  <si>
    <t>Desired standard deviation</t>
  </si>
  <si>
    <t>Minimal variance portfolio</t>
  </si>
  <si>
    <t>weights</t>
  </si>
  <si>
    <t>Weights</t>
  </si>
  <si>
    <t>Risk free</t>
  </si>
  <si>
    <t>Expected Return</t>
  </si>
  <si>
    <t>Standard deviation</t>
  </si>
  <si>
    <t>R6</t>
  </si>
  <si>
    <t>R_tilda</t>
  </si>
  <si>
    <t>Variance-Covariance Matrix</t>
  </si>
  <si>
    <t>e</t>
  </si>
  <si>
    <t>C^-1e</t>
  </si>
  <si>
    <t>&lt;C^-1e,e&gt;</t>
  </si>
  <si>
    <t>Weights^T</t>
  </si>
  <si>
    <t>Weights^TC</t>
  </si>
  <si>
    <t>Weights^TCWeights</t>
  </si>
  <si>
    <t>Case 1: Lending at lending rate, passes through at (0,LR)</t>
  </si>
  <si>
    <t>Case 2: No lending/ borrowing at rf</t>
  </si>
  <si>
    <t>Case 3: Borrowing at borrowing rate, passes through at (0, BR)</t>
  </si>
  <si>
    <t>Positive risk free rate</t>
  </si>
  <si>
    <t>Zero risk free rate</t>
  </si>
  <si>
    <t>Negative risk free rate</t>
  </si>
  <si>
    <t>C^-1R_tilda</t>
  </si>
  <si>
    <t>sd</t>
  </si>
  <si>
    <t>return</t>
  </si>
  <si>
    <t>Case for current desired return</t>
  </si>
  <si>
    <t>(tangent portfolio at borrowing)</t>
  </si>
  <si>
    <t>(tangent portfolio at lending)</t>
  </si>
  <si>
    <t xml:space="preserve">Gradient </t>
  </si>
  <si>
    <t>Gradient</t>
  </si>
  <si>
    <t>+</t>
  </si>
  <si>
    <t>Sigma_P</t>
  </si>
  <si>
    <t>=</t>
  </si>
  <si>
    <t xml:space="preserve">Sigma_P = </t>
  </si>
  <si>
    <t>R_P</t>
  </si>
  <si>
    <t>X_1</t>
  </si>
  <si>
    <t>(1-X_1)</t>
  </si>
  <si>
    <t xml:space="preserve">X_1 = </t>
  </si>
  <si>
    <t>R_i</t>
  </si>
  <si>
    <t>Final Weights</t>
  </si>
  <si>
    <t>risk free</t>
  </si>
  <si>
    <t>Final SD</t>
  </si>
  <si>
    <t>rf</t>
  </si>
  <si>
    <t>Weights^T[0:6]</t>
  </si>
  <si>
    <t>Weights^T[0:6]C</t>
  </si>
  <si>
    <t>Weights^T[0:6]Cweights[0:6]</t>
  </si>
  <si>
    <t>Let T_1 be tangent portfolio at case 1</t>
  </si>
  <si>
    <t>Let T_2 be tangent portfolio at case 2</t>
  </si>
  <si>
    <t>Weights_T_1^T</t>
  </si>
  <si>
    <t>Weights_T_1^TC</t>
  </si>
  <si>
    <t>, weight of T_1</t>
  </si>
  <si>
    <t>Tangent portfolio at lending:</t>
  </si>
  <si>
    <t>Tangent portfolio at borrowing:</t>
  </si>
  <si>
    <t>Return</t>
  </si>
  <si>
    <t>SD</t>
  </si>
  <si>
    <t>*</t>
  </si>
  <si>
    <t>Let T_1 be tangent protfolio from Case 1</t>
  </si>
  <si>
    <t>Let T_2 be tangent protfolio from Case 3</t>
  </si>
  <si>
    <t>Weights_T_1^TCWeightsT_2 = Cov(T_1,T_2)</t>
  </si>
  <si>
    <t>Var(T_1)</t>
  </si>
  <si>
    <t>Var(T_2)</t>
  </si>
  <si>
    <t>a</t>
  </si>
  <si>
    <t>b</t>
  </si>
  <si>
    <t>c</t>
  </si>
  <si>
    <t>X_T_1(1)</t>
  </si>
  <si>
    <t>X_T_1(2)</t>
  </si>
  <si>
    <t>X_T_1</t>
  </si>
  <si>
    <t>Var(P)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</si>
</sst>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J36"/>
  <sheetViews>
    <sheetView tabSelected="1" workbookViewId="0"/>
  </sheetViews>
  <sheetFormatPr defaultColWidth="9.1796875" defaultRowHeight="14.75" x14ac:dyDescent="0.75"/>
  <cols>
    <col min="1" max="1" width="25.31640625" bestFit="1" customWidth="1"/>
    <col min="2" max="2" width="14.31640625" customWidth="1"/>
    <col min="3" max="3" width="18.81640625" bestFit="1" customWidth="1"/>
    <col min="5" max="5" width="9.5" customWidth="1"/>
    <col min="19" max="19" width="9.5" bestFit="1" customWidth="1"/>
  </cols>
  <sheetData>
    <row r="1" spans="1:10" x14ac:dyDescent="0.75">
      <c r="A1" s="2"/>
      <c r="B1" t="s">
        <v>0</v>
      </c>
    </row>
    <row r="2" spans="1:10" x14ac:dyDescent="0.75">
      <c r="A2" s="3"/>
      <c r="B2" t="s">
        <v>1</v>
      </c>
    </row>
    <row r="3" spans="1:10" x14ac:dyDescent="0.75">
      <c r="A3" s="5"/>
      <c r="B3" t="s">
        <v>2</v>
      </c>
    </row>
    <row r="4" spans="1:10" x14ac:dyDescent="0.75">
      <c r="A4" s="8"/>
      <c r="B4" t="s">
        <v>3</v>
      </c>
    </row>
    <row r="7" spans="1:10" x14ac:dyDescent="0.75">
      <c r="B7" s="2" t="s">
        <v>4</v>
      </c>
      <c r="C7" s="4">
        <v>2</v>
      </c>
    </row>
    <row r="8" spans="1:10" x14ac:dyDescent="0.75">
      <c r="B8" s="2" t="s">
        <v>5</v>
      </c>
      <c r="C8" s="4">
        <v>8</v>
      </c>
    </row>
    <row r="10" spans="1:10" x14ac:dyDescent="0.75">
      <c r="B10" s="2" t="s">
        <v>6</v>
      </c>
      <c r="C10" s="2" t="s">
        <v>7</v>
      </c>
      <c r="E10" s="2" t="s">
        <v>8</v>
      </c>
      <c r="F10" s="2"/>
    </row>
    <row r="11" spans="1:10" x14ac:dyDescent="0.75">
      <c r="A11" s="2" t="s">
        <v>9</v>
      </c>
      <c r="B11" s="4">
        <v>16</v>
      </c>
      <c r="C11" s="4">
        <v>16</v>
      </c>
      <c r="E11" s="4">
        <v>1</v>
      </c>
      <c r="F11" s="4">
        <v>0.1</v>
      </c>
      <c r="G11" s="4">
        <v>0.2</v>
      </c>
      <c r="H11" s="4">
        <v>0.3</v>
      </c>
      <c r="I11" s="4">
        <v>0.4</v>
      </c>
      <c r="J11" s="4">
        <v>0.5</v>
      </c>
    </row>
    <row r="12" spans="1:10" x14ac:dyDescent="0.75">
      <c r="A12" s="2" t="s">
        <v>10</v>
      </c>
      <c r="B12" s="4">
        <v>17</v>
      </c>
      <c r="C12" s="4">
        <v>17</v>
      </c>
      <c r="E12" s="1">
        <f ca="1">OFFSET($E$11,COLUMN()-COLUMN($E$11),ROW()-ROW($E$11))</f>
        <v>0.1</v>
      </c>
      <c r="F12" s="4">
        <v>1</v>
      </c>
      <c r="G12" s="4">
        <v>0.1</v>
      </c>
      <c r="H12" s="4">
        <v>0.2</v>
      </c>
      <c r="I12" s="4">
        <v>0.3</v>
      </c>
      <c r="J12" s="4">
        <v>0.4</v>
      </c>
    </row>
    <row r="13" spans="1:10" x14ac:dyDescent="0.75">
      <c r="A13" s="2" t="s">
        <v>11</v>
      </c>
      <c r="B13" s="4">
        <v>18</v>
      </c>
      <c r="C13" s="4">
        <v>18</v>
      </c>
      <c r="E13" s="1">
        <f t="shared" ref="E13:I16" ca="1" si="0">OFFSET($E$11,COLUMN()-COLUMN($E$11),ROW()-ROW($E$11))</f>
        <v>0.2</v>
      </c>
      <c r="F13" s="1">
        <f t="shared" ca="1" si="0"/>
        <v>0.1</v>
      </c>
      <c r="G13" s="4">
        <v>1</v>
      </c>
      <c r="H13" s="4">
        <v>0.1</v>
      </c>
      <c r="I13" s="4">
        <v>0.2</v>
      </c>
      <c r="J13" s="4">
        <v>0.3</v>
      </c>
    </row>
    <row r="14" spans="1:10" x14ac:dyDescent="0.75">
      <c r="A14" s="2" t="s">
        <v>12</v>
      </c>
      <c r="B14" s="4">
        <v>19</v>
      </c>
      <c r="C14" s="4">
        <v>19</v>
      </c>
      <c r="E14" s="1">
        <f t="shared" ca="1" si="0"/>
        <v>0.3</v>
      </c>
      <c r="F14" s="1">
        <f t="shared" ca="1" si="0"/>
        <v>0.2</v>
      </c>
      <c r="G14" s="1">
        <f t="shared" ca="1" si="0"/>
        <v>0.1</v>
      </c>
      <c r="H14" s="4">
        <v>1</v>
      </c>
      <c r="I14" s="4">
        <v>0.1</v>
      </c>
      <c r="J14" s="4">
        <v>0.2</v>
      </c>
    </row>
    <row r="15" spans="1:10" x14ac:dyDescent="0.75">
      <c r="A15" s="2" t="s">
        <v>13</v>
      </c>
      <c r="B15" s="4">
        <v>20</v>
      </c>
      <c r="C15" s="4">
        <v>20</v>
      </c>
      <c r="E15" s="1">
        <f t="shared" ca="1" si="0"/>
        <v>0.4</v>
      </c>
      <c r="F15" s="1">
        <f t="shared" ca="1" si="0"/>
        <v>0.3</v>
      </c>
      <c r="G15" s="1">
        <f t="shared" ca="1" si="0"/>
        <v>0.2</v>
      </c>
      <c r="H15" s="1">
        <f t="shared" ca="1" si="0"/>
        <v>0.1</v>
      </c>
      <c r="I15" s="4">
        <v>1</v>
      </c>
      <c r="J15" s="4">
        <v>0.1</v>
      </c>
    </row>
    <row r="16" spans="1:10" x14ac:dyDescent="0.75">
      <c r="A16" s="2" t="s">
        <v>22</v>
      </c>
      <c r="B16" s="4">
        <v>21</v>
      </c>
      <c r="C16" s="4">
        <v>21</v>
      </c>
      <c r="E16" s="1">
        <f t="shared" ca="1" si="0"/>
        <v>0.5</v>
      </c>
      <c r="F16" s="1">
        <f t="shared" ca="1" si="0"/>
        <v>0.4</v>
      </c>
      <c r="G16" s="1">
        <f t="shared" ca="1" si="0"/>
        <v>0.3</v>
      </c>
      <c r="H16" s="1">
        <f t="shared" ca="1" si="0"/>
        <v>0.2</v>
      </c>
      <c r="I16" s="1">
        <f t="shared" ca="1" si="0"/>
        <v>0.1</v>
      </c>
      <c r="J16" s="4">
        <v>1</v>
      </c>
    </row>
    <row r="18" spans="1:7" x14ac:dyDescent="0.75">
      <c r="A18" s="2" t="s">
        <v>14</v>
      </c>
      <c r="B18" s="4">
        <v>20</v>
      </c>
    </row>
    <row r="19" spans="1:7" x14ac:dyDescent="0.75">
      <c r="A19" s="2" t="s">
        <v>15</v>
      </c>
      <c r="B19" s="4">
        <v>11</v>
      </c>
    </row>
    <row r="22" spans="1:7" x14ac:dyDescent="0.75">
      <c r="A22" s="2" t="s">
        <v>16</v>
      </c>
      <c r="C22" s="2" t="s">
        <v>14</v>
      </c>
      <c r="E22" s="2" t="s">
        <v>15</v>
      </c>
      <c r="F22" s="2"/>
      <c r="G22" s="2"/>
    </row>
    <row r="23" spans="1:7" x14ac:dyDescent="0.75">
      <c r="A23" s="2" t="s">
        <v>17</v>
      </c>
      <c r="C23" s="2" t="s">
        <v>18</v>
      </c>
      <c r="E23" s="2" t="s">
        <v>18</v>
      </c>
      <c r="F23" s="2"/>
      <c r="G23" s="2"/>
    </row>
    <row r="24" spans="1:7" x14ac:dyDescent="0.75">
      <c r="A24" s="6">
        <f ca="1">'Minimal Variance Portfolio'!K2</f>
        <v>0.30049998621007457</v>
      </c>
      <c r="B24" s="9">
        <v>1</v>
      </c>
      <c r="C24" s="6" cm="1">
        <f t="array" aca="1" ref="C24:C30" ca="1">'Desired Expected Return'!I3:I9</f>
        <v>-5.3424798328071878E-2</v>
      </c>
      <c r="D24" s="7"/>
      <c r="E24" s="6">
        <f ca="1">'Desired Standard Deviation'!I3</f>
        <v>7.6431622697668539E-2</v>
      </c>
      <c r="F24" s="7"/>
    </row>
    <row r="25" spans="1:7" x14ac:dyDescent="0.75">
      <c r="A25" s="6">
        <f ca="1">'Minimal Variance Portfolio'!K3</f>
        <v>0.30346495842849125</v>
      </c>
      <c r="B25" s="9">
        <v>2</v>
      </c>
      <c r="C25" s="6">
        <f ca="1"/>
        <v>0.10143785292230947</v>
      </c>
      <c r="D25" s="7"/>
      <c r="E25" s="6">
        <f ca="1">'Desired Standard Deviation'!I4</f>
        <v>0.17168801517522111</v>
      </c>
      <c r="F25" s="7"/>
    </row>
    <row r="26" spans="1:7" x14ac:dyDescent="0.75">
      <c r="A26" s="6">
        <f ca="1">'Minimal Variance Portfolio'!K4</f>
        <v>0.25127290756676413</v>
      </c>
      <c r="B26" s="9">
        <v>3</v>
      </c>
      <c r="C26" s="6">
        <f ca="1"/>
        <v>0.21765126005057214</v>
      </c>
      <c r="D26" s="7"/>
      <c r="E26" s="6">
        <f ca="1">'Desired Standard Deviation'!I5</f>
        <v>0.2234465502966019</v>
      </c>
      <c r="F26" s="7"/>
    </row>
    <row r="27" spans="1:7" x14ac:dyDescent="0.75">
      <c r="A27" s="6">
        <f ca="1">'Minimal Variance Portfolio'!K5</f>
        <v>0.15895448899754852</v>
      </c>
      <c r="B27" s="9">
        <v>4</v>
      </c>
      <c r="C27" s="6">
        <f ca="1"/>
        <v>0.27857210782560066</v>
      </c>
      <c r="D27" s="7"/>
      <c r="E27" s="6">
        <f ca="1">'Desired Standard Deviation'!I6</f>
        <v>0.22703356544938472</v>
      </c>
      <c r="F27" s="7"/>
    </row>
    <row r="28" spans="1:7" x14ac:dyDescent="0.75">
      <c r="A28" s="6">
        <f ca="1">'Minimal Variance Portfolio'!K6</f>
        <v>4.7272947986391624E-2</v>
      </c>
      <c r="B28" s="9">
        <v>5</v>
      </c>
      <c r="C28" s="6">
        <f ca="1"/>
        <v>0.27900221105216555</v>
      </c>
      <c r="D28" s="7"/>
      <c r="E28" s="6">
        <f ca="1">'Desired Standard Deviation'!I7</f>
        <v>0.1868137969575609</v>
      </c>
      <c r="F28" s="7"/>
    </row>
    <row r="29" spans="1:7" x14ac:dyDescent="0.75">
      <c r="A29" s="6">
        <f ca="1">'Minimal Variance Portfolio'!K7</f>
        <v>-6.1465289189270134E-2</v>
      </c>
      <c r="B29" s="9">
        <v>6</v>
      </c>
      <c r="C29" s="6">
        <f ca="1"/>
        <v>0.22504810700849809</v>
      </c>
      <c r="E29" s="6">
        <f ca="1">'Desired Standard Deviation'!I8</f>
        <v>0.11458644942356278</v>
      </c>
      <c r="F29" s="7"/>
    </row>
    <row r="30" spans="1:7" x14ac:dyDescent="0.75">
      <c r="B30" s="9" t="s">
        <v>19</v>
      </c>
      <c r="C30" s="6">
        <f ca="1"/>
        <v>-4.8286740531073929E-2</v>
      </c>
      <c r="D30" s="7"/>
      <c r="E30" s="6">
        <f ca="1">'Desired Standard Deviation'!I9</f>
        <v>0</v>
      </c>
    </row>
    <row r="32" spans="1:7" x14ac:dyDescent="0.75">
      <c r="A32" s="2" t="s">
        <v>20</v>
      </c>
      <c r="C32" s="2" t="s">
        <v>20</v>
      </c>
      <c r="E32" s="2" t="s">
        <v>20</v>
      </c>
      <c r="F32" s="2"/>
    </row>
    <row r="33" spans="1:6" x14ac:dyDescent="0.75">
      <c r="A33" s="6">
        <f ca="1">SUMPRODUCT(A24:A29,B11:B16)</f>
        <v>17.164639586553882</v>
      </c>
      <c r="B33" s="7"/>
      <c r="C33" s="6">
        <f ca="1">SUMPRODUCT(C24:C29,B11:B16)+IF('Desired Expected Return'!$K$1=1,Control!C7,Control!C8)*C30</f>
        <v>20</v>
      </c>
      <c r="D33" s="7"/>
      <c r="E33" s="6">
        <f ca="1">SUMPRODUCT(B11:B16,E24:E29)+IF('Desired Standard Deviation'!K1=1,Control!C7,Control!C8)*Control!E30</f>
        <v>18.619869247064635</v>
      </c>
    </row>
    <row r="35" spans="1:6" x14ac:dyDescent="0.75">
      <c r="A35" s="2" t="s">
        <v>21</v>
      </c>
      <c r="C35" s="2" t="s">
        <v>21</v>
      </c>
      <c r="E35" s="2" t="s">
        <v>21</v>
      </c>
      <c r="F35" s="2"/>
    </row>
    <row r="36" spans="1:6" x14ac:dyDescent="0.75">
      <c r="A36" s="6">
        <f ca="1">SQRT('Minimal Variance Portfolio'!K14)</f>
        <v>10.48222213893203</v>
      </c>
      <c r="B36" s="7"/>
      <c r="C36" s="6">
        <f ca="1">'Desired Expected Return'!K3</f>
        <v>12.280790794908913</v>
      </c>
      <c r="D36" s="7"/>
      <c r="E36" s="6">
        <f ca="1">'Desired Standard Deviation'!K3</f>
        <v>11.000000000000002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7BF9-A349-41B0-8664-38C417EC4B9F}">
  <dimension ref="A1:P14"/>
  <sheetViews>
    <sheetView workbookViewId="0">
      <selection sqref="A1:F1"/>
    </sheetView>
  </sheetViews>
  <sheetFormatPr defaultRowHeight="14.75" x14ac:dyDescent="0.75"/>
  <cols>
    <col min="1" max="1" width="10.1328125" customWidth="1"/>
    <col min="9" max="9" width="12.90625" bestFit="1" customWidth="1"/>
    <col min="10" max="10" width="8.81640625" bestFit="1" customWidth="1"/>
    <col min="11" max="11" width="17.54296875" bestFit="1" customWidth="1"/>
  </cols>
  <sheetData>
    <row r="1" spans="1:16" x14ac:dyDescent="0.75">
      <c r="A1" s="12" t="s">
        <v>24</v>
      </c>
      <c r="B1" s="12"/>
      <c r="C1" s="12"/>
      <c r="D1" s="12"/>
      <c r="E1" s="12"/>
      <c r="F1" s="12"/>
      <c r="H1" s="13" t="s">
        <v>25</v>
      </c>
      <c r="I1" s="13" t="s">
        <v>26</v>
      </c>
      <c r="J1" s="11"/>
      <c r="K1" s="13" t="s">
        <v>18</v>
      </c>
    </row>
    <row r="2" spans="1:16" x14ac:dyDescent="0.75">
      <c r="A2" s="14">
        <f>Control!E11*Control!C11*Control!C11</f>
        <v>256</v>
      </c>
      <c r="B2" s="14">
        <f ca="1">Control!F11*Control!$C11*OFFSET(Control!$C11,COLUMN()-COLUMN($A2),0)</f>
        <v>27.200000000000003</v>
      </c>
      <c r="C2" s="14">
        <f ca="1">Control!G11*Control!$C11*OFFSET(Control!$C11,COLUMN()-COLUMN($A2),0)</f>
        <v>57.6</v>
      </c>
      <c r="D2" s="14">
        <f ca="1">Control!H11*Control!$C11*OFFSET(Control!$C11,COLUMN()-COLUMN($A2),0)</f>
        <v>91.2</v>
      </c>
      <c r="E2" s="14">
        <f ca="1">Control!I11*Control!$C11*OFFSET(Control!$C11,COLUMN()-COLUMN($A2),0)</f>
        <v>128</v>
      </c>
      <c r="F2" s="14">
        <f ca="1">Control!J11*Control!$C11*OFFSET(Control!$C11,COLUMN()-COLUMN($A2),0)</f>
        <v>168</v>
      </c>
      <c r="H2" s="14">
        <v>1</v>
      </c>
      <c r="I2" s="14" cm="1">
        <f t="array" aca="1" ref="I2:I7" ca="1">MMULT(MINVERSE(A2:F7),H2:H7)</f>
        <v>2.7348766189011723E-3</v>
      </c>
      <c r="K2" s="14" cm="1">
        <f t="array" aca="1" ref="K2:K7" ca="1">_xlfn.ANCHORARRAY(I2)/I10</f>
        <v>0.30049998621007457</v>
      </c>
    </row>
    <row r="3" spans="1:16" x14ac:dyDescent="0.75">
      <c r="A3" s="14">
        <f ca="1">OFFSET($A$2,COLUMN()-COLUMN($A$2),ROW()-ROW($A$2))</f>
        <v>27.200000000000003</v>
      </c>
      <c r="B3" s="14">
        <f ca="1">Control!F12*Control!$C12*OFFSET(Control!$C12,COLUMN()-COLUMN($B3),0)</f>
        <v>289</v>
      </c>
      <c r="C3" s="14">
        <f ca="1">Control!G12*Control!$C12*OFFSET(Control!$C12,COLUMN()-COLUMN($B3),0)</f>
        <v>30.6</v>
      </c>
      <c r="D3" s="14">
        <f ca="1">Control!H12*Control!$C12*OFFSET(Control!$C12,COLUMN()-COLUMN($B3),0)</f>
        <v>64.600000000000009</v>
      </c>
      <c r="E3" s="14">
        <f ca="1">Control!I12*Control!$C12*OFFSET(Control!$C12,COLUMN()-COLUMN($B3),0)</f>
        <v>102</v>
      </c>
      <c r="F3" s="14">
        <f ca="1">Control!J12*Control!$C12*OFFSET(Control!$C12,COLUMN()-COLUMN($B3),0)</f>
        <v>142.80000000000001</v>
      </c>
      <c r="H3" s="14">
        <v>1</v>
      </c>
      <c r="I3" s="14">
        <f ca="1"/>
        <v>2.7618610900091698E-3</v>
      </c>
      <c r="K3" s="14">
        <f ca="1"/>
        <v>0.30346495842849125</v>
      </c>
    </row>
    <row r="4" spans="1:16" x14ac:dyDescent="0.75">
      <c r="A4" s="14">
        <f t="shared" ref="A4:E7" ca="1" si="0">OFFSET($A$2,COLUMN()-COLUMN($A$2),ROW()-ROW($A$2))</f>
        <v>57.6</v>
      </c>
      <c r="B4" s="14">
        <f t="shared" ca="1" si="0"/>
        <v>30.6</v>
      </c>
      <c r="C4" s="14">
        <f ca="1">Control!G13*Control!$C13*OFFSET(Control!$C13,COLUMN()-COLUMN($C4),0)</f>
        <v>324</v>
      </c>
      <c r="D4" s="14">
        <f ca="1">Control!H13*Control!$C13*OFFSET(Control!$C13,COLUMN()-COLUMN($C4),0)</f>
        <v>34.200000000000003</v>
      </c>
      <c r="E4" s="14">
        <f ca="1">Control!I13*Control!$C13*OFFSET(Control!$C13,COLUMN()-COLUMN($C4),0)</f>
        <v>72</v>
      </c>
      <c r="F4" s="14">
        <f ca="1">Control!J13*Control!$C13*OFFSET(Control!$C13,COLUMN()-COLUMN($C4),0)</f>
        <v>113.39999999999999</v>
      </c>
      <c r="H4" s="14">
        <v>1</v>
      </c>
      <c r="I4" s="14">
        <f ca="1"/>
        <v>2.2868566768826678E-3</v>
      </c>
      <c r="K4" s="14">
        <f ca="1"/>
        <v>0.25127290756676413</v>
      </c>
    </row>
    <row r="5" spans="1:16" x14ac:dyDescent="0.75">
      <c r="A5" s="14">
        <f t="shared" ca="1" si="0"/>
        <v>91.2</v>
      </c>
      <c r="B5" s="14">
        <f t="shared" ca="1" si="0"/>
        <v>64.600000000000009</v>
      </c>
      <c r="C5" s="14">
        <f t="shared" ca="1" si="0"/>
        <v>34.200000000000003</v>
      </c>
      <c r="D5" s="14">
        <f ca="1">Control!H14*Control!$C14*OFFSET(Control!$C14,COLUMN()-COLUMN($D5),0)</f>
        <v>361</v>
      </c>
      <c r="E5" s="14">
        <f ca="1">Control!I14*Control!$C14*OFFSET(Control!$C14,COLUMN()-COLUMN($D5),0)</f>
        <v>38</v>
      </c>
      <c r="F5" s="14">
        <f ca="1">Control!J14*Control!$C14*OFFSET(Control!$C14,COLUMN()-COLUMN($D5),0)</f>
        <v>79.800000000000011</v>
      </c>
      <c r="H5" s="14">
        <v>1</v>
      </c>
      <c r="I5" s="14">
        <f ca="1"/>
        <v>1.4466586867823445E-3</v>
      </c>
      <c r="K5" s="14">
        <f ca="1"/>
        <v>0.15895448899754852</v>
      </c>
    </row>
    <row r="6" spans="1:16" x14ac:dyDescent="0.75">
      <c r="A6" s="14">
        <f t="shared" ca="1" si="0"/>
        <v>128</v>
      </c>
      <c r="B6" s="14">
        <f t="shared" ca="1" si="0"/>
        <v>102</v>
      </c>
      <c r="C6" s="14">
        <f t="shared" ca="1" si="0"/>
        <v>72</v>
      </c>
      <c r="D6" s="14">
        <f t="shared" ca="1" si="0"/>
        <v>38</v>
      </c>
      <c r="E6" s="14">
        <f ca="1">Control!I15*Control!$C15*OFFSET(Control!$C15,COLUMN()-COLUMN($E6),0)</f>
        <v>400</v>
      </c>
      <c r="F6" s="14">
        <f ca="1">Control!J15*Control!$C15*OFFSET(Control!$C15,COLUMN()-COLUMN($E6),0)</f>
        <v>42</v>
      </c>
      <c r="H6" s="14">
        <v>1</v>
      </c>
      <c r="I6" s="14">
        <f ca="1"/>
        <v>4.3023522824434416E-4</v>
      </c>
      <c r="K6" s="14">
        <f ca="1"/>
        <v>4.7272947986391624E-2</v>
      </c>
    </row>
    <row r="7" spans="1:16" x14ac:dyDescent="0.75">
      <c r="A7" s="14">
        <f t="shared" ca="1" si="0"/>
        <v>168</v>
      </c>
      <c r="B7" s="14">
        <f t="shared" ca="1" si="0"/>
        <v>142.80000000000001</v>
      </c>
      <c r="C7" s="14">
        <f t="shared" ca="1" si="0"/>
        <v>113.39999999999999</v>
      </c>
      <c r="D7" s="14">
        <f t="shared" ca="1" si="0"/>
        <v>79.800000000000011</v>
      </c>
      <c r="E7" s="14">
        <f t="shared" ca="1" si="0"/>
        <v>42</v>
      </c>
      <c r="F7" s="14">
        <f>Control!J16*Control!C16*Control!C16</f>
        <v>441</v>
      </c>
      <c r="H7" s="14">
        <v>1</v>
      </c>
      <c r="I7" s="14">
        <f ca="1"/>
        <v>-5.5940096503105316E-4</v>
      </c>
      <c r="K7" s="14">
        <f ca="1"/>
        <v>-6.1465289189270134E-2</v>
      </c>
    </row>
    <row r="9" spans="1:16" x14ac:dyDescent="0.75">
      <c r="I9" s="13" t="s">
        <v>27</v>
      </c>
      <c r="K9" s="13" t="s">
        <v>28</v>
      </c>
    </row>
    <row r="10" spans="1:16" x14ac:dyDescent="0.75">
      <c r="I10" s="14">
        <f ca="1">SUMPRODUCT(H2:H7,_xlfn.ANCHORARRAY(I2))</f>
        <v>9.1010873357886459E-3</v>
      </c>
      <c r="K10" s="14" cm="1">
        <f t="array" aca="1" ref="K10:P10" ca="1">TRANSPOSE(_xlfn.ANCHORARRAY(K2))</f>
        <v>0.30049998621007457</v>
      </c>
      <c r="L10" s="14">
        <f ca="1"/>
        <v>0.30346495842849125</v>
      </c>
      <c r="M10" s="14">
        <f ca="1"/>
        <v>0.25127290756676413</v>
      </c>
      <c r="N10" s="14">
        <f ca="1"/>
        <v>0.15895448899754852</v>
      </c>
      <c r="O10" s="14">
        <f ca="1"/>
        <v>4.7272947986391624E-2</v>
      </c>
      <c r="P10" s="14">
        <f ca="1"/>
        <v>-6.1465289189270134E-2</v>
      </c>
    </row>
    <row r="11" spans="1:16" x14ac:dyDescent="0.75">
      <c r="K11" s="13" t="s">
        <v>29</v>
      </c>
    </row>
    <row r="12" spans="1:16" x14ac:dyDescent="0.75">
      <c r="K12" s="14" cm="1">
        <f t="array" aca="1" ref="K12:P12" ca="1">MMULT(_xlfn.ANCHORARRAY(K10),A2:F7)</f>
        <v>109.87698096991683</v>
      </c>
      <c r="L12" s="14">
        <f ca="1"/>
        <v>109.87698096991679</v>
      </c>
      <c r="M12" s="14">
        <f ca="1"/>
        <v>109.87698096991681</v>
      </c>
      <c r="N12" s="14">
        <f ca="1"/>
        <v>109.87698096991681</v>
      </c>
      <c r="O12" s="14">
        <f ca="1"/>
        <v>109.87698096991683</v>
      </c>
      <c r="P12" s="14">
        <f ca="1"/>
        <v>109.87698096991684</v>
      </c>
    </row>
    <row r="13" spans="1:16" x14ac:dyDescent="0.75">
      <c r="K13" s="13" t="s">
        <v>30</v>
      </c>
    </row>
    <row r="14" spans="1:16" x14ac:dyDescent="0.75">
      <c r="K14" s="14" cm="1">
        <f t="array" aca="1" ref="K14" ca="1">MMULT(_xlfn.ANCHORARRAY(K12),_xlfn.ANCHORARRAY(K2))</f>
        <v>109.8769809699168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327C-43D4-4B30-B67A-A1B67423FB82}">
  <sheetPr>
    <pageSetUpPr fitToPage="1"/>
  </sheetPr>
  <dimension ref="A1:W51"/>
  <sheetViews>
    <sheetView workbookViewId="0">
      <selection sqref="A1:F1"/>
    </sheetView>
  </sheetViews>
  <sheetFormatPr defaultRowHeight="14.75" x14ac:dyDescent="0.75"/>
  <sheetData>
    <row r="1" spans="1:19" x14ac:dyDescent="0.75">
      <c r="A1" s="12" t="s">
        <v>24</v>
      </c>
      <c r="B1" s="12"/>
      <c r="C1" s="12"/>
      <c r="D1" s="12"/>
      <c r="E1" s="12"/>
      <c r="F1" s="12"/>
      <c r="H1" t="s">
        <v>40</v>
      </c>
      <c r="K1">
        <f ca="1">IF(Control!B18&lt;='Desired Expected Return'!A28,1,IF(Control!B18&gt;='Desired Expected Return'!Q28,3,2))</f>
        <v>3</v>
      </c>
    </row>
    <row r="2" spans="1:19" x14ac:dyDescent="0.75">
      <c r="A2" s="14">
        <f>Control!E11*Control!C11*Control!C11</f>
        <v>256</v>
      </c>
      <c r="B2" s="14">
        <f ca="1">Control!F11*Control!$C11*OFFSET(Control!$C11,COLUMN()-COLUMN($A2),0)</f>
        <v>27.200000000000003</v>
      </c>
      <c r="C2" s="14">
        <f ca="1">Control!G11*Control!$C11*OFFSET(Control!$C11,COLUMN()-COLUMN($A2),0)</f>
        <v>57.6</v>
      </c>
      <c r="D2" s="14">
        <f ca="1">Control!H11*Control!$C11*OFFSET(Control!$C11,COLUMN()-COLUMN($A2),0)</f>
        <v>91.2</v>
      </c>
      <c r="E2" s="14">
        <f ca="1">Control!I11*Control!$C11*OFFSET(Control!$C11,COLUMN()-COLUMN($A2),0)</f>
        <v>128</v>
      </c>
      <c r="F2" s="14">
        <f ca="1">Control!J11*Control!$C11*OFFSET(Control!$C11,COLUMN()-COLUMN($A2),0)</f>
        <v>168</v>
      </c>
      <c r="H2" t="s">
        <v>53</v>
      </c>
      <c r="I2" t="s">
        <v>54</v>
      </c>
      <c r="K2" t="s">
        <v>56</v>
      </c>
    </row>
    <row r="3" spans="1:19" x14ac:dyDescent="0.75">
      <c r="A3" s="14">
        <f ca="1">OFFSET($A$2,COLUMN()-COLUMN($A$2),ROW()-ROW($A$2))</f>
        <v>27.200000000000003</v>
      </c>
      <c r="B3" s="14">
        <f ca="1">Control!F12*Control!$C12*OFFSET(Control!$C12,COLUMN()-COLUMN($B3),0)</f>
        <v>289</v>
      </c>
      <c r="C3" s="14">
        <f ca="1">Control!G12*Control!$C12*OFFSET(Control!$C12,COLUMN()-COLUMN($B3),0)</f>
        <v>30.6</v>
      </c>
      <c r="D3" s="14">
        <f ca="1">Control!H12*Control!$C12*OFFSET(Control!$C12,COLUMN()-COLUMN($B3),0)</f>
        <v>64.600000000000009</v>
      </c>
      <c r="E3" s="14">
        <f ca="1">Control!I12*Control!$C12*OFFSET(Control!$C12,COLUMN()-COLUMN($B3),0)</f>
        <v>102</v>
      </c>
      <c r="F3" s="14">
        <f ca="1">Control!J12*Control!$C12*OFFSET(Control!$C12,COLUMN()-COLUMN($B3),0)</f>
        <v>142.80000000000001</v>
      </c>
      <c r="H3" cm="1">
        <f t="array" ref="H3:H8">Control!B11:B16</f>
        <v>16</v>
      </c>
      <c r="I3">
        <f ca="1">IF($K$1=1,B37,IF($K$1=3,R37,J20))</f>
        <v>-5.3424798328071878E-2</v>
      </c>
      <c r="K3">
        <f ca="1">IF($K$1=1,A51,IF($K$1=3,Q51,I35))</f>
        <v>12.280790794908913</v>
      </c>
    </row>
    <row r="4" spans="1:19" x14ac:dyDescent="0.75">
      <c r="A4" s="14">
        <f t="shared" ref="A4:E7" ca="1" si="0">OFFSET($A$2,COLUMN()-COLUMN($A$2),ROW()-ROW($A$2))</f>
        <v>57.6</v>
      </c>
      <c r="B4" s="14">
        <f t="shared" ca="1" si="0"/>
        <v>30.6</v>
      </c>
      <c r="C4" s="14">
        <f ca="1">Control!G13*Control!$C13*OFFSET(Control!$C13,COLUMN()-COLUMN($C4),0)</f>
        <v>324</v>
      </c>
      <c r="D4" s="14">
        <f ca="1">Control!H13*Control!$C13*OFFSET(Control!$C13,COLUMN()-COLUMN($C4),0)</f>
        <v>34.200000000000003</v>
      </c>
      <c r="E4" s="14">
        <f ca="1">Control!I13*Control!$C13*OFFSET(Control!$C13,COLUMN()-COLUMN($C4),0)</f>
        <v>72</v>
      </c>
      <c r="F4" s="14">
        <f ca="1">Control!J13*Control!$C13*OFFSET(Control!$C13,COLUMN()-COLUMN($C4),0)</f>
        <v>113.39999999999999</v>
      </c>
      <c r="H4">
        <v>17</v>
      </c>
      <c r="I4">
        <f ca="1">IF($K$1=1,B38,IF($K$1=3,R38,J21))</f>
        <v>0.10143785292230947</v>
      </c>
    </row>
    <row r="5" spans="1:19" x14ac:dyDescent="0.75">
      <c r="A5" s="14">
        <f t="shared" ca="1" si="0"/>
        <v>91.2</v>
      </c>
      <c r="B5" s="14">
        <f t="shared" ca="1" si="0"/>
        <v>64.600000000000009</v>
      </c>
      <c r="C5" s="14">
        <f t="shared" ca="1" si="0"/>
        <v>34.200000000000003</v>
      </c>
      <c r="D5" s="14">
        <f ca="1">Control!H14*Control!$C14*OFFSET(Control!$C14,COLUMN()-COLUMN($D5),0)</f>
        <v>361</v>
      </c>
      <c r="E5" s="14">
        <f ca="1">Control!I14*Control!$C14*OFFSET(Control!$C14,COLUMN()-COLUMN($D5),0)</f>
        <v>38</v>
      </c>
      <c r="F5" s="14">
        <f ca="1">Control!J14*Control!$C14*OFFSET(Control!$C14,COLUMN()-COLUMN($D5),0)</f>
        <v>79.800000000000011</v>
      </c>
      <c r="H5">
        <v>18</v>
      </c>
      <c r="I5">
        <f ca="1">IF($K$1=1,B39,IF($K$1=3,R39,J22))</f>
        <v>0.21765126005057214</v>
      </c>
    </row>
    <row r="6" spans="1:19" x14ac:dyDescent="0.75">
      <c r="A6" s="14">
        <f t="shared" ca="1" si="0"/>
        <v>128</v>
      </c>
      <c r="B6" s="14">
        <f t="shared" ca="1" si="0"/>
        <v>102</v>
      </c>
      <c r="C6" s="14">
        <f t="shared" ca="1" si="0"/>
        <v>72</v>
      </c>
      <c r="D6" s="14">
        <f t="shared" ca="1" si="0"/>
        <v>38</v>
      </c>
      <c r="E6" s="14">
        <f ca="1">Control!I15*Control!$C15*OFFSET(Control!$C15,COLUMN()-COLUMN($E6),0)</f>
        <v>400</v>
      </c>
      <c r="F6" s="14">
        <f ca="1">Control!J15*Control!$C15*OFFSET(Control!$C15,COLUMN()-COLUMN($E6),0)</f>
        <v>42</v>
      </c>
      <c r="H6">
        <v>19</v>
      </c>
      <c r="I6">
        <f ca="1">IF($K$1=1,B40,IF($K$1=3,R40,J23))</f>
        <v>0.27857210782560066</v>
      </c>
    </row>
    <row r="7" spans="1:19" x14ac:dyDescent="0.75">
      <c r="A7" s="14">
        <f t="shared" ca="1" si="0"/>
        <v>168</v>
      </c>
      <c r="B7" s="14">
        <f t="shared" ca="1" si="0"/>
        <v>142.80000000000001</v>
      </c>
      <c r="C7" s="14">
        <f t="shared" ca="1" si="0"/>
        <v>113.39999999999999</v>
      </c>
      <c r="D7" s="14">
        <f t="shared" ca="1" si="0"/>
        <v>79.800000000000011</v>
      </c>
      <c r="E7" s="14">
        <f t="shared" ca="1" si="0"/>
        <v>42</v>
      </c>
      <c r="F7" s="14">
        <f>Control!J16*Control!C16*Control!C16</f>
        <v>441</v>
      </c>
      <c r="H7">
        <v>20</v>
      </c>
      <c r="I7">
        <f ca="1">IF($K$1=1,B41,IF($K$1=3,R41,J24))</f>
        <v>0.27900221105216555</v>
      </c>
    </row>
    <row r="8" spans="1:19" x14ac:dyDescent="0.75">
      <c r="A8" s="15"/>
      <c r="B8" s="15"/>
      <c r="C8" s="15"/>
      <c r="D8" s="15"/>
      <c r="E8" s="15"/>
      <c r="F8" s="15"/>
      <c r="H8">
        <v>21</v>
      </c>
      <c r="I8">
        <f ca="1">IF($K$1=1,B42,IF($K$1=3,R42,J25))</f>
        <v>0.22504810700849809</v>
      </c>
    </row>
    <row r="9" spans="1:19" x14ac:dyDescent="0.75">
      <c r="A9" s="15"/>
      <c r="B9" s="15"/>
      <c r="C9" s="15"/>
      <c r="D9" s="15"/>
      <c r="E9" s="15"/>
      <c r="F9" s="15"/>
      <c r="H9" t="s">
        <v>55</v>
      </c>
      <c r="I9">
        <f ca="1">IF($K$1=1,B43,IF($K$1=3,R43,J26))</f>
        <v>-4.8286740531073929E-2</v>
      </c>
    </row>
    <row r="11" spans="1:19" x14ac:dyDescent="0.75">
      <c r="A11" t="s">
        <v>31</v>
      </c>
      <c r="I11" t="s">
        <v>32</v>
      </c>
      <c r="Q11" t="s">
        <v>33</v>
      </c>
    </row>
    <row r="12" spans="1:19" x14ac:dyDescent="0.75">
      <c r="A12" t="s">
        <v>34</v>
      </c>
      <c r="I12" t="s">
        <v>35</v>
      </c>
      <c r="Q12" t="s">
        <v>36</v>
      </c>
    </row>
    <row r="13" spans="1:19" x14ac:dyDescent="0.75">
      <c r="A13" s="11" t="s">
        <v>23</v>
      </c>
      <c r="B13" s="11" t="s">
        <v>37</v>
      </c>
      <c r="C13" s="11" t="s">
        <v>18</v>
      </c>
      <c r="I13" t="s">
        <v>61</v>
      </c>
      <c r="Q13" s="11" t="s">
        <v>23</v>
      </c>
      <c r="R13" s="11" t="s">
        <v>37</v>
      </c>
      <c r="S13" s="11" t="s">
        <v>18</v>
      </c>
    </row>
    <row r="14" spans="1:19" x14ac:dyDescent="0.75">
      <c r="A14">
        <f>Control!B11-Control!$C$7</f>
        <v>14</v>
      </c>
      <c r="B14" cm="1">
        <f t="array" aca="1" ref="B14:B19" ca="1">MMULT(MINVERSE(A2:F7),A14:A19)</f>
        <v>1.2158451890402801E-2</v>
      </c>
      <c r="C14">
        <f ca="1">B14/SUM(_xlfn.ANCHORARRAY($B$14))</f>
        <v>8.8095333842947238E-2</v>
      </c>
      <c r="I14" t="s">
        <v>62</v>
      </c>
      <c r="Q14">
        <f>Control!B11-Control!$C$8</f>
        <v>8</v>
      </c>
      <c r="R14" cm="1">
        <f t="array" aca="1" ref="R14:R19" ca="1">MMULT(MINVERSE(A2:F7),Q14:Q19)</f>
        <v>-4.2508078230042434E-3</v>
      </c>
      <c r="S14">
        <f ca="1">R14/SUM(_xlfn.ANCHORARRAY($R$14))</f>
        <v>-5.0963916896445978E-2</v>
      </c>
    </row>
    <row r="15" spans="1:19" x14ac:dyDescent="0.75">
      <c r="A15">
        <f>Control!B12-Control!$C$7</f>
        <v>15</v>
      </c>
      <c r="B15">
        <f ca="1"/>
        <v>2.464219033883535E-2</v>
      </c>
      <c r="C15">
        <f t="shared" ref="C15:C19" ca="1" si="1">B15/SUM(_xlfn.ANCHORARRAY($B$14))</f>
        <v>0.17854756543756248</v>
      </c>
      <c r="I15" s="10"/>
      <c r="Q15">
        <f>Control!B12-Control!$C$8</f>
        <v>9</v>
      </c>
      <c r="R15">
        <f ca="1"/>
        <v>8.0710237987803163E-3</v>
      </c>
      <c r="S15">
        <f t="shared" ref="S15:S19" ca="1" si="2">R15/SUM(_xlfn.ANCHORARRAY($R$14))</f>
        <v>9.6765368672811714E-2</v>
      </c>
    </row>
    <row r="16" spans="1:19" x14ac:dyDescent="0.75">
      <c r="A16">
        <f>Control!B13-Control!$C$7</f>
        <v>16</v>
      </c>
      <c r="B16">
        <f ca="1"/>
        <v>3.1038822258770273E-2</v>
      </c>
      <c r="C16">
        <f t="shared" ca="1" si="1"/>
        <v>0.22489503052083723</v>
      </c>
      <c r="I16" s="11">
        <f>Control!B18</f>
        <v>20</v>
      </c>
      <c r="J16" s="11" t="s">
        <v>47</v>
      </c>
      <c r="K16" s="11" t="s">
        <v>50</v>
      </c>
      <c r="L16" s="11">
        <f ca="1">A28</f>
        <v>18.544118355041451</v>
      </c>
      <c r="M16" s="11" t="s">
        <v>45</v>
      </c>
      <c r="N16" s="11" t="s">
        <v>51</v>
      </c>
      <c r="O16" s="11">
        <f ca="1">Q28</f>
        <v>19.447249627445125</v>
      </c>
      <c r="Q16">
        <f>Control!B13-Control!$C$8</f>
        <v>10</v>
      </c>
      <c r="R16">
        <f ca="1"/>
        <v>1.731768219747426E-2</v>
      </c>
      <c r="S16">
        <f t="shared" ca="1" si="2"/>
        <v>0.2076256921272395</v>
      </c>
    </row>
    <row r="17" spans="1:22" x14ac:dyDescent="0.75">
      <c r="A17">
        <f>Control!B14-Control!$C$7</f>
        <v>17</v>
      </c>
      <c r="B17">
        <f ca="1"/>
        <v>3.0844874259363778E-2</v>
      </c>
      <c r="C17">
        <f t="shared" ca="1" si="1"/>
        <v>0.22348976002177201</v>
      </c>
      <c r="I17" s="11" t="s">
        <v>52</v>
      </c>
      <c r="J17">
        <f ca="1">(I16-O16)/(L16-O16)</f>
        <v>-0.61203768427123217</v>
      </c>
      <c r="K17" t="s">
        <v>65</v>
      </c>
      <c r="Q17">
        <f>Control!B14-Control!$C$8</f>
        <v>11</v>
      </c>
      <c r="R17">
        <f ca="1"/>
        <v>2.2164922138669711E-2</v>
      </c>
      <c r="S17">
        <f t="shared" ca="1" si="2"/>
        <v>0.26574037146026752</v>
      </c>
    </row>
    <row r="18" spans="1:22" x14ac:dyDescent="0.75">
      <c r="A18">
        <f>Control!B15-Control!$C$7</f>
        <v>18</v>
      </c>
      <c r="B18">
        <f ca="1"/>
        <v>2.4780555184536954E-2</v>
      </c>
      <c r="C18">
        <f t="shared" ca="1" si="1"/>
        <v>0.17955010238750366</v>
      </c>
      <c r="Q18">
        <f>Control!B15-Control!$C$8</f>
        <v>12</v>
      </c>
      <c r="R18">
        <f ca="1"/>
        <v>2.2199143815070887E-2</v>
      </c>
      <c r="S18">
        <f t="shared" ca="1" si="2"/>
        <v>0.26615066304360568</v>
      </c>
    </row>
    <row r="19" spans="1:22" x14ac:dyDescent="0.75">
      <c r="A19">
        <f>Control!B16-Control!$C$7</f>
        <v>19</v>
      </c>
      <c r="B19">
        <f ca="1"/>
        <v>1.4549815361075538E-2</v>
      </c>
      <c r="C19">
        <f t="shared" ca="1" si="1"/>
        <v>0.10542220778937732</v>
      </c>
      <c r="I19" s="10" t="s">
        <v>53</v>
      </c>
      <c r="J19" s="10" t="s">
        <v>18</v>
      </c>
      <c r="Q19">
        <f>Control!B16-Control!$C$8</f>
        <v>13</v>
      </c>
      <c r="R19">
        <f ca="1"/>
        <v>1.7906221151261857E-2</v>
      </c>
      <c r="S19">
        <f t="shared" ca="1" si="2"/>
        <v>0.21468182159252169</v>
      </c>
    </row>
    <row r="20" spans="1:22" x14ac:dyDescent="0.75">
      <c r="I20">
        <v>16</v>
      </c>
      <c r="J20">
        <f ca="1">C14*$J$17+S14*(1-$J$17)</f>
        <v>-0.13607341869547684</v>
      </c>
    </row>
    <row r="21" spans="1:22" x14ac:dyDescent="0.75">
      <c r="A21" s="10" t="s">
        <v>28</v>
      </c>
      <c r="I21">
        <v>17</v>
      </c>
      <c r="J21">
        <f ca="1">C15*$J$17+S15*(1-$J$17)</f>
        <v>4.6711582350299402E-2</v>
      </c>
      <c r="Q21" s="10" t="s">
        <v>28</v>
      </c>
    </row>
    <row r="22" spans="1:22" x14ac:dyDescent="0.75">
      <c r="A22" cm="1">
        <f t="array" aca="1" ref="A22:F22" ca="1">TRANSPOSE(C14:C19)</f>
        <v>8.8095333842947238E-2</v>
      </c>
      <c r="B22">
        <f ca="1"/>
        <v>0.17854756543756248</v>
      </c>
      <c r="C22">
        <f ca="1"/>
        <v>0.22489503052083723</v>
      </c>
      <c r="D22">
        <f ca="1"/>
        <v>0.22348976002177201</v>
      </c>
      <c r="E22">
        <f ca="1"/>
        <v>0.17955010238750366</v>
      </c>
      <c r="F22">
        <f ca="1"/>
        <v>0.10542220778937732</v>
      </c>
      <c r="I22">
        <v>18</v>
      </c>
      <c r="J22">
        <f ca="1">C16*$J$17+S16*(1-$J$17)</f>
        <v>0.19705620624792564</v>
      </c>
      <c r="Q22" cm="1">
        <f t="array" aca="1" ref="Q22:V22" ca="1">TRANSPOSE(S14:S19)</f>
        <v>-5.0963916896445978E-2</v>
      </c>
      <c r="R22">
        <f ca="1"/>
        <v>9.6765368672811714E-2</v>
      </c>
      <c r="S22">
        <f ca="1"/>
        <v>0.2076256921272395</v>
      </c>
      <c r="T22">
        <f ca="1"/>
        <v>0.26574037146026752</v>
      </c>
      <c r="U22">
        <f ca="1"/>
        <v>0.26615066304360568</v>
      </c>
      <c r="V22">
        <f ca="1"/>
        <v>0.21468182159252169</v>
      </c>
    </row>
    <row r="23" spans="1:22" x14ac:dyDescent="0.75">
      <c r="A23" s="10" t="s">
        <v>29</v>
      </c>
      <c r="I23">
        <v>19</v>
      </c>
      <c r="J23">
        <f ca="1">C17*$J$17+S17*(1-$J$17)</f>
        <v>0.29159933784412795</v>
      </c>
      <c r="Q23" s="10" t="s">
        <v>29</v>
      </c>
    </row>
    <row r="24" spans="1:22" x14ac:dyDescent="0.75">
      <c r="A24" cm="1">
        <f t="array" aca="1" ref="A24:F24" ca="1">MMULT(_xlfn.ANCHORARRAY(A22),A2:F7)</f>
        <v>101.43846312989788</v>
      </c>
      <c r="B24">
        <f ca="1"/>
        <v>108.68406763917626</v>
      </c>
      <c r="C24">
        <f ca="1"/>
        <v>115.92967214845469</v>
      </c>
      <c r="D24">
        <f ca="1"/>
        <v>123.17527665773311</v>
      </c>
      <c r="E24">
        <f ca="1"/>
        <v>130.42088116701154</v>
      </c>
      <c r="F24">
        <f ca="1"/>
        <v>137.66648567628997</v>
      </c>
      <c r="I24">
        <v>20</v>
      </c>
      <c r="J24">
        <f ca="1">C18*$J$17+S18*(1-$J$17)</f>
        <v>0.31915346964415675</v>
      </c>
      <c r="Q24" cm="1">
        <f t="array" aca="1" ref="Q24:V24" ca="1">MMULT(Q22:V22,A2:F7)</f>
        <v>95.913847943240881</v>
      </c>
      <c r="R24">
        <f ca="1"/>
        <v>107.90307893614595</v>
      </c>
      <c r="S24">
        <f ca="1"/>
        <v>119.89230992905107</v>
      </c>
      <c r="T24">
        <f ca="1"/>
        <v>131.88154092195617</v>
      </c>
      <c r="U24">
        <f ca="1"/>
        <v>143.87077191486128</v>
      </c>
      <c r="V24">
        <f ca="1"/>
        <v>155.86000290776641</v>
      </c>
    </row>
    <row r="25" spans="1:22" x14ac:dyDescent="0.75">
      <c r="A25" s="10" t="s">
        <v>30</v>
      </c>
      <c r="I25">
        <v>21</v>
      </c>
      <c r="J25">
        <f ca="1">C19*$J$17+S19*(1-$J$17)</f>
        <v>0.2815528226089673</v>
      </c>
      <c r="Q25" s="10" t="s">
        <v>30</v>
      </c>
    </row>
    <row r="26" spans="1:22" x14ac:dyDescent="0.75">
      <c r="A26" cm="1">
        <f t="array" aca="1" ref="A26" ca="1">MMULT(_xlfn.ANCHORARRAY(A24),C14:C19)</f>
        <v>119.8721385553242</v>
      </c>
      <c r="I26" s="16" t="s">
        <v>57</v>
      </c>
      <c r="J26">
        <v>0</v>
      </c>
      <c r="Q26" cm="1">
        <f t="array" aca="1" ref="Q26" ca="1">MMULT(_xlfn.ANCHORARRAY(Q24),S14:S19)</f>
        <v>137.24372001688653</v>
      </c>
    </row>
    <row r="27" spans="1:22" x14ac:dyDescent="0.75">
      <c r="A27" s="10" t="s">
        <v>39</v>
      </c>
      <c r="B27" s="10" t="s">
        <v>38</v>
      </c>
      <c r="C27" t="s">
        <v>42</v>
      </c>
      <c r="Q27" s="10" t="s">
        <v>39</v>
      </c>
      <c r="R27" s="10" t="s">
        <v>38</v>
      </c>
      <c r="S27" t="s">
        <v>41</v>
      </c>
    </row>
    <row r="28" spans="1:22" x14ac:dyDescent="0.75">
      <c r="A28">
        <f ca="1">SUMPRODUCT(C14:C19,Control!B11:B16)</f>
        <v>18.544118355041451</v>
      </c>
      <c r="B28">
        <f ca="1">SQRT(A26)</f>
        <v>10.948613544888877</v>
      </c>
      <c r="I28" s="10" t="s">
        <v>58</v>
      </c>
      <c r="Q28">
        <f ca="1">SUMPRODUCT(Control!B11:B16,'Desired Expected Return'!S14:S19)</f>
        <v>19.447249627445125</v>
      </c>
      <c r="R28">
        <f ca="1">SQRT(Q26)</f>
        <v>11.715106487646048</v>
      </c>
    </row>
    <row r="29" spans="1:22" x14ac:dyDescent="0.75">
      <c r="A29" s="10" t="s">
        <v>43</v>
      </c>
      <c r="I29" cm="1">
        <f t="array" aca="1" ref="I29:N29" ca="1">TRANSPOSE(J20:J25)</f>
        <v>-0.13607341869547684</v>
      </c>
      <c r="J29">
        <f ca="1"/>
        <v>4.6711582350299402E-2</v>
      </c>
      <c r="K29">
        <f ca="1"/>
        <v>0.19705620624792564</v>
      </c>
      <c r="L29">
        <f ca="1"/>
        <v>0.29159933784412795</v>
      </c>
      <c r="M29">
        <f ca="1"/>
        <v>0.31915346964415675</v>
      </c>
      <c r="N29">
        <f ca="1"/>
        <v>0.2815528226089673</v>
      </c>
      <c r="Q29" s="10" t="s">
        <v>44</v>
      </c>
    </row>
    <row r="30" spans="1:22" x14ac:dyDescent="0.75">
      <c r="A30">
        <f ca="1">(A28-Control!C7)/'Desired Expected Return'!B28</f>
        <v>1.5110697155590731</v>
      </c>
      <c r="I30" s="10" t="s">
        <v>59</v>
      </c>
      <c r="Q30">
        <f ca="1">(Q28-Control!C8)/'Desired Expected Return'!R28</f>
        <v>0.977135772476043</v>
      </c>
    </row>
    <row r="31" spans="1:22" x14ac:dyDescent="0.75">
      <c r="A31" s="11">
        <f>Control!B18</f>
        <v>20</v>
      </c>
      <c r="B31" s="11" t="s">
        <v>47</v>
      </c>
      <c r="C31" s="11">
        <f>Control!C7</f>
        <v>2</v>
      </c>
      <c r="D31" s="11" t="s">
        <v>45</v>
      </c>
      <c r="E31" s="11">
        <f ca="1">A30</f>
        <v>1.5110697155590731</v>
      </c>
      <c r="F31" s="11" t="s">
        <v>46</v>
      </c>
      <c r="I31" cm="1">
        <f t="array" aca="1" ref="I31:N31" ca="1">MMULT(I29:N29,A2:F7)</f>
        <v>92.532575257909627</v>
      </c>
      <c r="J31">
        <f ca="1"/>
        <v>107.42508441890128</v>
      </c>
      <c r="K31">
        <f ca="1"/>
        <v>122.31759357989296</v>
      </c>
      <c r="L31">
        <f ca="1"/>
        <v>137.21010274088465</v>
      </c>
      <c r="M31">
        <f ca="1"/>
        <v>152.10261190187634</v>
      </c>
      <c r="N31">
        <f ca="1"/>
        <v>166.99512106286798</v>
      </c>
      <c r="Q31" s="11">
        <f>Control!B18</f>
        <v>20</v>
      </c>
      <c r="R31" s="11" t="s">
        <v>47</v>
      </c>
      <c r="S31" s="11">
        <f>Control!C8</f>
        <v>8</v>
      </c>
      <c r="T31" s="11" t="s">
        <v>45</v>
      </c>
      <c r="U31" s="11">
        <f ca="1">Q30</f>
        <v>0.977135772476043</v>
      </c>
      <c r="V31" s="11" t="s">
        <v>46</v>
      </c>
    </row>
    <row r="32" spans="1:22" x14ac:dyDescent="0.75">
      <c r="A32" s="10" t="s">
        <v>48</v>
      </c>
      <c r="B32">
        <f ca="1">(A31-C31)/E31</f>
        <v>11.912091027077642</v>
      </c>
      <c r="I32" s="10" t="s">
        <v>60</v>
      </c>
      <c r="Q32" s="10" t="s">
        <v>48</v>
      </c>
      <c r="R32">
        <f ca="1">(Q31-S31)/U31</f>
        <v>12.280790794908913</v>
      </c>
    </row>
    <row r="33" spans="1:23" x14ac:dyDescent="0.75">
      <c r="A33" s="11">
        <f>A31</f>
        <v>20</v>
      </c>
      <c r="B33" s="11" t="s">
        <v>47</v>
      </c>
      <c r="C33" s="11" t="s">
        <v>50</v>
      </c>
      <c r="D33" s="11">
        <f>C31</f>
        <v>2</v>
      </c>
      <c r="E33" s="11" t="s">
        <v>45</v>
      </c>
      <c r="F33" s="11" t="s">
        <v>51</v>
      </c>
      <c r="G33" s="11">
        <f ca="1">A28</f>
        <v>18.544118355041451</v>
      </c>
      <c r="H33" s="11"/>
      <c r="I33" cm="1">
        <f t="array" aca="1" ref="I33" ca="1">MMULT(_xlfn.ANCHORARRAY(I31),J20:J25)</f>
        <v>152.10261190187632</v>
      </c>
      <c r="Q33" s="11">
        <f>Q31</f>
        <v>20</v>
      </c>
      <c r="R33" s="11" t="s">
        <v>47</v>
      </c>
      <c r="S33" s="11" t="s">
        <v>50</v>
      </c>
      <c r="T33" s="11">
        <f>S31</f>
        <v>8</v>
      </c>
      <c r="U33" s="11" t="s">
        <v>45</v>
      </c>
      <c r="V33" s="11" t="s">
        <v>51</v>
      </c>
      <c r="W33" s="11">
        <f ca="1">Q28</f>
        <v>19.447249627445125</v>
      </c>
    </row>
    <row r="34" spans="1:23" x14ac:dyDescent="0.75">
      <c r="A34" s="10" t="s">
        <v>52</v>
      </c>
      <c r="B34">
        <f ca="1">(A33-G33)/(D33-G33)</f>
        <v>-8.7999953440547105E-2</v>
      </c>
      <c r="I34" s="10" t="s">
        <v>38</v>
      </c>
      <c r="Q34" s="10" t="s">
        <v>52</v>
      </c>
      <c r="R34">
        <f ca="1">(Q33-W33)/(T33-W33)</f>
        <v>-4.8286740531073929E-2</v>
      </c>
    </row>
    <row r="35" spans="1:23" x14ac:dyDescent="0.75">
      <c r="A35" s="10"/>
      <c r="I35">
        <f ca="1">SQRT(I33)</f>
        <v>12.332988765983545</v>
      </c>
      <c r="Q35" s="10"/>
    </row>
    <row r="36" spans="1:23" x14ac:dyDescent="0.75">
      <c r="A36" s="10" t="s">
        <v>53</v>
      </c>
      <c r="B36" s="10" t="s">
        <v>18</v>
      </c>
      <c r="Q36" s="10" t="s">
        <v>53</v>
      </c>
      <c r="R36" s="10" t="s">
        <v>18</v>
      </c>
    </row>
    <row r="37" spans="1:23" x14ac:dyDescent="0.75">
      <c r="A37" cm="1">
        <f t="array" ref="A37:A42">Control!B11:B16</f>
        <v>16</v>
      </c>
      <c r="B37">
        <f ca="1">(1-$B$34)*C14</f>
        <v>9.5847719119456054E-2</v>
      </c>
      <c r="Q37" cm="1">
        <f t="array" ref="Q37:Q42">Control!B11:B16</f>
        <v>16</v>
      </c>
      <c r="R37">
        <f ca="1">(1-$R$34)*S14</f>
        <v>-5.3424798328071878E-2</v>
      </c>
    </row>
    <row r="38" spans="1:23" x14ac:dyDescent="0.75">
      <c r="A38">
        <v>17</v>
      </c>
      <c r="B38">
        <f t="shared" ref="B38:B42" ca="1" si="3">(1-$B$34)*C15</f>
        <v>0.19425974288299103</v>
      </c>
      <c r="Q38">
        <v>17</v>
      </c>
      <c r="R38">
        <f t="shared" ref="R38:R42" ca="1" si="4">(1-$R$34)*S15</f>
        <v>0.10143785292230947</v>
      </c>
    </row>
    <row r="39" spans="1:23" x14ac:dyDescent="0.75">
      <c r="A39">
        <v>18</v>
      </c>
      <c r="B39">
        <f t="shared" ca="1" si="3"/>
        <v>0.24468578273568134</v>
      </c>
      <c r="Q39">
        <v>18</v>
      </c>
      <c r="R39">
        <f t="shared" ca="1" si="4"/>
        <v>0.21765126005057214</v>
      </c>
    </row>
    <row r="40" spans="1:23" x14ac:dyDescent="0.75">
      <c r="A40">
        <v>19</v>
      </c>
      <c r="B40">
        <f t="shared" ca="1" si="3"/>
        <v>0.24315684849812699</v>
      </c>
      <c r="Q40">
        <v>19</v>
      </c>
      <c r="R40">
        <f t="shared" ca="1" si="4"/>
        <v>0.27857210782560066</v>
      </c>
    </row>
    <row r="41" spans="1:23" x14ac:dyDescent="0.75">
      <c r="A41">
        <v>20</v>
      </c>
      <c r="B41">
        <f t="shared" ca="1" si="3"/>
        <v>0.19535050303784945</v>
      </c>
      <c r="Q41">
        <v>20</v>
      </c>
      <c r="R41">
        <f t="shared" ca="1" si="4"/>
        <v>0.27900221105216555</v>
      </c>
    </row>
    <row r="42" spans="1:23" x14ac:dyDescent="0.75">
      <c r="A42">
        <v>21</v>
      </c>
      <c r="B42">
        <f t="shared" ca="1" si="3"/>
        <v>0.11469935716644221</v>
      </c>
      <c r="Q42">
        <v>21</v>
      </c>
      <c r="R42">
        <f t="shared" ca="1" si="4"/>
        <v>0.22504810700849809</v>
      </c>
    </row>
    <row r="43" spans="1:23" x14ac:dyDescent="0.75">
      <c r="A43" s="16" t="s">
        <v>57</v>
      </c>
      <c r="B43">
        <f ca="1">B34</f>
        <v>-8.7999953440547105E-2</v>
      </c>
      <c r="Q43" s="16" t="s">
        <v>57</v>
      </c>
      <c r="R43">
        <f ca="1">R34</f>
        <v>-4.8286740531073929E-2</v>
      </c>
    </row>
    <row r="44" spans="1:23" x14ac:dyDescent="0.75">
      <c r="A44" s="10" t="s">
        <v>58</v>
      </c>
      <c r="Q44" s="10" t="s">
        <v>28</v>
      </c>
    </row>
    <row r="45" spans="1:23" x14ac:dyDescent="0.75">
      <c r="A45" cm="1">
        <f t="array" aca="1" ref="A45:F45" ca="1">TRANSPOSE(B37:B42)</f>
        <v>9.5847719119456054E-2</v>
      </c>
      <c r="B45">
        <f ca="1"/>
        <v>0.19425974288299103</v>
      </c>
      <c r="C45">
        <f ca="1"/>
        <v>0.24468578273568134</v>
      </c>
      <c r="D45">
        <f ca="1"/>
        <v>0.24315684849812699</v>
      </c>
      <c r="E45">
        <f ca="1"/>
        <v>0.19535050303784945</v>
      </c>
      <c r="F45">
        <f ca="1"/>
        <v>0.11469935716644221</v>
      </c>
      <c r="Q45" cm="1">
        <f t="array" aca="1" ref="Q45:V45" ca="1">TRANSPOSE(R37:R42)</f>
        <v>-5.3424798328071878E-2</v>
      </c>
      <c r="R45">
        <f ca="1"/>
        <v>0.10143785292230947</v>
      </c>
      <c r="S45">
        <f ca="1"/>
        <v>0.21765126005057214</v>
      </c>
      <c r="T45">
        <f ca="1"/>
        <v>0.27857210782560066</v>
      </c>
      <c r="U45">
        <f ca="1"/>
        <v>0.27900221105216555</v>
      </c>
      <c r="V45">
        <f ca="1"/>
        <v>0.22504810700849809</v>
      </c>
    </row>
    <row r="46" spans="1:23" x14ac:dyDescent="0.75">
      <c r="A46" s="10" t="s">
        <v>59</v>
      </c>
      <c r="Q46" s="10" t="s">
        <v>29</v>
      </c>
    </row>
    <row r="47" spans="1:23" x14ac:dyDescent="0.75">
      <c r="A47" cm="1">
        <f t="array" aca="1" ref="A47:F47" ca="1">MMULT(_xlfn.ANCHORARRAY(A45),A2:F7)</f>
        <v>110.36504316240956</v>
      </c>
      <c r="B47">
        <f ca="1"/>
        <v>118.24826053115306</v>
      </c>
      <c r="C47">
        <f ca="1"/>
        <v>126.13147789989661</v>
      </c>
      <c r="D47">
        <f ca="1"/>
        <v>134.01469526864014</v>
      </c>
      <c r="E47">
        <f ca="1"/>
        <v>141.89791263738371</v>
      </c>
      <c r="F47">
        <f ca="1"/>
        <v>149.78113000612723</v>
      </c>
      <c r="Q47" cm="1">
        <f t="array" aca="1" ref="Q47:V47" ca="1">MMULT(_xlfn.ANCHORARRAY(Q45),A2:F7)</f>
        <v>100.54521503221302</v>
      </c>
      <c r="R47">
        <f ca="1"/>
        <v>113.11336691123961</v>
      </c>
      <c r="S47">
        <f ca="1"/>
        <v>125.68151879026625</v>
      </c>
      <c r="T47">
        <f ca="1"/>
        <v>138.24967066929287</v>
      </c>
      <c r="U47">
        <f ca="1"/>
        <v>150.81782254831955</v>
      </c>
      <c r="V47">
        <f ca="1"/>
        <v>163.38597442734613</v>
      </c>
    </row>
    <row r="48" spans="1:23" x14ac:dyDescent="0.75">
      <c r="A48" s="10" t="s">
        <v>60</v>
      </c>
      <c r="Q48" s="10" t="s">
        <v>30</v>
      </c>
    </row>
    <row r="49" spans="1:17" x14ac:dyDescent="0.75">
      <c r="A49" cm="1">
        <f t="array" aca="1" ref="A49" ca="1">MMULT(_xlfn.ANCHORARRAY(A47),B37:B42)</f>
        <v>141.89791263738371</v>
      </c>
      <c r="Q49" cm="1">
        <f t="array" aca="1" ref="Q49" ca="1">MMULT(_xlfn.ANCHORARRAY(Q47),R37:R42)</f>
        <v>150.8178225483195</v>
      </c>
    </row>
    <row r="50" spans="1:17" x14ac:dyDescent="0.75">
      <c r="A50" s="10" t="s">
        <v>38</v>
      </c>
      <c r="Q50" s="10" t="s">
        <v>38</v>
      </c>
    </row>
    <row r="51" spans="1:17" x14ac:dyDescent="0.75">
      <c r="A51">
        <f ca="1">SQRT(A49)</f>
        <v>11.912091027077643</v>
      </c>
      <c r="Q51">
        <f ca="1">SQRT(Q49)</f>
        <v>12.280790794908913</v>
      </c>
    </row>
  </sheetData>
  <mergeCells count="1">
    <mergeCell ref="A1:F1"/>
  </mergeCells>
  <pageMargins left="0.7" right="0.7" top="0.75" bottom="0.75" header="0.3" footer="0.3"/>
  <pageSetup scale="61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2AB7-7CAB-4F7F-ABE7-3542DFE9BCBB}">
  <dimension ref="A1:W46"/>
  <sheetViews>
    <sheetView workbookViewId="0">
      <selection sqref="A1:F1"/>
    </sheetView>
  </sheetViews>
  <sheetFormatPr defaultRowHeight="14.75" x14ac:dyDescent="0.75"/>
  <sheetData>
    <row r="1" spans="1:19" x14ac:dyDescent="0.75">
      <c r="A1" s="12" t="s">
        <v>24</v>
      </c>
      <c r="B1" s="12"/>
      <c r="C1" s="12"/>
      <c r="D1" s="12"/>
      <c r="E1" s="12"/>
      <c r="F1" s="12"/>
      <c r="H1" t="s">
        <v>40</v>
      </c>
      <c r="K1">
        <f ca="1">IF(Control!B19&lt;=C17,1,IF(Control!B19&gt;=S17,3,2))</f>
        <v>2</v>
      </c>
    </row>
    <row r="2" spans="1:19" x14ac:dyDescent="0.75">
      <c r="A2" s="14">
        <f>Control!E11*Control!C11*Control!C11</f>
        <v>256</v>
      </c>
      <c r="B2" s="14">
        <f ca="1">Control!F11*Control!$C11*OFFSET(Control!$C11,COLUMN()-COLUMN($A2),0)</f>
        <v>27.200000000000003</v>
      </c>
      <c r="C2" s="14">
        <f ca="1">Control!G11*Control!$C11*OFFSET(Control!$C11,COLUMN()-COLUMN($A2),0)</f>
        <v>57.6</v>
      </c>
      <c r="D2" s="14">
        <f ca="1">Control!H11*Control!$C11*OFFSET(Control!$C11,COLUMN()-COLUMN($A2),0)</f>
        <v>91.2</v>
      </c>
      <c r="E2" s="14">
        <f ca="1">Control!I11*Control!$C11*OFFSET(Control!$C11,COLUMN()-COLUMN($A2),0)</f>
        <v>128</v>
      </c>
      <c r="F2" s="14">
        <f ca="1">Control!J11*Control!$C11*OFFSET(Control!$C11,COLUMN()-COLUMN($A2),0)</f>
        <v>168</v>
      </c>
      <c r="H2" t="s">
        <v>53</v>
      </c>
      <c r="I2" t="s">
        <v>54</v>
      </c>
      <c r="K2" t="s">
        <v>56</v>
      </c>
    </row>
    <row r="3" spans="1:19" x14ac:dyDescent="0.75">
      <c r="A3" s="14">
        <f ca="1">OFFSET($A$2,COLUMN()-COLUMN($A$2),ROW()-ROW($A$2))</f>
        <v>27.200000000000003</v>
      </c>
      <c r="B3" s="14">
        <f ca="1">Control!F12*Control!$C12*OFFSET(Control!$C12,COLUMN()-COLUMN($B3),0)</f>
        <v>289</v>
      </c>
      <c r="C3" s="14">
        <f ca="1">Control!G12*Control!$C12*OFFSET(Control!$C12,COLUMN()-COLUMN($B3),0)</f>
        <v>30.6</v>
      </c>
      <c r="D3" s="14">
        <f ca="1">Control!H12*Control!$C12*OFFSET(Control!$C12,COLUMN()-COLUMN($B3),0)</f>
        <v>64.600000000000009</v>
      </c>
      <c r="E3" s="14">
        <f ca="1">Control!I12*Control!$C12*OFFSET(Control!$C12,COLUMN()-COLUMN($B3),0)</f>
        <v>102</v>
      </c>
      <c r="F3" s="14">
        <f ca="1">Control!J12*Control!$C12*OFFSET(Control!$C12,COLUMN()-COLUMN($B3),0)</f>
        <v>142.80000000000001</v>
      </c>
      <c r="H3" cm="1">
        <f t="array" ref="H3:H8">Control!B11:B16</f>
        <v>16</v>
      </c>
      <c r="I3">
        <f ca="1">IF($K$1=1,B29,IF($K$1=3,R29,J32))</f>
        <v>7.6431622697668539E-2</v>
      </c>
      <c r="J3" s="10"/>
      <c r="K3">
        <f ca="1">IF($K$1=1,A43,IF($K$1=3,Q43,I46))</f>
        <v>11.000000000000002</v>
      </c>
    </row>
    <row r="4" spans="1:19" x14ac:dyDescent="0.75">
      <c r="A4" s="14">
        <f t="shared" ref="A4:E7" ca="1" si="0">OFFSET($A$2,COLUMN()-COLUMN($A$2),ROW()-ROW($A$2))</f>
        <v>57.6</v>
      </c>
      <c r="B4" s="14">
        <f t="shared" ca="1" si="0"/>
        <v>30.6</v>
      </c>
      <c r="C4" s="14">
        <f ca="1">Control!G13*Control!$C13*OFFSET(Control!$C13,COLUMN()-COLUMN($C4),0)</f>
        <v>324</v>
      </c>
      <c r="D4" s="14">
        <f ca="1">Control!H13*Control!$C13*OFFSET(Control!$C13,COLUMN()-COLUMN($C4),0)</f>
        <v>34.200000000000003</v>
      </c>
      <c r="E4" s="14">
        <f ca="1">Control!I13*Control!$C13*OFFSET(Control!$C13,COLUMN()-COLUMN($C4),0)</f>
        <v>72</v>
      </c>
      <c r="F4" s="14">
        <f ca="1">Control!J13*Control!$C13*OFFSET(Control!$C13,COLUMN()-COLUMN($C4),0)</f>
        <v>113.39999999999999</v>
      </c>
      <c r="H4">
        <v>17</v>
      </c>
      <c r="I4">
        <f t="shared" ref="I4:I9" ca="1" si="1">IF($K$1=1,B30,IF($K$1=3,R30,J33))</f>
        <v>0.17168801517522111</v>
      </c>
    </row>
    <row r="5" spans="1:19" x14ac:dyDescent="0.75">
      <c r="A5" s="14">
        <f t="shared" ca="1" si="0"/>
        <v>91.2</v>
      </c>
      <c r="B5" s="14">
        <f t="shared" ca="1" si="0"/>
        <v>64.600000000000009</v>
      </c>
      <c r="C5" s="14">
        <f t="shared" ca="1" si="0"/>
        <v>34.200000000000003</v>
      </c>
      <c r="D5" s="14">
        <f ca="1">Control!H14*Control!$C14*OFFSET(Control!$C14,COLUMN()-COLUMN($D5),0)</f>
        <v>361</v>
      </c>
      <c r="E5" s="14">
        <f ca="1">Control!I14*Control!$C14*OFFSET(Control!$C14,COLUMN()-COLUMN($D5),0)</f>
        <v>38</v>
      </c>
      <c r="F5" s="14">
        <f ca="1">Control!J14*Control!$C14*OFFSET(Control!$C14,COLUMN()-COLUMN($D5),0)</f>
        <v>79.800000000000011</v>
      </c>
      <c r="H5">
        <v>18</v>
      </c>
      <c r="I5">
        <f t="shared" ca="1" si="1"/>
        <v>0.2234465502966019</v>
      </c>
      <c r="J5" s="10"/>
    </row>
    <row r="6" spans="1:19" x14ac:dyDescent="0.75">
      <c r="A6" s="14">
        <f t="shared" ca="1" si="0"/>
        <v>128</v>
      </c>
      <c r="B6" s="14">
        <f t="shared" ca="1" si="0"/>
        <v>102</v>
      </c>
      <c r="C6" s="14">
        <f t="shared" ca="1" si="0"/>
        <v>72</v>
      </c>
      <c r="D6" s="14">
        <f t="shared" ca="1" si="0"/>
        <v>38</v>
      </c>
      <c r="E6" s="14">
        <f ca="1">Control!I15*Control!$C15*OFFSET(Control!$C15,COLUMN()-COLUMN($E6),0)</f>
        <v>400</v>
      </c>
      <c r="F6" s="14">
        <f ca="1">Control!J15*Control!$C15*OFFSET(Control!$C15,COLUMN()-COLUMN($E6),0)</f>
        <v>42</v>
      </c>
      <c r="H6">
        <v>19</v>
      </c>
      <c r="I6">
        <f t="shared" ca="1" si="1"/>
        <v>0.22703356544938472</v>
      </c>
    </row>
    <row r="7" spans="1:19" x14ac:dyDescent="0.75">
      <c r="A7" s="14">
        <f t="shared" ca="1" si="0"/>
        <v>168</v>
      </c>
      <c r="B7" s="14">
        <f t="shared" ca="1" si="0"/>
        <v>142.80000000000001</v>
      </c>
      <c r="C7" s="14">
        <f t="shared" ca="1" si="0"/>
        <v>113.39999999999999</v>
      </c>
      <c r="D7" s="14">
        <f t="shared" ca="1" si="0"/>
        <v>79.800000000000011</v>
      </c>
      <c r="E7" s="14">
        <f t="shared" ca="1" si="0"/>
        <v>42</v>
      </c>
      <c r="F7" s="14">
        <f>Control!J16*Control!C16*Control!C16</f>
        <v>441</v>
      </c>
      <c r="H7">
        <v>20</v>
      </c>
      <c r="I7">
        <f t="shared" ca="1" si="1"/>
        <v>0.1868137969575609</v>
      </c>
      <c r="J7" s="10"/>
    </row>
    <row r="8" spans="1:19" x14ac:dyDescent="0.75">
      <c r="H8">
        <v>21</v>
      </c>
      <c r="I8">
        <f t="shared" ca="1" si="1"/>
        <v>0.11458644942356278</v>
      </c>
    </row>
    <row r="9" spans="1:19" x14ac:dyDescent="0.75">
      <c r="H9" t="s">
        <v>55</v>
      </c>
      <c r="I9">
        <f t="shared" ca="1" si="1"/>
        <v>0</v>
      </c>
    </row>
    <row r="11" spans="1:19" x14ac:dyDescent="0.75">
      <c r="A11" t="s">
        <v>31</v>
      </c>
      <c r="I11" t="s">
        <v>32</v>
      </c>
      <c r="Q11" t="s">
        <v>33</v>
      </c>
    </row>
    <row r="12" spans="1:19" x14ac:dyDescent="0.75">
      <c r="A12" t="s">
        <v>34</v>
      </c>
      <c r="I12" t="s">
        <v>35</v>
      </c>
      <c r="Q12" t="s">
        <v>36</v>
      </c>
    </row>
    <row r="13" spans="1:19" x14ac:dyDescent="0.75">
      <c r="A13" t="s">
        <v>66</v>
      </c>
      <c r="I13" t="s">
        <v>71</v>
      </c>
      <c r="Q13" t="s">
        <v>67</v>
      </c>
    </row>
    <row r="14" spans="1:19" x14ac:dyDescent="0.75">
      <c r="A14" s="10" t="s">
        <v>53</v>
      </c>
      <c r="B14" s="10" t="s">
        <v>18</v>
      </c>
      <c r="C14" s="10" t="s">
        <v>68</v>
      </c>
      <c r="I14" t="s">
        <v>72</v>
      </c>
      <c r="Q14" s="10" t="s">
        <v>53</v>
      </c>
      <c r="R14" s="10" t="s">
        <v>18</v>
      </c>
      <c r="S14" s="10" t="s">
        <v>68</v>
      </c>
    </row>
    <row r="15" spans="1:19" x14ac:dyDescent="0.75">
      <c r="A15" cm="1">
        <f t="array" ref="A15:A20">_xlfn.ANCHORARRAY(H3)</f>
        <v>16</v>
      </c>
      <c r="B15">
        <f ca="1">'Desired Expected Return'!C14</f>
        <v>8.8095333842947238E-2</v>
      </c>
      <c r="C15">
        <f ca="1">'Desired Expected Return'!A28</f>
        <v>18.544118355041451</v>
      </c>
      <c r="I15" s="10" t="s">
        <v>63</v>
      </c>
      <c r="Q15" cm="1">
        <f t="array" ref="Q15:Q20">_xlfn.ANCHORARRAY(H3)</f>
        <v>16</v>
      </c>
      <c r="R15">
        <f ca="1">'Desired Expected Return'!S14</f>
        <v>-5.0963916896445978E-2</v>
      </c>
      <c r="S15">
        <f ca="1">'Desired Expected Return'!Q28</f>
        <v>19.447249627445125</v>
      </c>
    </row>
    <row r="16" spans="1:19" x14ac:dyDescent="0.75">
      <c r="A16">
        <v>17</v>
      </c>
      <c r="B16">
        <f ca="1">'Desired Expected Return'!C15</f>
        <v>0.17854756543756248</v>
      </c>
      <c r="C16" s="10" t="s">
        <v>69</v>
      </c>
      <c r="I16" cm="1">
        <f t="array" aca="1" ref="I16:N16" ca="1">TRANSPOSE(B15:B20)</f>
        <v>8.8095333842947238E-2</v>
      </c>
      <c r="J16">
        <f ca="1"/>
        <v>0.17854756543756248</v>
      </c>
      <c r="K16">
        <f ca="1"/>
        <v>0.22489503052083723</v>
      </c>
      <c r="L16">
        <f ca="1"/>
        <v>0.22348976002177201</v>
      </c>
      <c r="M16">
        <f ca="1"/>
        <v>0.17955010238750366</v>
      </c>
      <c r="N16">
        <f ca="1"/>
        <v>0.10542220778937732</v>
      </c>
      <c r="Q16">
        <v>17</v>
      </c>
      <c r="R16">
        <f ca="1">'Desired Expected Return'!S15</f>
        <v>9.6765368672811714E-2</v>
      </c>
      <c r="S16" s="10" t="s">
        <v>69</v>
      </c>
    </row>
    <row r="17" spans="1:23" x14ac:dyDescent="0.75">
      <c r="A17">
        <v>18</v>
      </c>
      <c r="B17">
        <f ca="1">'Desired Expected Return'!C16</f>
        <v>0.22489503052083723</v>
      </c>
      <c r="C17">
        <f ca="1">'Desired Expected Return'!B28</f>
        <v>10.948613544888877</v>
      </c>
      <c r="I17" s="10" t="s">
        <v>64</v>
      </c>
      <c r="Q17">
        <v>18</v>
      </c>
      <c r="R17">
        <f ca="1">'Desired Expected Return'!S16</f>
        <v>0.2076256921272395</v>
      </c>
      <c r="S17">
        <f ca="1">'Desired Expected Return'!R28</f>
        <v>11.715106487646048</v>
      </c>
    </row>
    <row r="18" spans="1:23" x14ac:dyDescent="0.75">
      <c r="A18">
        <v>19</v>
      </c>
      <c r="B18">
        <f ca="1">'Desired Expected Return'!C17</f>
        <v>0.22348976002177201</v>
      </c>
      <c r="C18" s="10" t="s">
        <v>44</v>
      </c>
      <c r="I18" cm="1">
        <f t="array" aca="1" ref="I18:N18" ca="1">MMULT(_xlfn.ANCHORARRAY(I16),A2:F7)</f>
        <v>101.43846312989788</v>
      </c>
      <c r="J18">
        <f ca="1"/>
        <v>108.68406763917626</v>
      </c>
      <c r="K18">
        <f ca="1"/>
        <v>115.92967214845469</v>
      </c>
      <c r="L18">
        <f ca="1"/>
        <v>123.17527665773311</v>
      </c>
      <c r="M18">
        <f ca="1"/>
        <v>130.42088116701154</v>
      </c>
      <c r="N18">
        <f ca="1"/>
        <v>137.66648567628997</v>
      </c>
      <c r="Q18">
        <v>19</v>
      </c>
      <c r="R18">
        <f ca="1">'Desired Expected Return'!S17</f>
        <v>0.26574037146026752</v>
      </c>
      <c r="S18" s="10" t="s">
        <v>44</v>
      </c>
    </row>
    <row r="19" spans="1:23" x14ac:dyDescent="0.75">
      <c r="A19">
        <v>20</v>
      </c>
      <c r="B19">
        <f ca="1">'Desired Expected Return'!C18</f>
        <v>0.17955010238750366</v>
      </c>
      <c r="C19">
        <f ca="1">'Desired Expected Return'!A30</f>
        <v>1.5110697155590731</v>
      </c>
      <c r="I19" s="10" t="s">
        <v>73</v>
      </c>
      <c r="Q19">
        <v>20</v>
      </c>
      <c r="R19">
        <f ca="1">'Desired Expected Return'!S18</f>
        <v>0.26615066304360568</v>
      </c>
      <c r="S19">
        <f ca="1">'Desired Expected Return'!Q30</f>
        <v>0.977135772476043</v>
      </c>
    </row>
    <row r="20" spans="1:23" x14ac:dyDescent="0.75">
      <c r="A20">
        <v>21</v>
      </c>
      <c r="B20">
        <f ca="1">'Desired Expected Return'!C19</f>
        <v>0.10542220778937732</v>
      </c>
      <c r="I20" cm="1">
        <f t="array" aca="1" ref="I20" ca="1">MMULT(_xlfn.ANCHORARRAY(I18),R15:R20)</f>
        <v>126.41587057512263</v>
      </c>
      <c r="Q20">
        <v>21</v>
      </c>
      <c r="R20">
        <f ca="1">'Desired Expected Return'!S19</f>
        <v>0.21468182159252169</v>
      </c>
    </row>
    <row r="22" spans="1:23" x14ac:dyDescent="0.75">
      <c r="A22" s="11" t="s">
        <v>49</v>
      </c>
      <c r="B22" s="11" t="s">
        <v>47</v>
      </c>
      <c r="C22" s="11">
        <f>Control!C7</f>
        <v>2</v>
      </c>
      <c r="D22" s="11" t="s">
        <v>45</v>
      </c>
      <c r="E22" s="11">
        <f ca="1">C19</f>
        <v>1.5110697155590731</v>
      </c>
      <c r="F22" s="11" t="s">
        <v>70</v>
      </c>
      <c r="G22" s="11">
        <f>Control!B19</f>
        <v>11</v>
      </c>
      <c r="I22" s="10" t="s">
        <v>74</v>
      </c>
      <c r="J22" s="10" t="s">
        <v>75</v>
      </c>
      <c r="K22" s="10" t="s">
        <v>82</v>
      </c>
      <c r="Q22" s="11" t="s">
        <v>49</v>
      </c>
      <c r="R22" s="11" t="s">
        <v>47</v>
      </c>
      <c r="S22" s="11">
        <f>Control!C8</f>
        <v>8</v>
      </c>
      <c r="T22" s="11" t="s">
        <v>45</v>
      </c>
      <c r="U22" s="11">
        <f ca="1">S19</f>
        <v>0.977135772476043</v>
      </c>
      <c r="V22" s="11" t="s">
        <v>70</v>
      </c>
      <c r="W22" s="11">
        <f>Control!B19</f>
        <v>11</v>
      </c>
    </row>
    <row r="23" spans="1:23" x14ac:dyDescent="0.75">
      <c r="A23" s="11"/>
      <c r="B23" s="11" t="s">
        <v>47</v>
      </c>
      <c r="C23" s="11">
        <f ca="1">C22+E22*G22</f>
        <v>18.621766871149806</v>
      </c>
      <c r="D23" s="11"/>
      <c r="E23" s="11"/>
      <c r="F23" s="11"/>
      <c r="G23" s="11"/>
      <c r="I23">
        <f ca="1">C17^2</f>
        <v>119.87213855532418</v>
      </c>
      <c r="J23">
        <f ca="1">S17^2</f>
        <v>137.24372001688653</v>
      </c>
      <c r="K23">
        <f>Control!B19^2</f>
        <v>121</v>
      </c>
      <c r="Q23" s="11"/>
      <c r="R23" s="11" t="s">
        <v>47</v>
      </c>
      <c r="S23" s="11">
        <f ca="1">S22+U22*W22</f>
        <v>18.748493497236474</v>
      </c>
      <c r="T23" s="11"/>
      <c r="U23" s="11"/>
      <c r="V23" s="11"/>
      <c r="W23" s="11"/>
    </row>
    <row r="24" spans="1:23" x14ac:dyDescent="0.75">
      <c r="I24" s="10" t="s">
        <v>76</v>
      </c>
      <c r="J24" s="10" t="s">
        <v>77</v>
      </c>
      <c r="K24" s="10" t="s">
        <v>78</v>
      </c>
    </row>
    <row r="25" spans="1:23" x14ac:dyDescent="0.75">
      <c r="A25" s="11">
        <f ca="1">C23</f>
        <v>18.621766871149806</v>
      </c>
      <c r="B25" s="11" t="s">
        <v>47</v>
      </c>
      <c r="C25" s="11" t="s">
        <v>50</v>
      </c>
      <c r="D25" s="11">
        <f>C22</f>
        <v>2</v>
      </c>
      <c r="E25" s="11" t="s">
        <v>45</v>
      </c>
      <c r="F25" s="11" t="s">
        <v>51</v>
      </c>
      <c r="G25" s="11">
        <f ca="1">C15</f>
        <v>18.544118355041451</v>
      </c>
      <c r="I25">
        <f ca="1">I23+J23-2*I20</f>
        <v>4.2841174219654476</v>
      </c>
      <c r="J25">
        <f ca="1">2*(I20-J23)</f>
        <v>-21.655698883527805</v>
      </c>
      <c r="K25">
        <f ca="1">J23-K23</f>
        <v>16.243720016886527</v>
      </c>
      <c r="Q25" s="11">
        <f ca="1">S23</f>
        <v>18.748493497236474</v>
      </c>
      <c r="R25" s="11" t="s">
        <v>47</v>
      </c>
      <c r="S25" s="11" t="s">
        <v>50</v>
      </c>
      <c r="T25" s="11">
        <f>S22</f>
        <v>8</v>
      </c>
      <c r="U25" s="11" t="s">
        <v>45</v>
      </c>
      <c r="V25" s="11" t="s">
        <v>51</v>
      </c>
      <c r="W25" s="11">
        <f ca="1">S15</f>
        <v>19.447249627445125</v>
      </c>
    </row>
    <row r="26" spans="1:23" x14ac:dyDescent="0.75">
      <c r="A26" s="11" t="s">
        <v>50</v>
      </c>
      <c r="B26" s="11" t="s">
        <v>47</v>
      </c>
      <c r="C26" s="11">
        <f ca="1">(A25-G25)/(D25-G25)</f>
        <v>-4.6934212172564981E-3</v>
      </c>
      <c r="D26" s="11"/>
      <c r="E26" s="11"/>
      <c r="F26" s="11"/>
      <c r="G26" s="11"/>
      <c r="I26" s="10" t="s">
        <v>79</v>
      </c>
      <c r="J26" s="10" t="s">
        <v>80</v>
      </c>
      <c r="Q26" s="11" t="s">
        <v>50</v>
      </c>
      <c r="R26" s="11" t="s">
        <v>47</v>
      </c>
      <c r="S26" s="11">
        <f ca="1">(Q25-W25)/(T25-W25)</f>
        <v>6.1041398846877738E-2</v>
      </c>
      <c r="T26" s="11"/>
      <c r="U26" s="11"/>
      <c r="V26" s="11"/>
      <c r="W26" s="11"/>
    </row>
    <row r="27" spans="1:23" x14ac:dyDescent="0.75">
      <c r="I27">
        <f ca="1">(-J25+SQRT(J25^2-4*I25*K25))/(2*I25)</f>
        <v>4.1387556998816706</v>
      </c>
      <c r="J27">
        <f ca="1">(-J25-SQRT(J25^2-4*I25*K25))/(2*I25)</f>
        <v>0.9161241623030365</v>
      </c>
    </row>
    <row r="28" spans="1:23" x14ac:dyDescent="0.75">
      <c r="A28" s="10" t="s">
        <v>53</v>
      </c>
      <c r="B28" s="10" t="s">
        <v>18</v>
      </c>
      <c r="I28" s="10" t="s">
        <v>81</v>
      </c>
      <c r="Q28" s="10" t="s">
        <v>53</v>
      </c>
      <c r="R28" s="10" t="s">
        <v>18</v>
      </c>
    </row>
    <row r="29" spans="1:23" x14ac:dyDescent="0.75">
      <c r="A29">
        <v>16</v>
      </c>
      <c r="B29">
        <f ca="1">(1-$C$26)*B15</f>
        <v>8.8508802351947025E-2</v>
      </c>
      <c r="I29">
        <f ca="1">IF(OR(I27&lt;0,I27&gt;1),J27,I27)</f>
        <v>0.9161241623030365</v>
      </c>
      <c r="Q29">
        <v>16</v>
      </c>
      <c r="R29">
        <f ca="1">(1-$S$26)*R15</f>
        <v>-4.7853008118370885E-2</v>
      </c>
    </row>
    <row r="30" spans="1:23" x14ac:dyDescent="0.75">
      <c r="A30">
        <v>17</v>
      </c>
      <c r="B30">
        <f t="shared" ref="B30:B34" ca="1" si="2">(1-$C$26)*B16</f>
        <v>0.17938556436947661</v>
      </c>
      <c r="Q30">
        <v>17</v>
      </c>
      <c r="R30">
        <f t="shared" ref="R30:R34" ca="1" si="3">(1-$S$26)*R16</f>
        <v>9.085867520908944E-2</v>
      </c>
    </row>
    <row r="31" spans="1:23" x14ac:dyDescent="0.75">
      <c r="A31">
        <v>18</v>
      </c>
      <c r="B31">
        <f t="shared" ca="1" si="2"/>
        <v>0.22595055762873928</v>
      </c>
      <c r="I31" s="10" t="s">
        <v>53</v>
      </c>
      <c r="J31" s="10" t="s">
        <v>18</v>
      </c>
      <c r="Q31">
        <v>18</v>
      </c>
      <c r="R31">
        <f t="shared" ca="1" si="3"/>
        <v>0.19495192944324163</v>
      </c>
    </row>
    <row r="32" spans="1:23" x14ac:dyDescent="0.75">
      <c r="A32">
        <v>19</v>
      </c>
      <c r="B32">
        <f t="shared" ca="1" si="2"/>
        <v>0.22453869160329776</v>
      </c>
      <c r="I32" cm="1">
        <f t="array" ref="I32:I37">_xlfn.ANCHORARRAY(A15)</f>
        <v>16</v>
      </c>
      <c r="J32">
        <f ca="1">$I$29*B15+(1-$I$29)*R15</f>
        <v>7.6431622697668539E-2</v>
      </c>
      <c r="Q32">
        <v>19</v>
      </c>
      <c r="R32">
        <f t="shared" ca="1" si="3"/>
        <v>0.24951920745624387</v>
      </c>
    </row>
    <row r="33" spans="1:22" x14ac:dyDescent="0.75">
      <c r="A33">
        <v>20</v>
      </c>
      <c r="B33">
        <f t="shared" ca="1" si="2"/>
        <v>0.18039280664760973</v>
      </c>
      <c r="I33">
        <v>17</v>
      </c>
      <c r="J33">
        <f t="shared" ref="J33:J37" ca="1" si="4">$I$29*B16+(1-$I$29)*R16</f>
        <v>0.17168801517522111</v>
      </c>
      <c r="Q33">
        <v>20</v>
      </c>
      <c r="R33">
        <f t="shared" ca="1" si="3"/>
        <v>0.24990445426739999</v>
      </c>
    </row>
    <row r="34" spans="1:22" x14ac:dyDescent="0.75">
      <c r="A34">
        <v>21</v>
      </c>
      <c r="B34">
        <f t="shared" ca="1" si="2"/>
        <v>0.105916998616186</v>
      </c>
      <c r="I34">
        <v>18</v>
      </c>
      <c r="J34">
        <f t="shared" ca="1" si="4"/>
        <v>0.2234465502966019</v>
      </c>
      <c r="Q34">
        <v>21</v>
      </c>
      <c r="R34">
        <f t="shared" ca="1" si="3"/>
        <v>0.20157734289551832</v>
      </c>
    </row>
    <row r="35" spans="1:22" x14ac:dyDescent="0.75">
      <c r="A35" s="16" t="s">
        <v>57</v>
      </c>
      <c r="B35">
        <f ca="1">C26</f>
        <v>-4.6934212172564981E-3</v>
      </c>
      <c r="I35">
        <v>19</v>
      </c>
      <c r="J35">
        <f t="shared" ca="1" si="4"/>
        <v>0.22703356544938472</v>
      </c>
      <c r="Q35" s="16" t="s">
        <v>57</v>
      </c>
      <c r="R35">
        <f ca="1">S26</f>
        <v>6.1041398846877738E-2</v>
      </c>
    </row>
    <row r="36" spans="1:22" x14ac:dyDescent="0.75">
      <c r="A36" s="10" t="s">
        <v>58</v>
      </c>
      <c r="I36">
        <v>20</v>
      </c>
      <c r="J36">
        <f t="shared" ca="1" si="4"/>
        <v>0.1868137969575609</v>
      </c>
      <c r="Q36" s="10" t="s">
        <v>58</v>
      </c>
    </row>
    <row r="37" spans="1:22" x14ac:dyDescent="0.75">
      <c r="A37" cm="1">
        <f t="array" aca="1" ref="A37:F37" ca="1">TRANSPOSE(B29:B34)</f>
        <v>8.8508802351947025E-2</v>
      </c>
      <c r="B37">
        <f ca="1"/>
        <v>0.17938556436947661</v>
      </c>
      <c r="C37">
        <f ca="1"/>
        <v>0.22595055762873928</v>
      </c>
      <c r="D37">
        <f ca="1"/>
        <v>0.22453869160329776</v>
      </c>
      <c r="E37">
        <f ca="1"/>
        <v>0.18039280664760973</v>
      </c>
      <c r="F37">
        <f ca="1"/>
        <v>0.105916998616186</v>
      </c>
      <c r="I37">
        <v>21</v>
      </c>
      <c r="J37">
        <f t="shared" ca="1" si="4"/>
        <v>0.11458644942356278</v>
      </c>
      <c r="Q37" cm="1">
        <f t="array" aca="1" ref="Q37:V37" ca="1">TRANSPOSE(R29:R34)</f>
        <v>-4.7853008118370885E-2</v>
      </c>
      <c r="R37">
        <f ca="1"/>
        <v>9.085867520908944E-2</v>
      </c>
      <c r="S37">
        <f ca="1"/>
        <v>0.19495192944324163</v>
      </c>
      <c r="T37">
        <f ca="1"/>
        <v>0.24951920745624387</v>
      </c>
      <c r="U37">
        <f ca="1"/>
        <v>0.24990445426739999</v>
      </c>
      <c r="V37">
        <f ca="1"/>
        <v>0.20157734289551832</v>
      </c>
    </row>
    <row r="38" spans="1:22" x14ac:dyDescent="0.75">
      <c r="A38" s="10" t="s">
        <v>59</v>
      </c>
      <c r="I38" s="16" t="s">
        <v>57</v>
      </c>
      <c r="J38">
        <v>0</v>
      </c>
      <c r="Q38" s="10" t="s">
        <v>59</v>
      </c>
    </row>
    <row r="39" spans="1:22" x14ac:dyDescent="0.75">
      <c r="A39" cm="1">
        <f t="array" aca="1" ref="A39:F39" ca="1">MMULT(_xlfn.ANCHORARRAY(A37),A2:F7)</f>
        <v>101.91455656499764</v>
      </c>
      <c r="B39">
        <f ca="1"/>
        <v>109.19416774821171</v>
      </c>
      <c r="C39">
        <f ca="1"/>
        <v>116.47377893142584</v>
      </c>
      <c r="D39">
        <f ca="1"/>
        <v>123.75339011463993</v>
      </c>
      <c r="E39">
        <f ca="1"/>
        <v>131.03300129785407</v>
      </c>
      <c r="F39">
        <f ca="1"/>
        <v>138.31261248106819</v>
      </c>
      <c r="I39" s="10" t="s">
        <v>58</v>
      </c>
      <c r="Q39" cm="1">
        <f t="array" aca="1" ref="Q39:V39" ca="1">MMULT(_xlfn.ANCHORARRAY(Q37),A2:F7)</f>
        <v>90.059132495998725</v>
      </c>
      <c r="R39">
        <f ca="1"/>
        <v>101.31652405799852</v>
      </c>
      <c r="S39">
        <f ca="1"/>
        <v>112.57391561999837</v>
      </c>
      <c r="T39">
        <f ca="1"/>
        <v>123.83130718199821</v>
      </c>
      <c r="U39">
        <f ca="1"/>
        <v>135.08869874399809</v>
      </c>
      <c r="V39">
        <f ca="1"/>
        <v>146.3460903059979</v>
      </c>
    </row>
    <row r="40" spans="1:22" x14ac:dyDescent="0.75">
      <c r="A40" s="10" t="s">
        <v>60</v>
      </c>
      <c r="I40" cm="1">
        <f t="array" aca="1" ref="I40:N40" ca="1">TRANSPOSE(J32:J37)</f>
        <v>7.6431622697668539E-2</v>
      </c>
      <c r="J40">
        <f ca="1"/>
        <v>0.17168801517522111</v>
      </c>
      <c r="K40">
        <f ca="1"/>
        <v>0.2234465502966019</v>
      </c>
      <c r="L40">
        <f ca="1"/>
        <v>0.22703356544938472</v>
      </c>
      <c r="M40">
        <f ca="1"/>
        <v>0.1868137969575609</v>
      </c>
      <c r="N40">
        <f ca="1"/>
        <v>0.11458644942356278</v>
      </c>
      <c r="Q40" s="10" t="s">
        <v>60</v>
      </c>
    </row>
    <row r="41" spans="1:22" x14ac:dyDescent="0.75">
      <c r="A41" cm="1">
        <f t="array" aca="1" ref="A41" ca="1">MMULT(_xlfn.ANCHORARRAY(A39),B29:B34)</f>
        <v>121.00000000000003</v>
      </c>
      <c r="I41" s="10" t="s">
        <v>59</v>
      </c>
      <c r="Q41" cm="1">
        <f t="array" aca="1" ref="Q41" ca="1">MMULT(_xlfn.ANCHORARRAY(Q39),R29:R34)</f>
        <v>121.00000000000001</v>
      </c>
    </row>
    <row r="42" spans="1:22" x14ac:dyDescent="0.75">
      <c r="A42" s="10" t="s">
        <v>38</v>
      </c>
      <c r="I42" cm="1">
        <f t="array" aca="1" ref="I42:N42" ca="1">MMULT(_xlfn.ANCHORARRAY(I40),A2:F7)</f>
        <v>100.97508140316367</v>
      </c>
      <c r="J42">
        <f ca="1"/>
        <v>108.61856155747773</v>
      </c>
      <c r="K42">
        <f ca="1"/>
        <v>116.26204171179185</v>
      </c>
      <c r="L42">
        <f ca="1"/>
        <v>123.90552186610594</v>
      </c>
      <c r="M42">
        <f ca="1"/>
        <v>131.54900202042006</v>
      </c>
      <c r="N42">
        <f ca="1"/>
        <v>139.19248217473421</v>
      </c>
      <c r="Q42" s="10" t="s">
        <v>38</v>
      </c>
    </row>
    <row r="43" spans="1:22" x14ac:dyDescent="0.75">
      <c r="A43">
        <f ca="1">SQRT(A41)</f>
        <v>11.000000000000002</v>
      </c>
      <c r="I43" s="10" t="s">
        <v>60</v>
      </c>
      <c r="Q43">
        <f ca="1">SQRT(Q41)</f>
        <v>11</v>
      </c>
    </row>
    <row r="44" spans="1:22" x14ac:dyDescent="0.75">
      <c r="I44" cm="1">
        <f t="array" aca="1" ref="I44" ca="1">MMULT(I42:N42,J32:J37)</f>
        <v>121.00000000000003</v>
      </c>
    </row>
    <row r="45" spans="1:22" x14ac:dyDescent="0.75">
      <c r="I45" s="10" t="s">
        <v>38</v>
      </c>
    </row>
    <row r="46" spans="1:22" x14ac:dyDescent="0.75">
      <c r="I46">
        <f ca="1">SQRT(I44)</f>
        <v>11.000000000000002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Minimal Variance Portfolio</vt:lpstr>
      <vt:lpstr>Desired Expected Return</vt:lpstr>
      <vt:lpstr>Desired Standard Deviation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Edmund Liman</cp:lastModifiedBy>
  <cp:lastPrinted>2023-08-28T05:28:01Z</cp:lastPrinted>
  <dcterms:created xsi:type="dcterms:W3CDTF">2010-02-18T23:13:47Z</dcterms:created>
  <dcterms:modified xsi:type="dcterms:W3CDTF">2023-08-28T07:13:47Z</dcterms:modified>
</cp:coreProperties>
</file>